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comments5.xml" ContentType="application/vnd.openxmlformats-officedocument.spreadsheetml.comments+xml"/>
  <Override PartName="/xl/threadedComments/threadedComment5.xml" ContentType="application/vnd.ms-excel.threadedcomments+xml"/>
  <Override PartName="/xl/comments6.xml" ContentType="application/vnd.openxmlformats-officedocument.spreadsheetml.comments+xml"/>
  <Override PartName="/xl/comments7.xml" ContentType="application/vnd.openxmlformats-officedocument.spreadsheetml.comments+xml"/>
  <Override PartName="/xl/threadedComments/threadedComment6.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cgiar-my.sharepoint.com/personal/y_regassa_cgiar_org/Documents/Documents/ICARDA/MEL/"/>
    </mc:Choice>
  </mc:AlternateContent>
  <xr:revisionPtr revIDLastSave="0" documentId="8_{487661E8-1588-4F24-9F36-FEB39AD3D55C}" xr6:coauthVersionLast="47" xr6:coauthVersionMax="47" xr10:uidLastSave="{00000000-0000-0000-0000-000000000000}"/>
  <bookViews>
    <workbookView xWindow="-120" yWindow="-120" windowWidth="29040" windowHeight="15840" xr2:uid="{446A8E46-57F1-4D17-BB2A-011C7C3C28CC}"/>
  </bookViews>
  <sheets>
    <sheet name="Instructions" sheetId="63" r:id="rId1"/>
    <sheet name="Crop-area&amp;production" sheetId="64" r:id="rId2"/>
    <sheet name="Prices,exch.rates,harvest index" sheetId="33" r:id="rId3"/>
    <sheet name="Area&amp;production data" sheetId="23" r:id="rId4"/>
    <sheet name="Yield-data" sheetId="32" r:id="rId5"/>
    <sheet name="Value of production" sheetId="50" r:id="rId6"/>
    <sheet name="Yield gain if we intervene (%)" sheetId="62" r:id="rId7"/>
    <sheet name="Area(ha)-by-degradation-level" sheetId="31" r:id="rId8"/>
    <sheet name="Yield-penalty-by-LD-class" sheetId="55" r:id="rId9"/>
    <sheet name="Soil-errosion1" sheetId="30" r:id="rId10"/>
    <sheet name="Soil-errosion2" sheetId="34" r:id="rId11"/>
    <sheet name="Soil-loss-in-abundoned lands" sheetId="58" r:id="rId12"/>
    <sheet name="Percent-Soil-Carbon-Content" sheetId="60" r:id="rId13"/>
    <sheet name="Cereals-all-year" sheetId="3" r:id="rId14"/>
    <sheet name="Legumes-all-year" sheetId="24" r:id="rId15"/>
    <sheet name="Vegetables-all-year" sheetId="10" r:id="rId16"/>
    <sheet name="Fruits-all-year" sheetId="12" r:id="rId17"/>
    <sheet name="Annual-forages-all-year" sheetId="9" r:id="rId18"/>
    <sheet name="Alfalfa-all-year" sheetId="25" r:id="rId19"/>
    <sheet name="Value-of-fuel-used-under-CT" sheetId="46" r:id="rId20"/>
    <sheet name="value-of-carbon-in-Greenhouses" sheetId="47" r:id="rId21"/>
    <sheet name="Energy conversion factors" sheetId="54" r:id="rId22"/>
    <sheet name="Summary-all-crops" sheetId="14" r:id="rId23"/>
    <sheet name="Pastoral-areas" sheetId="43" r:id="rId24"/>
    <sheet name="Prairies" sheetId="29" r:id="rId25"/>
    <sheet name="Agro-sylvopastoral-areas" sheetId="16" r:id="rId26"/>
    <sheet name="Summary-all rangelands" sheetId="56" r:id="rId27"/>
    <sheet name="Deforestation" sheetId="35" r:id="rId28"/>
    <sheet name="Forest" sheetId="15" r:id="rId29"/>
    <sheet name="Water" sheetId="48" r:id="rId30"/>
    <sheet name="Soil-erosion" sheetId="51" r:id="rId31"/>
    <sheet name="Carbon-emission-by source" sheetId="53" r:id="rId32"/>
    <sheet name="Soil-loss-abundoned lands1" sheetId="57" r:id="rId33"/>
    <sheet name="Production-loss-abandoned lands" sheetId="20" r:id="rId34"/>
    <sheet name="Cost of Health-problems" sheetId="18" r:id="rId35"/>
    <sheet name="Emergency-&amp;-extreme-weather-All" sheetId="49" r:id="rId36"/>
    <sheet name="Total cost of land degradation " sheetId="19" r:id="rId37"/>
    <sheet name="Summaries" sheetId="22" r:id="rId38"/>
  </sheets>
  <definedNames>
    <definedName name="solver_adj" localSheetId="25" hidden="1">'Agro-sylvopastoral-areas'!$W$42:$Y$42</definedName>
    <definedName name="solver_adj" localSheetId="18" hidden="1">'Alfalfa-all-year'!$W$32:$Y$32</definedName>
    <definedName name="solver_adj" localSheetId="17" hidden="1">'Annual-forages-all-year'!$W$43:$Y$43</definedName>
    <definedName name="solver_adj" localSheetId="13" hidden="1">'Cereals-all-year'!$W$43:$Y$43</definedName>
    <definedName name="solver_adj" localSheetId="28" hidden="1">Forest!$AC$31:$AE$31</definedName>
    <definedName name="solver_adj" localSheetId="16" hidden="1">'Fruits-all-year'!$W$47:$Y$47</definedName>
    <definedName name="solver_adj" localSheetId="14" hidden="1">'Legumes-all-year'!$W$33:$Y$33</definedName>
    <definedName name="solver_adj" localSheetId="23" hidden="1">'Pastoral-areas'!$W$39:$Y$39</definedName>
    <definedName name="solver_adj" localSheetId="24" hidden="1">Prairies!$W$33:$Y$33</definedName>
    <definedName name="solver_adj" localSheetId="15" hidden="1">'Vegetables-all-year'!$W$40:$Y$40</definedName>
    <definedName name="solver_cvg" localSheetId="25" hidden="1">0.0001</definedName>
    <definedName name="solver_cvg" localSheetId="18" hidden="1">0.0001</definedName>
    <definedName name="solver_cvg" localSheetId="17" hidden="1">0.0001</definedName>
    <definedName name="solver_cvg" localSheetId="13" hidden="1">0.0001</definedName>
    <definedName name="solver_cvg" localSheetId="28" hidden="1">0.0001</definedName>
    <definedName name="solver_cvg" localSheetId="16" hidden="1">0.0001</definedName>
    <definedName name="solver_cvg" localSheetId="14" hidden="1">0.0001</definedName>
    <definedName name="solver_cvg" localSheetId="23" hidden="1">0.0001</definedName>
    <definedName name="solver_cvg" localSheetId="24" hidden="1">0.0001</definedName>
    <definedName name="solver_cvg" localSheetId="15" hidden="1">0.0001</definedName>
    <definedName name="solver_drv" localSheetId="25" hidden="1">2</definedName>
    <definedName name="solver_drv" localSheetId="18" hidden="1">1</definedName>
    <definedName name="solver_drv" localSheetId="17" hidden="1">2</definedName>
    <definedName name="solver_drv" localSheetId="13" hidden="1">1</definedName>
    <definedName name="solver_drv" localSheetId="28" hidden="1">1</definedName>
    <definedName name="solver_drv" localSheetId="16" hidden="1">1</definedName>
    <definedName name="solver_drv" localSheetId="14" hidden="1">2</definedName>
    <definedName name="solver_drv" localSheetId="23" hidden="1">1</definedName>
    <definedName name="solver_drv" localSheetId="24" hidden="1">1</definedName>
    <definedName name="solver_drv" localSheetId="15" hidden="1">1</definedName>
    <definedName name="solver_eng" localSheetId="25" hidden="1">1</definedName>
    <definedName name="solver_eng" localSheetId="18" hidden="1">1</definedName>
    <definedName name="solver_eng" localSheetId="17" hidden="1">1</definedName>
    <definedName name="solver_eng" localSheetId="13" hidden="1">1</definedName>
    <definedName name="solver_eng" localSheetId="28" hidden="1">1</definedName>
    <definedName name="solver_eng" localSheetId="16" hidden="1">1</definedName>
    <definedName name="solver_eng" localSheetId="14" hidden="1">1</definedName>
    <definedName name="solver_eng" localSheetId="23" hidden="1">1</definedName>
    <definedName name="solver_eng" localSheetId="24" hidden="1">1</definedName>
    <definedName name="solver_eng" localSheetId="15" hidden="1">1</definedName>
    <definedName name="solver_est" localSheetId="25" hidden="1">1</definedName>
    <definedName name="solver_est" localSheetId="18" hidden="1">1</definedName>
    <definedName name="solver_est" localSheetId="17" hidden="1">1</definedName>
    <definedName name="solver_est" localSheetId="13" hidden="1">1</definedName>
    <definedName name="solver_est" localSheetId="28" hidden="1">1</definedName>
    <definedName name="solver_est" localSheetId="16" hidden="1">1</definedName>
    <definedName name="solver_est" localSheetId="14" hidden="1">1</definedName>
    <definedName name="solver_est" localSheetId="23" hidden="1">1</definedName>
    <definedName name="solver_est" localSheetId="24" hidden="1">1</definedName>
    <definedName name="solver_est" localSheetId="15" hidden="1">1</definedName>
    <definedName name="solver_itr" localSheetId="25" hidden="1">2147483647</definedName>
    <definedName name="solver_itr" localSheetId="18" hidden="1">2147483647</definedName>
    <definedName name="solver_itr" localSheetId="17" hidden="1">2147483647</definedName>
    <definedName name="solver_itr" localSheetId="13" hidden="1">2147483647</definedName>
    <definedName name="solver_itr" localSheetId="28" hidden="1">2147483647</definedName>
    <definedName name="solver_itr" localSheetId="16" hidden="1">2147483647</definedName>
    <definedName name="solver_itr" localSheetId="14" hidden="1">2147483647</definedName>
    <definedName name="solver_itr" localSheetId="23" hidden="1">2147483647</definedName>
    <definedName name="solver_itr" localSheetId="24" hidden="1">2147483647</definedName>
    <definedName name="solver_itr" localSheetId="15" hidden="1">2147483647</definedName>
    <definedName name="solver_lhs0" localSheetId="13" hidden="1">'Cereals-all-year'!$W$18</definedName>
    <definedName name="solver_lhs1" localSheetId="25" hidden="1">'Agro-sylvopastoral-areas'!$AD$42</definedName>
    <definedName name="solver_lhs1" localSheetId="18" hidden="1">'Alfalfa-all-year'!$AD$32</definedName>
    <definedName name="solver_lhs1" localSheetId="17" hidden="1">'Annual-forages-all-year'!$AD$43</definedName>
    <definedName name="solver_lhs1" localSheetId="13" hidden="1">'Cereals-all-year'!$AD$43</definedName>
    <definedName name="solver_lhs1" localSheetId="28" hidden="1">Forest!$AJ$31</definedName>
    <definedName name="solver_lhs1" localSheetId="16" hidden="1">'Fruits-all-year'!$AD$47</definedName>
    <definedName name="solver_lhs1" localSheetId="14" hidden="1">'Legumes-all-year'!$AD$33</definedName>
    <definedName name="solver_lhs1" localSheetId="23" hidden="1">'Pastoral-areas'!$AE$39</definedName>
    <definedName name="solver_lhs1" localSheetId="24" hidden="1">Prairies!$AD$33</definedName>
    <definedName name="solver_lhs1" localSheetId="15" hidden="1">'Vegetables-all-year'!$AD$40:$AE$40</definedName>
    <definedName name="solver_lhs10" localSheetId="13" hidden="1">'Cereals-all-year'!$AE$41</definedName>
    <definedName name="solver_lhs10" localSheetId="14" hidden="1">'Legumes-all-year'!$AE$37</definedName>
    <definedName name="solver_lhs11" localSheetId="13" hidden="1">'Cereals-all-year'!$AE$41</definedName>
    <definedName name="solver_lhs11" localSheetId="14" hidden="1">'Legumes-all-year'!$AE$37</definedName>
    <definedName name="solver_lhs12" localSheetId="13" hidden="1">'Cereals-all-year'!$AE$41</definedName>
    <definedName name="solver_lhs12" localSheetId="14" hidden="1">'Legumes-all-year'!$AE$37</definedName>
    <definedName name="solver_lhs13" localSheetId="13" hidden="1">'Cereals-all-year'!$AE$41</definedName>
    <definedName name="solver_lhs13" localSheetId="14" hidden="1">'Legumes-all-year'!$AE$37</definedName>
    <definedName name="solver_lhs14" localSheetId="13" hidden="1">'Cereals-all-year'!$AE$41</definedName>
    <definedName name="solver_lhs14" localSheetId="14" hidden="1">'Legumes-all-year'!$AE$37</definedName>
    <definedName name="solver_lhs15" localSheetId="13" hidden="1">'Cereals-all-year'!$AE$41</definedName>
    <definedName name="solver_lhs15" localSheetId="14" hidden="1">'Legumes-all-year'!$AE$37</definedName>
    <definedName name="solver_lhs16" localSheetId="13" hidden="1">'Cereals-all-year'!$AE$41</definedName>
    <definedName name="solver_lhs16" localSheetId="14" hidden="1">'Legumes-all-year'!$AE$37</definedName>
    <definedName name="solver_lhs17" localSheetId="13" hidden="1">'Cereals-all-year'!$AE$41</definedName>
    <definedName name="solver_lhs17" localSheetId="14" hidden="1">'Legumes-all-year'!$AE$37</definedName>
    <definedName name="solver_lhs18" localSheetId="13" hidden="1">'Cereals-all-year'!$AE$41</definedName>
    <definedName name="solver_lhs18" localSheetId="14" hidden="1">'Legumes-all-year'!$AE$37</definedName>
    <definedName name="solver_lhs19" localSheetId="13" hidden="1">'Cereals-all-year'!$AE$41</definedName>
    <definedName name="solver_lhs19" localSheetId="14" hidden="1">'Legumes-all-year'!$AE$37</definedName>
    <definedName name="solver_lhs2" localSheetId="25" hidden="1">'Agro-sylvopastoral-areas'!$AE$42</definedName>
    <definedName name="solver_lhs2" localSheetId="18" hidden="1">'Alfalfa-all-year'!$AE$32</definedName>
    <definedName name="solver_lhs2" localSheetId="17" hidden="1">'Annual-forages-all-year'!$AE$43</definedName>
    <definedName name="solver_lhs2" localSheetId="13" hidden="1">'Cereals-all-year'!$AE$43</definedName>
    <definedName name="solver_lhs2" localSheetId="28" hidden="1">Forest!$AK$31</definedName>
    <definedName name="solver_lhs2" localSheetId="16" hidden="1">'Fruits-all-year'!$AE$47</definedName>
    <definedName name="solver_lhs2" localSheetId="14" hidden="1">'Legumes-all-year'!$AE$33</definedName>
    <definedName name="solver_lhs2" localSheetId="23" hidden="1">'Pastoral-areas'!$Z$39</definedName>
    <definedName name="solver_lhs2" localSheetId="24" hidden="1">Prairies!$AE$33</definedName>
    <definedName name="solver_lhs2" localSheetId="15" hidden="1">'Vegetables-all-year'!$AE$40</definedName>
    <definedName name="solver_lhs20" localSheetId="13" hidden="1">'Cereals-all-year'!$AE$41</definedName>
    <definedName name="solver_lhs20" localSheetId="14" hidden="1">'Legumes-all-year'!$AE$40</definedName>
    <definedName name="solver_lhs21" localSheetId="13" hidden="1">'Cereals-all-year'!$AE$41</definedName>
    <definedName name="solver_lhs21" localSheetId="14" hidden="1">'Legumes-all-year'!$AE$40</definedName>
    <definedName name="solver_lhs22" localSheetId="13" hidden="1">'Cereals-all-year'!$AE$41</definedName>
    <definedName name="solver_lhs22" localSheetId="14" hidden="1">'Legumes-all-year'!$AE$40</definedName>
    <definedName name="solver_lhs23" localSheetId="13" hidden="1">'Cereals-all-year'!$AE$41</definedName>
    <definedName name="solver_lhs23" localSheetId="14" hidden="1">'Legumes-all-year'!$AE$40</definedName>
    <definedName name="solver_lhs24" localSheetId="13" hidden="1">'Cereals-all-year'!$AE$41</definedName>
    <definedName name="solver_lhs24" localSheetId="14" hidden="1">'Legumes-all-year'!$AE$40</definedName>
    <definedName name="solver_lhs25" localSheetId="13" hidden="1">'Cereals-all-year'!$AE$41</definedName>
    <definedName name="solver_lhs25" localSheetId="14" hidden="1">'Legumes-all-year'!$AE$40</definedName>
    <definedName name="solver_lhs26" localSheetId="13" hidden="1">'Cereals-all-year'!$AE$41</definedName>
    <definedName name="solver_lhs26" localSheetId="14" hidden="1">'Legumes-all-year'!$AE$40</definedName>
    <definedName name="solver_lhs27" localSheetId="13" hidden="1">'Cereals-all-year'!$AE$41</definedName>
    <definedName name="solver_lhs27" localSheetId="14" hidden="1">'Legumes-all-year'!$AE$40</definedName>
    <definedName name="solver_lhs28" localSheetId="13" hidden="1">'Cereals-all-year'!$AE$41</definedName>
    <definedName name="solver_lhs28" localSheetId="14" hidden="1">'Legumes-all-year'!$AE$40</definedName>
    <definedName name="solver_lhs29" localSheetId="13" hidden="1">'Cereals-all-year'!$AE$41</definedName>
    <definedName name="solver_lhs29" localSheetId="14" hidden="1">'Legumes-all-year'!$AE$40</definedName>
    <definedName name="solver_lhs3" localSheetId="13" hidden="1">'Cereals-all-year'!$AE$41</definedName>
    <definedName name="solver_lhs3" localSheetId="14" hidden="1">'Legumes-all-year'!$AE$37</definedName>
    <definedName name="solver_lhs30" localSheetId="13" hidden="1">'Cereals-all-year'!$AE$41</definedName>
    <definedName name="solver_lhs30" localSheetId="14" hidden="1">'Legumes-all-year'!$AE$40</definedName>
    <definedName name="solver_lhs31" localSheetId="13" hidden="1">'Cereals-all-year'!$AE$41</definedName>
    <definedName name="solver_lhs31" localSheetId="14" hidden="1">'Legumes-all-year'!$AE$40</definedName>
    <definedName name="solver_lhs32" localSheetId="13" hidden="1">'Cereals-all-year'!$AE$41</definedName>
    <definedName name="solver_lhs32" localSheetId="14" hidden="1">'Legumes-all-year'!$AE$40</definedName>
    <definedName name="solver_lhs33" localSheetId="13" hidden="1">'Cereals-all-year'!$AE$41</definedName>
    <definedName name="solver_lhs33" localSheetId="14" hidden="1">'Legumes-all-year'!$AE$40</definedName>
    <definedName name="solver_lhs34" localSheetId="13" hidden="1">'Cereals-all-year'!$AE$41</definedName>
    <definedName name="solver_lhs34" localSheetId="14" hidden="1">'Legumes-all-year'!$AE$40</definedName>
    <definedName name="solver_lhs35" localSheetId="13" hidden="1">'Cereals-all-year'!$AE$41</definedName>
    <definedName name="solver_lhs35" localSheetId="14" hidden="1">'Legumes-all-year'!$AE$40</definedName>
    <definedName name="solver_lhs36" localSheetId="13" hidden="1">'Cereals-all-year'!$AE$41</definedName>
    <definedName name="solver_lhs36" localSheetId="14" hidden="1">'Legumes-all-year'!$AE$40</definedName>
    <definedName name="solver_lhs37" localSheetId="13" hidden="1">'Cereals-all-year'!$AE$41</definedName>
    <definedName name="solver_lhs37" localSheetId="14" hidden="1">'Legumes-all-year'!$AE$40</definedName>
    <definedName name="solver_lhs38" localSheetId="13" hidden="1">'Cereals-all-year'!$AE$41</definedName>
    <definedName name="solver_lhs38" localSheetId="14" hidden="1">'Legumes-all-year'!$AE$40</definedName>
    <definedName name="solver_lhs39" localSheetId="13" hidden="1">'Cereals-all-year'!$AE$41</definedName>
    <definedName name="solver_lhs39" localSheetId="14" hidden="1">'Legumes-all-year'!$AE$40</definedName>
    <definedName name="solver_lhs4" localSheetId="13" hidden="1">'Cereals-all-year'!$AE$41</definedName>
    <definedName name="solver_lhs4" localSheetId="14" hidden="1">'Legumes-all-year'!$AE$37</definedName>
    <definedName name="solver_lhs40" localSheetId="13" hidden="1">'Cereals-all-year'!$AE$41</definedName>
    <definedName name="solver_lhs40" localSheetId="14" hidden="1">'Legumes-all-year'!$AE$40</definedName>
    <definedName name="solver_lhs41" localSheetId="13" hidden="1">'Cereals-all-year'!$AE$41</definedName>
    <definedName name="solver_lhs42" localSheetId="13" hidden="1">'Cereals-all-year'!$AE$41</definedName>
    <definedName name="solver_lhs43" localSheetId="13" hidden="1">'Cereals-all-year'!$AE$41</definedName>
    <definedName name="solver_lhs44" localSheetId="13" hidden="1">'Cereals-all-year'!$AE$41</definedName>
    <definedName name="solver_lhs45" localSheetId="13" hidden="1">'Cereals-all-year'!$AE$41</definedName>
    <definedName name="solver_lhs46" localSheetId="13" hidden="1">'Cereals-all-year'!$AD$35</definedName>
    <definedName name="solver_lhs47" localSheetId="13" hidden="1">'Cereals-all-year'!$AD$35</definedName>
    <definedName name="solver_lhs48" localSheetId="13" hidden="1">'Cereals-all-year'!$AD$35</definedName>
    <definedName name="solver_lhs49" localSheetId="13" hidden="1">'Cereals-all-year'!$AD$35</definedName>
    <definedName name="solver_lhs5" localSheetId="13" hidden="1">'Cereals-all-year'!$AE$41</definedName>
    <definedName name="solver_lhs5" localSheetId="14" hidden="1">'Legumes-all-year'!$AE$37</definedName>
    <definedName name="solver_lhs6" localSheetId="13" hidden="1">'Cereals-all-year'!$AE$41</definedName>
    <definedName name="solver_lhs6" localSheetId="14" hidden="1">'Legumes-all-year'!$AE$37</definedName>
    <definedName name="solver_lhs7" localSheetId="13" hidden="1">'Cereals-all-year'!$AE$41</definedName>
    <definedName name="solver_lhs7" localSheetId="14" hidden="1">'Legumes-all-year'!$AE$37</definedName>
    <definedName name="solver_lhs8" localSheetId="13" hidden="1">'Cereals-all-year'!$AE$41</definedName>
    <definedName name="solver_lhs8" localSheetId="14" hidden="1">'Legumes-all-year'!$AE$37</definedName>
    <definedName name="solver_lhs9" localSheetId="13" hidden="1">'Cereals-all-year'!$AE$41</definedName>
    <definedName name="solver_lhs9" localSheetId="14" hidden="1">'Legumes-all-year'!$AE$37</definedName>
    <definedName name="solver_mip" localSheetId="25" hidden="1">2147483647</definedName>
    <definedName name="solver_mip" localSheetId="18" hidden="1">2147483647</definedName>
    <definedName name="solver_mip" localSheetId="17" hidden="1">2147483647</definedName>
    <definedName name="solver_mip" localSheetId="13" hidden="1">2147483647</definedName>
    <definedName name="solver_mip" localSheetId="28" hidden="1">2147483647</definedName>
    <definedName name="solver_mip" localSheetId="16" hidden="1">2147483647</definedName>
    <definedName name="solver_mip" localSheetId="14" hidden="1">2147483647</definedName>
    <definedName name="solver_mip" localSheetId="23" hidden="1">2147483647</definedName>
    <definedName name="solver_mip" localSheetId="24" hidden="1">2147483647</definedName>
    <definedName name="solver_mip" localSheetId="15" hidden="1">2147483647</definedName>
    <definedName name="solver_mni" localSheetId="25" hidden="1">30</definedName>
    <definedName name="solver_mni" localSheetId="18" hidden="1">30</definedName>
    <definedName name="solver_mni" localSheetId="17" hidden="1">30</definedName>
    <definedName name="solver_mni" localSheetId="13" hidden="1">30</definedName>
    <definedName name="solver_mni" localSheetId="28" hidden="1">30</definedName>
    <definedName name="solver_mni" localSheetId="16" hidden="1">30</definedName>
    <definedName name="solver_mni" localSheetId="14" hidden="1">30</definedName>
    <definedName name="solver_mni" localSheetId="23" hidden="1">30</definedName>
    <definedName name="solver_mni" localSheetId="24" hidden="1">30</definedName>
    <definedName name="solver_mni" localSheetId="15" hidden="1">30</definedName>
    <definedName name="solver_mrt" localSheetId="25" hidden="1">0.075</definedName>
    <definedName name="solver_mrt" localSheetId="18" hidden="1">0.075</definedName>
    <definedName name="solver_mrt" localSheetId="17" hidden="1">0.075</definedName>
    <definedName name="solver_mrt" localSheetId="13" hidden="1">0.075</definedName>
    <definedName name="solver_mrt" localSheetId="28" hidden="1">0.075</definedName>
    <definedName name="solver_mrt" localSheetId="16" hidden="1">0.075</definedName>
    <definedName name="solver_mrt" localSheetId="14" hidden="1">0.075</definedName>
    <definedName name="solver_mrt" localSheetId="23" hidden="1">0.075</definedName>
    <definedName name="solver_mrt" localSheetId="24" hidden="1">0.075</definedName>
    <definedName name="solver_mrt" localSheetId="15" hidden="1">0.075</definedName>
    <definedName name="solver_msl" localSheetId="25" hidden="1">2</definedName>
    <definedName name="solver_msl" localSheetId="18" hidden="1">2</definedName>
    <definedName name="solver_msl" localSheetId="17" hidden="1">2</definedName>
    <definedName name="solver_msl" localSheetId="13" hidden="1">2</definedName>
    <definedName name="solver_msl" localSheetId="28" hidden="1">2</definedName>
    <definedName name="solver_msl" localSheetId="16" hidden="1">2</definedName>
    <definedName name="solver_msl" localSheetId="14" hidden="1">2</definedName>
    <definedName name="solver_msl" localSheetId="23" hidden="1">2</definedName>
    <definedName name="solver_msl" localSheetId="24" hidden="1">2</definedName>
    <definedName name="solver_msl" localSheetId="15" hidden="1">2</definedName>
    <definedName name="solver_neg" localSheetId="25" hidden="1">1</definedName>
    <definedName name="solver_neg" localSheetId="18" hidden="1">1</definedName>
    <definedName name="solver_neg" localSheetId="17" hidden="1">1</definedName>
    <definedName name="solver_neg" localSheetId="13" hidden="1">2</definedName>
    <definedName name="solver_neg" localSheetId="28" hidden="1">1</definedName>
    <definedName name="solver_neg" localSheetId="16" hidden="1">1</definedName>
    <definedName name="solver_neg" localSheetId="14" hidden="1">1</definedName>
    <definedName name="solver_neg" localSheetId="23" hidden="1">1</definedName>
    <definedName name="solver_neg" localSheetId="24" hidden="1">1</definedName>
    <definedName name="solver_neg" localSheetId="15" hidden="1">1</definedName>
    <definedName name="solver_nod" localSheetId="25" hidden="1">2147483647</definedName>
    <definedName name="solver_nod" localSheetId="18" hidden="1">2147483647</definedName>
    <definedName name="solver_nod" localSheetId="17" hidden="1">2147483647</definedName>
    <definedName name="solver_nod" localSheetId="13" hidden="1">2147483647</definedName>
    <definedName name="solver_nod" localSheetId="28" hidden="1">2147483647</definedName>
    <definedName name="solver_nod" localSheetId="16" hidden="1">2147483647</definedName>
    <definedName name="solver_nod" localSheetId="14" hidden="1">2147483647</definedName>
    <definedName name="solver_nod" localSheetId="23" hidden="1">2147483647</definedName>
    <definedName name="solver_nod" localSheetId="24" hidden="1">2147483647</definedName>
    <definedName name="solver_nod" localSheetId="15" hidden="1">2147483647</definedName>
    <definedName name="solver_num" localSheetId="25" hidden="1">2</definedName>
    <definedName name="solver_num" localSheetId="18" hidden="1">2</definedName>
    <definedName name="solver_num" localSheetId="17" hidden="1">2</definedName>
    <definedName name="solver_num" localSheetId="13" hidden="1">2</definedName>
    <definedName name="solver_num" localSheetId="28" hidden="1">2</definedName>
    <definedName name="solver_num" localSheetId="16" hidden="1">2</definedName>
    <definedName name="solver_num" localSheetId="14" hidden="1">2</definedName>
    <definedName name="solver_num" localSheetId="23" hidden="1">2</definedName>
    <definedName name="solver_num" localSheetId="24" hidden="1">2</definedName>
    <definedName name="solver_num" localSheetId="15" hidden="1">1</definedName>
    <definedName name="solver_nwt" localSheetId="25" hidden="1">1</definedName>
    <definedName name="solver_nwt" localSheetId="18" hidden="1">1</definedName>
    <definedName name="solver_nwt" localSheetId="17" hidden="1">1</definedName>
    <definedName name="solver_nwt" localSheetId="13" hidden="1">1</definedName>
    <definedName name="solver_nwt" localSheetId="28" hidden="1">1</definedName>
    <definedName name="solver_nwt" localSheetId="16" hidden="1">1</definedName>
    <definedName name="solver_nwt" localSheetId="14" hidden="1">1</definedName>
    <definedName name="solver_nwt" localSheetId="23" hidden="1">1</definedName>
    <definedName name="solver_nwt" localSheetId="24" hidden="1">1</definedName>
    <definedName name="solver_nwt" localSheetId="15" hidden="1">1</definedName>
    <definedName name="solver_opt" localSheetId="25" hidden="1">'Agro-sylvopastoral-areas'!$AF$42</definedName>
    <definedName name="solver_opt" localSheetId="18" hidden="1">'Alfalfa-all-year'!$AF$32</definedName>
    <definedName name="solver_opt" localSheetId="17" hidden="1">'Annual-forages-all-year'!$AF$43</definedName>
    <definedName name="solver_opt" localSheetId="13" hidden="1">'Cereals-all-year'!$AF$43</definedName>
    <definedName name="solver_opt" localSheetId="28" hidden="1">Forest!$AL$31</definedName>
    <definedName name="solver_opt" localSheetId="16" hidden="1">'Fruits-all-year'!$AF$47</definedName>
    <definedName name="solver_opt" localSheetId="14" hidden="1">'Legumes-all-year'!$AF$33</definedName>
    <definedName name="solver_opt" localSheetId="23" hidden="1">'Pastoral-areas'!$AF$39</definedName>
    <definedName name="solver_opt" localSheetId="24" hidden="1">Prairies!$AF$33</definedName>
    <definedName name="solver_opt" localSheetId="15" hidden="1">'Vegetables-all-year'!$AF$40</definedName>
    <definedName name="solver_pre" localSheetId="25" hidden="1">0.000001</definedName>
    <definedName name="solver_pre" localSheetId="18" hidden="1">0.000001</definedName>
    <definedName name="solver_pre" localSheetId="17" hidden="1">0.000001</definedName>
    <definedName name="solver_pre" localSheetId="13" hidden="1">0.000001</definedName>
    <definedName name="solver_pre" localSheetId="28" hidden="1">0.000001</definedName>
    <definedName name="solver_pre" localSheetId="16" hidden="1">0.000001</definedName>
    <definedName name="solver_pre" localSheetId="14" hidden="1">0.000001</definedName>
    <definedName name="solver_pre" localSheetId="23" hidden="1">0.000001</definedName>
    <definedName name="solver_pre" localSheetId="24" hidden="1">0.000001</definedName>
    <definedName name="solver_pre" localSheetId="15" hidden="1">0.000001</definedName>
    <definedName name="solver_rbv" localSheetId="25" hidden="1">2</definedName>
    <definedName name="solver_rbv" localSheetId="18" hidden="1">1</definedName>
    <definedName name="solver_rbv" localSheetId="17" hidden="1">2</definedName>
    <definedName name="solver_rbv" localSheetId="13" hidden="1">1</definedName>
    <definedName name="solver_rbv" localSheetId="28" hidden="1">1</definedName>
    <definedName name="solver_rbv" localSheetId="16" hidden="1">1</definedName>
    <definedName name="solver_rbv" localSheetId="14" hidden="1">2</definedName>
    <definedName name="solver_rbv" localSheetId="23" hidden="1">1</definedName>
    <definedName name="solver_rbv" localSheetId="24" hidden="1">1</definedName>
    <definedName name="solver_rbv" localSheetId="15" hidden="1">1</definedName>
    <definedName name="solver_rel0" localSheetId="13" hidden="1">2</definedName>
    <definedName name="solver_rel1" localSheetId="25" hidden="1">2</definedName>
    <definedName name="solver_rel1" localSheetId="18" hidden="1">2</definedName>
    <definedName name="solver_rel1" localSheetId="17" hidden="1">2</definedName>
    <definedName name="solver_rel1" localSheetId="13" hidden="1">2</definedName>
    <definedName name="solver_rel1" localSheetId="28" hidden="1">2</definedName>
    <definedName name="solver_rel1" localSheetId="16" hidden="1">2</definedName>
    <definedName name="solver_rel1" localSheetId="14" hidden="1">2</definedName>
    <definedName name="solver_rel1" localSheetId="23" hidden="1">2</definedName>
    <definedName name="solver_rel1" localSheetId="24" hidden="1">2</definedName>
    <definedName name="solver_rel1" localSheetId="15" hidden="1">2</definedName>
    <definedName name="solver_rel10" localSheetId="13" hidden="1">2</definedName>
    <definedName name="solver_rel10" localSheetId="14" hidden="1">2</definedName>
    <definedName name="solver_rel11" localSheetId="13" hidden="1">2</definedName>
    <definedName name="solver_rel11" localSheetId="14" hidden="1">2</definedName>
    <definedName name="solver_rel12" localSheetId="13" hidden="1">2</definedName>
    <definedName name="solver_rel12" localSheetId="14" hidden="1">2</definedName>
    <definedName name="solver_rel13" localSheetId="13" hidden="1">2</definedName>
    <definedName name="solver_rel13" localSheetId="14" hidden="1">2</definedName>
    <definedName name="solver_rel14" localSheetId="13" hidden="1">2</definedName>
    <definedName name="solver_rel14" localSheetId="14" hidden="1">2</definedName>
    <definedName name="solver_rel15" localSheetId="13" hidden="1">2</definedName>
    <definedName name="solver_rel15" localSheetId="14" hidden="1">2</definedName>
    <definedName name="solver_rel16" localSheetId="13" hidden="1">2</definedName>
    <definedName name="solver_rel16" localSheetId="14" hidden="1">2</definedName>
    <definedName name="solver_rel17" localSheetId="13" hidden="1">2</definedName>
    <definedName name="solver_rel17" localSheetId="14" hidden="1">2</definedName>
    <definedName name="solver_rel18" localSheetId="13" hidden="1">2</definedName>
    <definedName name="solver_rel18" localSheetId="14" hidden="1">2</definedName>
    <definedName name="solver_rel19" localSheetId="13" hidden="1">2</definedName>
    <definedName name="solver_rel19" localSheetId="14" hidden="1">2</definedName>
    <definedName name="solver_rel2" localSheetId="25" hidden="1">2</definedName>
    <definedName name="solver_rel2" localSheetId="18" hidden="1">2</definedName>
    <definedName name="solver_rel2" localSheetId="17" hidden="1">2</definedName>
    <definedName name="solver_rel2" localSheetId="13" hidden="1">2</definedName>
    <definedName name="solver_rel2" localSheetId="28" hidden="1">2</definedName>
    <definedName name="solver_rel2" localSheetId="16" hidden="1">2</definedName>
    <definedName name="solver_rel2" localSheetId="14" hidden="1">2</definedName>
    <definedName name="solver_rel2" localSheetId="23" hidden="1">2</definedName>
    <definedName name="solver_rel2" localSheetId="24" hidden="1">2</definedName>
    <definedName name="solver_rel2" localSheetId="15" hidden="1">2</definedName>
    <definedName name="solver_rel20" localSheetId="13" hidden="1">2</definedName>
    <definedName name="solver_rel20" localSheetId="14" hidden="1">2</definedName>
    <definedName name="solver_rel21" localSheetId="13" hidden="1">2</definedName>
    <definedName name="solver_rel21" localSheetId="14" hidden="1">2</definedName>
    <definedName name="solver_rel22" localSheetId="13" hidden="1">2</definedName>
    <definedName name="solver_rel22" localSheetId="14" hidden="1">2</definedName>
    <definedName name="solver_rel23" localSheetId="13" hidden="1">2</definedName>
    <definedName name="solver_rel23" localSheetId="14" hidden="1">2</definedName>
    <definedName name="solver_rel24" localSheetId="13" hidden="1">2</definedName>
    <definedName name="solver_rel24" localSheetId="14" hidden="1">2</definedName>
    <definedName name="solver_rel25" localSheetId="13" hidden="1">2</definedName>
    <definedName name="solver_rel25" localSheetId="14" hidden="1">2</definedName>
    <definedName name="solver_rel26" localSheetId="13" hidden="1">2</definedName>
    <definedName name="solver_rel26" localSheetId="14" hidden="1">2</definedName>
    <definedName name="solver_rel27" localSheetId="13" hidden="1">2</definedName>
    <definedName name="solver_rel27" localSheetId="14" hidden="1">2</definedName>
    <definedName name="solver_rel28" localSheetId="13" hidden="1">2</definedName>
    <definedName name="solver_rel28" localSheetId="14" hidden="1">2</definedName>
    <definedName name="solver_rel29" localSheetId="13" hidden="1">2</definedName>
    <definedName name="solver_rel29" localSheetId="14" hidden="1">2</definedName>
    <definedName name="solver_rel3" localSheetId="13" hidden="1">2</definedName>
    <definedName name="solver_rel3" localSheetId="14" hidden="1">2</definedName>
    <definedName name="solver_rel30" localSheetId="13" hidden="1">2</definedName>
    <definedName name="solver_rel30" localSheetId="14" hidden="1">2</definedName>
    <definedName name="solver_rel31" localSheetId="13" hidden="1">2</definedName>
    <definedName name="solver_rel31" localSheetId="14" hidden="1">2</definedName>
    <definedName name="solver_rel32" localSheetId="13" hidden="1">2</definedName>
    <definedName name="solver_rel32" localSheetId="14" hidden="1">2</definedName>
    <definedName name="solver_rel33" localSheetId="13" hidden="1">2</definedName>
    <definedName name="solver_rel33" localSheetId="14" hidden="1">2</definedName>
    <definedName name="solver_rel34" localSheetId="13" hidden="1">2</definedName>
    <definedName name="solver_rel34" localSheetId="14" hidden="1">2</definedName>
    <definedName name="solver_rel35" localSheetId="13" hidden="1">2</definedName>
    <definedName name="solver_rel35" localSheetId="14" hidden="1">2</definedName>
    <definedName name="solver_rel36" localSheetId="13" hidden="1">2</definedName>
    <definedName name="solver_rel36" localSheetId="14" hidden="1">2</definedName>
    <definedName name="solver_rel37" localSheetId="13" hidden="1">2</definedName>
    <definedName name="solver_rel37" localSheetId="14" hidden="1">2</definedName>
    <definedName name="solver_rel38" localSheetId="13" hidden="1">2</definedName>
    <definedName name="solver_rel38" localSheetId="14" hidden="1">2</definedName>
    <definedName name="solver_rel39" localSheetId="13" hidden="1">2</definedName>
    <definedName name="solver_rel39" localSheetId="14" hidden="1">2</definedName>
    <definedName name="solver_rel4" localSheetId="13" hidden="1">2</definedName>
    <definedName name="solver_rel4" localSheetId="14" hidden="1">2</definedName>
    <definedName name="solver_rel40" localSheetId="13" hidden="1">2</definedName>
    <definedName name="solver_rel40" localSheetId="14" hidden="1">2</definedName>
    <definedName name="solver_rel41" localSheetId="13" hidden="1">2</definedName>
    <definedName name="solver_rel42" localSheetId="13" hidden="1">2</definedName>
    <definedName name="solver_rel43" localSheetId="13" hidden="1">2</definedName>
    <definedName name="solver_rel44" localSheetId="13" hidden="1">2</definedName>
    <definedName name="solver_rel45" localSheetId="13" hidden="1">2</definedName>
    <definedName name="solver_rel46" localSheetId="13" hidden="1">2</definedName>
    <definedName name="solver_rel47" localSheetId="13" hidden="1">2</definedName>
    <definedName name="solver_rel48" localSheetId="13" hidden="1">2</definedName>
    <definedName name="solver_rel49" localSheetId="13" hidden="1">2</definedName>
    <definedName name="solver_rel5" localSheetId="13" hidden="1">2</definedName>
    <definedName name="solver_rel5" localSheetId="14" hidden="1">2</definedName>
    <definedName name="solver_rel6" localSheetId="13" hidden="1">2</definedName>
    <definedName name="solver_rel6" localSheetId="14" hidden="1">2</definedName>
    <definedName name="solver_rel7" localSheetId="13" hidden="1">2</definedName>
    <definedName name="solver_rel7" localSheetId="14" hidden="1">2</definedName>
    <definedName name="solver_rel8" localSheetId="13" hidden="1">2</definedName>
    <definedName name="solver_rel8" localSheetId="14" hidden="1">2</definedName>
    <definedName name="solver_rel9" localSheetId="13" hidden="1">2</definedName>
    <definedName name="solver_rel9" localSheetId="14" hidden="1">2</definedName>
    <definedName name="solver_rhs0" localSheetId="13" hidden="1">(1+'Cereals-all-year'!$X$35)*'Cereals-all-year'!$X$18</definedName>
    <definedName name="solver_rhs1" localSheetId="25" hidden="1">0</definedName>
    <definedName name="solver_rhs1" localSheetId="18" hidden="1">0</definedName>
    <definedName name="solver_rhs1" localSheetId="17" hidden="1">0</definedName>
    <definedName name="solver_rhs1" localSheetId="13" hidden="1">0</definedName>
    <definedName name="solver_rhs1" localSheetId="28" hidden="1">0</definedName>
    <definedName name="solver_rhs1" localSheetId="16" hidden="1">0</definedName>
    <definedName name="solver_rhs1" localSheetId="14" hidden="1">0</definedName>
    <definedName name="solver_rhs1" localSheetId="23" hidden="1">0</definedName>
    <definedName name="solver_rhs1" localSheetId="24" hidden="1">0</definedName>
    <definedName name="solver_rhs1" localSheetId="15" hidden="1">0</definedName>
    <definedName name="solver_rhs10" localSheetId="13" hidden="1">0</definedName>
    <definedName name="solver_rhs10" localSheetId="14" hidden="1">0</definedName>
    <definedName name="solver_rhs11" localSheetId="13" hidden="1">0</definedName>
    <definedName name="solver_rhs11" localSheetId="14" hidden="1">0</definedName>
    <definedName name="solver_rhs12" localSheetId="13" hidden="1">0</definedName>
    <definedName name="solver_rhs12" localSheetId="14" hidden="1">0</definedName>
    <definedName name="solver_rhs13" localSheetId="13" hidden="1">0</definedName>
    <definedName name="solver_rhs13" localSheetId="14" hidden="1">0</definedName>
    <definedName name="solver_rhs14" localSheetId="13" hidden="1">0</definedName>
    <definedName name="solver_rhs14" localSheetId="14" hidden="1">0</definedName>
    <definedName name="solver_rhs15" localSheetId="13" hidden="1">0</definedName>
    <definedName name="solver_rhs15" localSheetId="14" hidden="1">0</definedName>
    <definedName name="solver_rhs16" localSheetId="13" hidden="1">0</definedName>
    <definedName name="solver_rhs16" localSheetId="14" hidden="1">0</definedName>
    <definedName name="solver_rhs17" localSheetId="13" hidden="1">0</definedName>
    <definedName name="solver_rhs17" localSheetId="14" hidden="1">0</definedName>
    <definedName name="solver_rhs18" localSheetId="13" hidden="1">0</definedName>
    <definedName name="solver_rhs18" localSheetId="14" hidden="1">0</definedName>
    <definedName name="solver_rhs19" localSheetId="13" hidden="1">0</definedName>
    <definedName name="solver_rhs19" localSheetId="14" hidden="1">0</definedName>
    <definedName name="solver_rhs2" localSheetId="25" hidden="1">0</definedName>
    <definedName name="solver_rhs2" localSheetId="18" hidden="1">0</definedName>
    <definedName name="solver_rhs2" localSheetId="17" hidden="1">0</definedName>
    <definedName name="solver_rhs2" localSheetId="13" hidden="1">0</definedName>
    <definedName name="solver_rhs2" localSheetId="28" hidden="1">0</definedName>
    <definedName name="solver_rhs2" localSheetId="16" hidden="1">0</definedName>
    <definedName name="solver_rhs2" localSheetId="14" hidden="1">0</definedName>
    <definedName name="solver_rhs2" localSheetId="23" hidden="1">0</definedName>
    <definedName name="solver_rhs2" localSheetId="24" hidden="1">0</definedName>
    <definedName name="solver_rhs2" localSheetId="15" hidden="1">0</definedName>
    <definedName name="solver_rhs20" localSheetId="13" hidden="1">0</definedName>
    <definedName name="solver_rhs20" localSheetId="14" hidden="1">0</definedName>
    <definedName name="solver_rhs21" localSheetId="13" hidden="1">0</definedName>
    <definedName name="solver_rhs21" localSheetId="14" hidden="1">0</definedName>
    <definedName name="solver_rhs22" localSheetId="13" hidden="1">0</definedName>
    <definedName name="solver_rhs22" localSheetId="14" hidden="1">0</definedName>
    <definedName name="solver_rhs23" localSheetId="13" hidden="1">0</definedName>
    <definedName name="solver_rhs23" localSheetId="14" hidden="1">0</definedName>
    <definedName name="solver_rhs24" localSheetId="13" hidden="1">0</definedName>
    <definedName name="solver_rhs24" localSheetId="14" hidden="1">0</definedName>
    <definedName name="solver_rhs25" localSheetId="13" hidden="1">0</definedName>
    <definedName name="solver_rhs25" localSheetId="14" hidden="1">0</definedName>
    <definedName name="solver_rhs26" localSheetId="13" hidden="1">0</definedName>
    <definedName name="solver_rhs26" localSheetId="14" hidden="1">0</definedName>
    <definedName name="solver_rhs27" localSheetId="13" hidden="1">0</definedName>
    <definedName name="solver_rhs27" localSheetId="14" hidden="1">0</definedName>
    <definedName name="solver_rhs28" localSheetId="13" hidden="1">0</definedName>
    <definedName name="solver_rhs28" localSheetId="14" hidden="1">0</definedName>
    <definedName name="solver_rhs29" localSheetId="13" hidden="1">0</definedName>
    <definedName name="solver_rhs29" localSheetId="14" hidden="1">0</definedName>
    <definedName name="solver_rhs3" localSheetId="13" hidden="1">0</definedName>
    <definedName name="solver_rhs3" localSheetId="14" hidden="1">0</definedName>
    <definedName name="solver_rhs30" localSheetId="13" hidden="1">0</definedName>
    <definedName name="solver_rhs30" localSheetId="14" hidden="1">0</definedName>
    <definedName name="solver_rhs31" localSheetId="13" hidden="1">0</definedName>
    <definedName name="solver_rhs31" localSheetId="14" hidden="1">0</definedName>
    <definedName name="solver_rhs32" localSheetId="13" hidden="1">0</definedName>
    <definedName name="solver_rhs32" localSheetId="14" hidden="1">0</definedName>
    <definedName name="solver_rhs33" localSheetId="13" hidden="1">0</definedName>
    <definedName name="solver_rhs33" localSheetId="14" hidden="1">0</definedName>
    <definedName name="solver_rhs34" localSheetId="13" hidden="1">0</definedName>
    <definedName name="solver_rhs34" localSheetId="14" hidden="1">0</definedName>
    <definedName name="solver_rhs35" localSheetId="13" hidden="1">0</definedName>
    <definedName name="solver_rhs35" localSheetId="14" hidden="1">0</definedName>
    <definedName name="solver_rhs36" localSheetId="13" hidden="1">0</definedName>
    <definedName name="solver_rhs36" localSheetId="14" hidden="1">0</definedName>
    <definedName name="solver_rhs37" localSheetId="13" hidden="1">0</definedName>
    <definedName name="solver_rhs37" localSheetId="14" hidden="1">0</definedName>
    <definedName name="solver_rhs38" localSheetId="13" hidden="1">0</definedName>
    <definedName name="solver_rhs38" localSheetId="14" hidden="1">0</definedName>
    <definedName name="solver_rhs39" localSheetId="13" hidden="1">0</definedName>
    <definedName name="solver_rhs39" localSheetId="14" hidden="1">0</definedName>
    <definedName name="solver_rhs4" localSheetId="13" hidden="1">0</definedName>
    <definedName name="solver_rhs4" localSheetId="14" hidden="1">0</definedName>
    <definedName name="solver_rhs40" localSheetId="13" hidden="1">0</definedName>
    <definedName name="solver_rhs40" localSheetId="14" hidden="1">0</definedName>
    <definedName name="solver_rhs41" localSheetId="13" hidden="1">0</definedName>
    <definedName name="solver_rhs42" localSheetId="13" hidden="1">0</definedName>
    <definedName name="solver_rhs43" localSheetId="13" hidden="1">0</definedName>
    <definedName name="solver_rhs44" localSheetId="13" hidden="1">0</definedName>
    <definedName name="solver_rhs45" localSheetId="13" hidden="1">0</definedName>
    <definedName name="solver_rhs46" localSheetId="13" hidden="1">0</definedName>
    <definedName name="solver_rhs47" localSheetId="13" hidden="1">0</definedName>
    <definedName name="solver_rhs48" localSheetId="13" hidden="1">0</definedName>
    <definedName name="solver_rhs49" localSheetId="13" hidden="1">0</definedName>
    <definedName name="solver_rhs5" localSheetId="13" hidden="1">0</definedName>
    <definedName name="solver_rhs5" localSheetId="14" hidden="1">0</definedName>
    <definedName name="solver_rhs6" localSheetId="13" hidden="1">0</definedName>
    <definedName name="solver_rhs6" localSheetId="14" hidden="1">0</definedName>
    <definedName name="solver_rhs7" localSheetId="13" hidden="1">0</definedName>
    <definedName name="solver_rhs7" localSheetId="14" hidden="1">0</definedName>
    <definedName name="solver_rhs8" localSheetId="13" hidden="1">0</definedName>
    <definedName name="solver_rhs8" localSheetId="14" hidden="1">0</definedName>
    <definedName name="solver_rhs9" localSheetId="13" hidden="1">0</definedName>
    <definedName name="solver_rhs9" localSheetId="14" hidden="1">0</definedName>
    <definedName name="solver_rlx" localSheetId="25" hidden="1">2</definedName>
    <definedName name="solver_rlx" localSheetId="18" hidden="1">2</definedName>
    <definedName name="solver_rlx" localSheetId="17" hidden="1">2</definedName>
    <definedName name="solver_rlx" localSheetId="13" hidden="1">2</definedName>
    <definedName name="solver_rlx" localSheetId="28" hidden="1">2</definedName>
    <definedName name="solver_rlx" localSheetId="16" hidden="1">2</definedName>
    <definedName name="solver_rlx" localSheetId="14" hidden="1">2</definedName>
    <definedName name="solver_rlx" localSheetId="23" hidden="1">2</definedName>
    <definedName name="solver_rlx" localSheetId="24" hidden="1">2</definedName>
    <definedName name="solver_rlx" localSheetId="15" hidden="1">2</definedName>
    <definedName name="solver_rsd" localSheetId="25" hidden="1">0</definedName>
    <definedName name="solver_rsd" localSheetId="18" hidden="1">0</definedName>
    <definedName name="solver_rsd" localSheetId="17" hidden="1">0</definedName>
    <definedName name="solver_rsd" localSheetId="13" hidden="1">0</definedName>
    <definedName name="solver_rsd" localSheetId="28" hidden="1">0</definedName>
    <definedName name="solver_rsd" localSheetId="16" hidden="1">0</definedName>
    <definedName name="solver_rsd" localSheetId="14" hidden="1">0</definedName>
    <definedName name="solver_rsd" localSheetId="23" hidden="1">0</definedName>
    <definedName name="solver_rsd" localSheetId="24" hidden="1">0</definedName>
    <definedName name="solver_rsd" localSheetId="15" hidden="1">0</definedName>
    <definedName name="solver_scl" localSheetId="25" hidden="1">2</definedName>
    <definedName name="solver_scl" localSheetId="18" hidden="1">1</definedName>
    <definedName name="solver_scl" localSheetId="17" hidden="1">2</definedName>
    <definedName name="solver_scl" localSheetId="13" hidden="1">1</definedName>
    <definedName name="solver_scl" localSheetId="28" hidden="1">1</definedName>
    <definedName name="solver_scl" localSheetId="16" hidden="1">1</definedName>
    <definedName name="solver_scl" localSheetId="14" hidden="1">2</definedName>
    <definedName name="solver_scl" localSheetId="23" hidden="1">1</definedName>
    <definedName name="solver_scl" localSheetId="24" hidden="1">1</definedName>
    <definedName name="solver_scl" localSheetId="15" hidden="1">1</definedName>
    <definedName name="solver_sho" localSheetId="25" hidden="1">2</definedName>
    <definedName name="solver_sho" localSheetId="18" hidden="1">2</definedName>
    <definedName name="solver_sho" localSheetId="17" hidden="1">2</definedName>
    <definedName name="solver_sho" localSheetId="13" hidden="1">2</definedName>
    <definedName name="solver_sho" localSheetId="28" hidden="1">2</definedName>
    <definedName name="solver_sho" localSheetId="16" hidden="1">2</definedName>
    <definedName name="solver_sho" localSheetId="14" hidden="1">2</definedName>
    <definedName name="solver_sho" localSheetId="23" hidden="1">2</definedName>
    <definedName name="solver_sho" localSheetId="24" hidden="1">2</definedName>
    <definedName name="solver_sho" localSheetId="15" hidden="1">2</definedName>
    <definedName name="solver_ssz" localSheetId="25" hidden="1">100</definedName>
    <definedName name="solver_ssz" localSheetId="18" hidden="1">100</definedName>
    <definedName name="solver_ssz" localSheetId="17" hidden="1">100</definedName>
    <definedName name="solver_ssz" localSheetId="13" hidden="1">100</definedName>
    <definedName name="solver_ssz" localSheetId="28" hidden="1">100</definedName>
    <definedName name="solver_ssz" localSheetId="16" hidden="1">100</definedName>
    <definedName name="solver_ssz" localSheetId="14" hidden="1">100</definedName>
    <definedName name="solver_ssz" localSheetId="23" hidden="1">100</definedName>
    <definedName name="solver_ssz" localSheetId="24" hidden="1">100</definedName>
    <definedName name="solver_ssz" localSheetId="15" hidden="1">100</definedName>
    <definedName name="solver_tim" localSheetId="25" hidden="1">2147483647</definedName>
    <definedName name="solver_tim" localSheetId="18" hidden="1">2147483647</definedName>
    <definedName name="solver_tim" localSheetId="17" hidden="1">2147483647</definedName>
    <definedName name="solver_tim" localSheetId="13" hidden="1">2147483647</definedName>
    <definedName name="solver_tim" localSheetId="28" hidden="1">2147483647</definedName>
    <definedName name="solver_tim" localSheetId="16" hidden="1">2147483647</definedName>
    <definedName name="solver_tim" localSheetId="14" hidden="1">2147483647</definedName>
    <definedName name="solver_tim" localSheetId="23" hidden="1">2147483647</definedName>
    <definedName name="solver_tim" localSheetId="24" hidden="1">2147483647</definedName>
    <definedName name="solver_tim" localSheetId="15" hidden="1">2147483647</definedName>
    <definedName name="solver_tol" localSheetId="25" hidden="1">0.01</definedName>
    <definedName name="solver_tol" localSheetId="18" hidden="1">0.01</definedName>
    <definedName name="solver_tol" localSheetId="17" hidden="1">0.01</definedName>
    <definedName name="solver_tol" localSheetId="13" hidden="1">0.01</definedName>
    <definedName name="solver_tol" localSheetId="28" hidden="1">0.01</definedName>
    <definedName name="solver_tol" localSheetId="16" hidden="1">0.01</definedName>
    <definedName name="solver_tol" localSheetId="14" hidden="1">0.01</definedName>
    <definedName name="solver_tol" localSheetId="23" hidden="1">0.01</definedName>
    <definedName name="solver_tol" localSheetId="24" hidden="1">0.01</definedName>
    <definedName name="solver_tol" localSheetId="15" hidden="1">0.01</definedName>
    <definedName name="solver_typ" localSheetId="25" hidden="1">3</definedName>
    <definedName name="solver_typ" localSheetId="18" hidden="1">3</definedName>
    <definedName name="solver_typ" localSheetId="17" hidden="1">3</definedName>
    <definedName name="solver_typ" localSheetId="13" hidden="1">3</definedName>
    <definedName name="solver_typ" localSheetId="28" hidden="1">3</definedName>
    <definedName name="solver_typ" localSheetId="16" hidden="1">3</definedName>
    <definedName name="solver_typ" localSheetId="14" hidden="1">3</definedName>
    <definedName name="solver_typ" localSheetId="23" hidden="1">3</definedName>
    <definedName name="solver_typ" localSheetId="24" hidden="1">3</definedName>
    <definedName name="solver_typ" localSheetId="15" hidden="1">3</definedName>
    <definedName name="solver_val" localSheetId="25" hidden="1">0</definedName>
    <definedName name="solver_val" localSheetId="18" hidden="1">0</definedName>
    <definedName name="solver_val" localSheetId="17" hidden="1">0</definedName>
    <definedName name="solver_val" localSheetId="13" hidden="1">0</definedName>
    <definedName name="solver_val" localSheetId="28" hidden="1">0</definedName>
    <definedName name="solver_val" localSheetId="16" hidden="1">0</definedName>
    <definedName name="solver_val" localSheetId="14" hidden="1">0</definedName>
    <definedName name="solver_val" localSheetId="23" hidden="1">0</definedName>
    <definedName name="solver_val" localSheetId="24" hidden="1">0</definedName>
    <definedName name="solver_val" localSheetId="15" hidden="1">0</definedName>
    <definedName name="solver_ver" localSheetId="25" hidden="1">3</definedName>
    <definedName name="solver_ver" localSheetId="18" hidden="1">3</definedName>
    <definedName name="solver_ver" localSheetId="17" hidden="1">3</definedName>
    <definedName name="solver_ver" localSheetId="13" hidden="1">3</definedName>
    <definedName name="solver_ver" localSheetId="28" hidden="1">3</definedName>
    <definedName name="solver_ver" localSheetId="16" hidden="1">3</definedName>
    <definedName name="solver_ver" localSheetId="14" hidden="1">3</definedName>
    <definedName name="solver_ver" localSheetId="23" hidden="1">3</definedName>
    <definedName name="solver_ver" localSheetId="24" hidden="1">3</definedName>
    <definedName name="solver_ver" localSheetId="15" hidden="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3" i="29" l="1"/>
  <c r="P29" i="62"/>
  <c r="P6" i="62"/>
  <c r="P7" i="62"/>
  <c r="P8" i="62"/>
  <c r="P9" i="62"/>
  <c r="P10" i="62"/>
  <c r="P11" i="62"/>
  <c r="P12" i="62"/>
  <c r="P13" i="62"/>
  <c r="P14" i="62"/>
  <c r="P15" i="62"/>
  <c r="P16" i="62"/>
  <c r="P17" i="62"/>
  <c r="P18" i="62"/>
  <c r="P19" i="62"/>
  <c r="P20" i="62"/>
  <c r="P21" i="62"/>
  <c r="P22" i="62"/>
  <c r="P23" i="62"/>
  <c r="P24" i="62"/>
  <c r="P25" i="62"/>
  <c r="P26" i="62"/>
  <c r="P27" i="62"/>
  <c r="P28" i="62"/>
  <c r="P5" i="62"/>
  <c r="O29" i="62"/>
  <c r="O6" i="62"/>
  <c r="O7" i="62"/>
  <c r="O8" i="62"/>
  <c r="O9" i="62"/>
  <c r="O10" i="62"/>
  <c r="O11" i="62"/>
  <c r="O12" i="62"/>
  <c r="O13" i="62"/>
  <c r="O14" i="62"/>
  <c r="O15" i="62"/>
  <c r="O16" i="62"/>
  <c r="O17" i="62"/>
  <c r="O18" i="62"/>
  <c r="O19" i="62"/>
  <c r="O20" i="62"/>
  <c r="O21" i="62"/>
  <c r="O22" i="62"/>
  <c r="O23" i="62"/>
  <c r="O24" i="62"/>
  <c r="O25" i="62"/>
  <c r="O26" i="62"/>
  <c r="O27" i="62"/>
  <c r="O28" i="62"/>
  <c r="O5" i="62"/>
  <c r="N29" i="62"/>
  <c r="M29" i="62"/>
  <c r="N6" i="62"/>
  <c r="N7" i="62"/>
  <c r="N8" i="62"/>
  <c r="N9" i="62"/>
  <c r="N10" i="62"/>
  <c r="N11" i="62"/>
  <c r="N12" i="62"/>
  <c r="N13" i="62"/>
  <c r="N14" i="62"/>
  <c r="N15" i="62"/>
  <c r="N16" i="62"/>
  <c r="N17" i="62"/>
  <c r="N18" i="62"/>
  <c r="N19" i="62"/>
  <c r="N20" i="62"/>
  <c r="N21" i="62"/>
  <c r="N22" i="62"/>
  <c r="N23" i="62"/>
  <c r="N24" i="62"/>
  <c r="N25" i="62"/>
  <c r="N26" i="62"/>
  <c r="N27" i="62"/>
  <c r="N28" i="62"/>
  <c r="N5" i="62"/>
  <c r="M6" i="62"/>
  <c r="M7" i="62"/>
  <c r="M8" i="62"/>
  <c r="M9" i="62"/>
  <c r="M10" i="62"/>
  <c r="M11" i="62"/>
  <c r="M12" i="62"/>
  <c r="M13" i="62"/>
  <c r="M14" i="62"/>
  <c r="M15" i="62"/>
  <c r="M16" i="62"/>
  <c r="M17" i="62"/>
  <c r="M18" i="62"/>
  <c r="M19" i="62"/>
  <c r="M20" i="62"/>
  <c r="M21" i="62"/>
  <c r="M22" i="62"/>
  <c r="M23" i="62"/>
  <c r="M24" i="62"/>
  <c r="M25" i="62"/>
  <c r="M26" i="62"/>
  <c r="M27" i="62"/>
  <c r="M28" i="62"/>
  <c r="M5" i="62"/>
  <c r="N4" i="35"/>
  <c r="B4" i="54"/>
  <c r="F21" i="12"/>
  <c r="D21" i="12"/>
  <c r="B15" i="12"/>
  <c r="B16" i="12"/>
  <c r="B14" i="12"/>
  <c r="B13" i="12"/>
  <c r="N11" i="33" l="1"/>
  <c r="I46" i="33"/>
  <c r="I43" i="33"/>
  <c r="I37" i="33"/>
  <c r="I30" i="33"/>
  <c r="I22" i="33"/>
  <c r="B16" i="10" s="1"/>
  <c r="P34" i="64"/>
  <c r="I21" i="33" s="1"/>
  <c r="B13" i="10" s="1"/>
  <c r="I10" i="33"/>
  <c r="I41" i="33" s="1"/>
  <c r="I4" i="33"/>
  <c r="I39" i="33" s="1"/>
  <c r="ES32" i="64"/>
  <c r="ER32" i="64"/>
  <c r="EQ32" i="64"/>
  <c r="EP32" i="64"/>
  <c r="EO32" i="64"/>
  <c r="DV32" i="64"/>
  <c r="DU32" i="64"/>
  <c r="D10" i="16" s="1"/>
  <c r="DT32" i="64"/>
  <c r="D9" i="16" s="1"/>
  <c r="DS32" i="64"/>
  <c r="C14" i="29" s="1"/>
  <c r="DR32" i="64"/>
  <c r="C13" i="29" s="1"/>
  <c r="DQ32" i="64"/>
  <c r="DP32" i="64"/>
  <c r="J38" i="33" s="1"/>
  <c r="DO32" i="64"/>
  <c r="DN32" i="64"/>
  <c r="DM32" i="64"/>
  <c r="J43" i="33" s="1"/>
  <c r="DL32" i="64"/>
  <c r="DK32" i="64"/>
  <c r="DJ32" i="64"/>
  <c r="J28" i="33" s="1"/>
  <c r="C15" i="12" s="1"/>
  <c r="DI32" i="64"/>
  <c r="DH32" i="64"/>
  <c r="DG32" i="64"/>
  <c r="J34" i="33" s="1"/>
  <c r="C18" i="12" s="1"/>
  <c r="DF32" i="64"/>
  <c r="J31" i="33" s="1"/>
  <c r="C19" i="12" s="1"/>
  <c r="DE32" i="64"/>
  <c r="J30" i="33" s="1"/>
  <c r="DD32" i="64"/>
  <c r="J26" i="33" s="1"/>
  <c r="C13" i="12" s="1"/>
  <c r="DC32" i="64"/>
  <c r="J29" i="33" s="1"/>
  <c r="C16" i="12" s="1"/>
  <c r="DB32" i="64"/>
  <c r="DA32" i="64"/>
  <c r="J27" i="33" s="1"/>
  <c r="C14" i="12" s="1"/>
  <c r="CZ32" i="64"/>
  <c r="J32" i="33" s="1"/>
  <c r="C20" i="12" s="1"/>
  <c r="CY32" i="64"/>
  <c r="J36" i="33" s="1"/>
  <c r="C21" i="12" s="1"/>
  <c r="CX32" i="64"/>
  <c r="J33" i="33" s="1"/>
  <c r="C17" i="12" s="1"/>
  <c r="CW32" i="64"/>
  <c r="CV32" i="64"/>
  <c r="CV33" i="64" s="1"/>
  <c r="CU32" i="64"/>
  <c r="CT32" i="64"/>
  <c r="CS32" i="64"/>
  <c r="CR32" i="64"/>
  <c r="CQ32" i="64"/>
  <c r="CP32" i="64"/>
  <c r="CO32" i="64"/>
  <c r="J25" i="33" s="1"/>
  <c r="C18" i="10" s="1"/>
  <c r="CN32" i="64"/>
  <c r="J24" i="33" s="1"/>
  <c r="C17" i="10" s="1"/>
  <c r="CM32" i="64"/>
  <c r="J22" i="33" s="1"/>
  <c r="C16" i="10" s="1"/>
  <c r="CL32" i="64"/>
  <c r="CK32" i="64"/>
  <c r="J23" i="33" s="1"/>
  <c r="C14" i="10" s="1"/>
  <c r="CJ32" i="64"/>
  <c r="CI32" i="64"/>
  <c r="CI34" i="64" s="1"/>
  <c r="CH32" i="64"/>
  <c r="CG32" i="64"/>
  <c r="CF32" i="64"/>
  <c r="CE32" i="64"/>
  <c r="CD32" i="64"/>
  <c r="CC32" i="64"/>
  <c r="CC34" i="64" s="1"/>
  <c r="J21" i="33" s="1"/>
  <c r="C13" i="10" s="1"/>
  <c r="CB32" i="64"/>
  <c r="CA32" i="64"/>
  <c r="BZ32" i="64"/>
  <c r="BY32" i="64"/>
  <c r="BX32" i="64"/>
  <c r="BW32" i="64"/>
  <c r="BV32" i="64"/>
  <c r="BU32" i="64"/>
  <c r="BT32" i="64"/>
  <c r="BT34" i="64" s="1"/>
  <c r="BN32" i="64"/>
  <c r="BM32" i="64"/>
  <c r="BL32" i="64"/>
  <c r="BK32" i="64"/>
  <c r="BJ32" i="64"/>
  <c r="BI32" i="64"/>
  <c r="FK32" i="64" s="1"/>
  <c r="BH32" i="64"/>
  <c r="BG32" i="64"/>
  <c r="BF32" i="64"/>
  <c r="BE32" i="64"/>
  <c r="BD32" i="64"/>
  <c r="BC32" i="64"/>
  <c r="I38" i="33" s="1"/>
  <c r="BB32" i="64"/>
  <c r="FD32" i="64" s="1"/>
  <c r="BA32" i="64"/>
  <c r="FC32" i="64" s="1"/>
  <c r="AZ32" i="64"/>
  <c r="FB32" i="64" s="1"/>
  <c r="AY32" i="64"/>
  <c r="FA32" i="64" s="1"/>
  <c r="AX32" i="64"/>
  <c r="EZ32" i="64" s="1"/>
  <c r="AW32" i="64"/>
  <c r="EY32" i="64" s="1"/>
  <c r="AV32" i="64"/>
  <c r="AU32" i="64"/>
  <c r="AT32" i="64"/>
  <c r="I34" i="33" s="1"/>
  <c r="B18" i="12" s="1"/>
  <c r="AS32" i="64"/>
  <c r="EV32" i="64" s="1"/>
  <c r="AR32" i="64"/>
  <c r="EU32" i="64" s="1"/>
  <c r="AQ32" i="64"/>
  <c r="ET32" i="64" s="1"/>
  <c r="AP32" i="64"/>
  <c r="AO32" i="64"/>
  <c r="AN32" i="64"/>
  <c r="AM32" i="64"/>
  <c r="I32" i="33" s="1"/>
  <c r="B20" i="12" s="1"/>
  <c r="AL32" i="64"/>
  <c r="I36" i="33" s="1"/>
  <c r="B21" i="12" s="1"/>
  <c r="AK32" i="64"/>
  <c r="I33" i="33" s="1"/>
  <c r="B17" i="12" s="1"/>
  <c r="AJ32" i="64"/>
  <c r="AI32" i="64"/>
  <c r="AH32" i="64"/>
  <c r="AG32" i="64"/>
  <c r="AF32" i="64"/>
  <c r="AE32" i="64"/>
  <c r="AD32" i="64"/>
  <c r="AC32" i="64"/>
  <c r="I19" i="33" s="1"/>
  <c r="AB32" i="64"/>
  <c r="I25" i="33" s="1"/>
  <c r="B18" i="10" s="1"/>
  <c r="AA32" i="64"/>
  <c r="I24" i="33" s="1"/>
  <c r="B17" i="10" s="1"/>
  <c r="Z32" i="64"/>
  <c r="Y32" i="64"/>
  <c r="X32" i="64"/>
  <c r="I23" i="33" s="1"/>
  <c r="B14" i="10" s="1"/>
  <c r="W32" i="64"/>
  <c r="Q39" i="64" s="1"/>
  <c r="V32" i="64"/>
  <c r="V34" i="64" s="1"/>
  <c r="U32" i="64"/>
  <c r="S34" i="64" s="1"/>
  <c r="I20" i="33" s="1"/>
  <c r="B15" i="10" s="1"/>
  <c r="T32" i="64"/>
  <c r="S32" i="64"/>
  <c r="R32" i="64"/>
  <c r="Q32" i="64"/>
  <c r="P32" i="64"/>
  <c r="O32" i="64"/>
  <c r="N32" i="64"/>
  <c r="I9" i="33" s="1"/>
  <c r="I42" i="33" s="1"/>
  <c r="M32" i="64"/>
  <c r="I11" i="33" s="1"/>
  <c r="L32" i="64"/>
  <c r="K32" i="64"/>
  <c r="J32" i="64"/>
  <c r="ED32" i="64" s="1"/>
  <c r="I32" i="64"/>
  <c r="I34" i="64" s="1"/>
  <c r="H32" i="64"/>
  <c r="EB32" i="64" s="1"/>
  <c r="G32" i="64"/>
  <c r="F32" i="64"/>
  <c r="E32" i="64"/>
  <c r="E33" i="64" s="1"/>
  <c r="D32" i="64"/>
  <c r="FL31" i="64"/>
  <c r="DY31" i="64"/>
  <c r="DX31" i="64"/>
  <c r="DW31" i="64"/>
  <c r="DZ31" i="64" s="1"/>
  <c r="BR31" i="64"/>
  <c r="BQ31" i="64"/>
  <c r="FN31" i="64" s="1"/>
  <c r="BP31" i="64"/>
  <c r="FM31" i="64" s="1"/>
  <c r="BO31" i="64"/>
  <c r="DY30" i="64"/>
  <c r="DX30" i="64"/>
  <c r="DW30" i="64"/>
  <c r="BR30" i="64"/>
  <c r="BQ30" i="64"/>
  <c r="FN30" i="64" s="1"/>
  <c r="BP30" i="64"/>
  <c r="BO30" i="64"/>
  <c r="DY29" i="64"/>
  <c r="DX29" i="64"/>
  <c r="DW29" i="64"/>
  <c r="DZ29" i="64" s="1"/>
  <c r="BR29" i="64"/>
  <c r="BQ29" i="64"/>
  <c r="FN29" i="64" s="1"/>
  <c r="BP29" i="64"/>
  <c r="FM29" i="64" s="1"/>
  <c r="BO29" i="64"/>
  <c r="FM28" i="64"/>
  <c r="DY28" i="64"/>
  <c r="DX28" i="64"/>
  <c r="DW28" i="64"/>
  <c r="DZ28" i="64" s="1"/>
  <c r="BR28" i="64"/>
  <c r="BQ28" i="64"/>
  <c r="FN28" i="64" s="1"/>
  <c r="BP28" i="64"/>
  <c r="BO28" i="64"/>
  <c r="FL28" i="64" s="1"/>
  <c r="FM27" i="64"/>
  <c r="FL27" i="64"/>
  <c r="DY27" i="64"/>
  <c r="DX27" i="64"/>
  <c r="DW27" i="64"/>
  <c r="BR27" i="64"/>
  <c r="BQ27" i="64"/>
  <c r="FN27" i="64" s="1"/>
  <c r="BP27" i="64"/>
  <c r="BO27" i="64"/>
  <c r="DY26" i="64"/>
  <c r="DX26" i="64"/>
  <c r="DZ26" i="64" s="1"/>
  <c r="DW26" i="64"/>
  <c r="BR26" i="64"/>
  <c r="BQ26" i="64"/>
  <c r="FN26" i="64" s="1"/>
  <c r="BP26" i="64"/>
  <c r="FM26" i="64" s="1"/>
  <c r="BO26" i="64"/>
  <c r="FL25" i="64"/>
  <c r="DY25" i="64"/>
  <c r="DX25" i="64"/>
  <c r="DW25" i="64"/>
  <c r="BR25" i="64"/>
  <c r="BQ25" i="64"/>
  <c r="FN25" i="64" s="1"/>
  <c r="BP25" i="64"/>
  <c r="FM25" i="64" s="1"/>
  <c r="BO25" i="64"/>
  <c r="DY24" i="64"/>
  <c r="DZ24" i="64" s="1"/>
  <c r="DX24" i="64"/>
  <c r="DW24" i="64"/>
  <c r="BR24" i="64"/>
  <c r="BQ24" i="64"/>
  <c r="FN24" i="64" s="1"/>
  <c r="BP24" i="64"/>
  <c r="FM24" i="64" s="1"/>
  <c r="BO24" i="64"/>
  <c r="DY23" i="64"/>
  <c r="DX23" i="64"/>
  <c r="DW23" i="64"/>
  <c r="BR23" i="64"/>
  <c r="BQ23" i="64"/>
  <c r="FN23" i="64" s="1"/>
  <c r="BP23" i="64"/>
  <c r="FM23" i="64" s="1"/>
  <c r="BO23" i="64"/>
  <c r="FM22" i="64"/>
  <c r="DY22" i="64"/>
  <c r="DX22" i="64"/>
  <c r="DW22" i="64"/>
  <c r="DZ22" i="64" s="1"/>
  <c r="BR22" i="64"/>
  <c r="BQ22" i="64"/>
  <c r="BS22" i="64" s="1"/>
  <c r="BP22" i="64"/>
  <c r="BO22" i="64"/>
  <c r="FL22" i="64" s="1"/>
  <c r="FL21" i="64"/>
  <c r="DY21" i="64"/>
  <c r="DX21" i="64"/>
  <c r="DW21" i="64"/>
  <c r="BR21" i="64"/>
  <c r="BQ21" i="64"/>
  <c r="FN21" i="64" s="1"/>
  <c r="BP21" i="64"/>
  <c r="FM21" i="64" s="1"/>
  <c r="BO21" i="64"/>
  <c r="FM20" i="64"/>
  <c r="DY20" i="64"/>
  <c r="DX20" i="64"/>
  <c r="DW20" i="64"/>
  <c r="DZ20" i="64" s="1"/>
  <c r="BR20" i="64"/>
  <c r="BS20" i="64" s="1"/>
  <c r="BQ20" i="64"/>
  <c r="FN20" i="64" s="1"/>
  <c r="BP20" i="64"/>
  <c r="BO20" i="64"/>
  <c r="FL20" i="64" s="1"/>
  <c r="FL19" i="64"/>
  <c r="DY19" i="64"/>
  <c r="DX19" i="64"/>
  <c r="DW19" i="64"/>
  <c r="DZ19" i="64" s="1"/>
  <c r="BR19" i="64"/>
  <c r="BQ19" i="64"/>
  <c r="FN19" i="64" s="1"/>
  <c r="BP19" i="64"/>
  <c r="FM19" i="64" s="1"/>
  <c r="BO19" i="64"/>
  <c r="DY18" i="64"/>
  <c r="DX18" i="64"/>
  <c r="DW18" i="64"/>
  <c r="BR18" i="64"/>
  <c r="BQ18" i="64"/>
  <c r="FN18" i="64" s="1"/>
  <c r="BP18" i="64"/>
  <c r="FM18" i="64" s="1"/>
  <c r="BO18" i="64"/>
  <c r="FN17" i="64"/>
  <c r="DY17" i="64"/>
  <c r="DX17" i="64"/>
  <c r="DW17" i="64"/>
  <c r="DZ17" i="64" s="1"/>
  <c r="BR17" i="64"/>
  <c r="BQ17" i="64"/>
  <c r="BP17" i="64"/>
  <c r="FM17" i="64" s="1"/>
  <c r="BO17" i="64"/>
  <c r="BS17" i="64" s="1"/>
  <c r="DY16" i="64"/>
  <c r="DX16" i="64"/>
  <c r="DW16" i="64"/>
  <c r="DZ16" i="64" s="1"/>
  <c r="BR16" i="64"/>
  <c r="BQ16" i="64"/>
  <c r="FN16" i="64" s="1"/>
  <c r="BP16" i="64"/>
  <c r="FM16" i="64" s="1"/>
  <c r="BO16" i="64"/>
  <c r="BS16" i="64" s="1"/>
  <c r="FN15" i="64"/>
  <c r="DY15" i="64"/>
  <c r="DX15" i="64"/>
  <c r="DW15" i="64"/>
  <c r="DZ15" i="64" s="1"/>
  <c r="BR15" i="64"/>
  <c r="BQ15" i="64"/>
  <c r="BP15" i="64"/>
  <c r="FM15" i="64" s="1"/>
  <c r="BO15" i="64"/>
  <c r="BS15" i="64" s="1"/>
  <c r="FM14" i="64"/>
  <c r="DY14" i="64"/>
  <c r="DX14" i="64"/>
  <c r="DW14" i="64"/>
  <c r="DZ14" i="64" s="1"/>
  <c r="BR14" i="64"/>
  <c r="BQ14" i="64"/>
  <c r="FN14" i="64" s="1"/>
  <c r="BP14" i="64"/>
  <c r="BO14" i="64"/>
  <c r="FL14" i="64" s="1"/>
  <c r="FL13" i="64"/>
  <c r="FO13" i="64" s="1"/>
  <c r="DY13" i="64"/>
  <c r="DX13" i="64"/>
  <c r="DW13" i="64"/>
  <c r="BR13" i="64"/>
  <c r="BQ13" i="64"/>
  <c r="FN13" i="64" s="1"/>
  <c r="BP13" i="64"/>
  <c r="FM13" i="64" s="1"/>
  <c r="BO13" i="64"/>
  <c r="BS13" i="64" s="1"/>
  <c r="FM12" i="64"/>
  <c r="DY12" i="64"/>
  <c r="DX12" i="64"/>
  <c r="DW12" i="64"/>
  <c r="DZ12" i="64" s="1"/>
  <c r="BR12" i="64"/>
  <c r="BQ12" i="64"/>
  <c r="FN12" i="64" s="1"/>
  <c r="BP12" i="64"/>
  <c r="BO12" i="64"/>
  <c r="FL12" i="64" s="1"/>
  <c r="FN11" i="64"/>
  <c r="FM11" i="64"/>
  <c r="FL11" i="64"/>
  <c r="DY11" i="64"/>
  <c r="DX11" i="64"/>
  <c r="DW11" i="64"/>
  <c r="BR11" i="64"/>
  <c r="BQ11" i="64"/>
  <c r="BP11" i="64"/>
  <c r="BO11" i="64"/>
  <c r="DY10" i="64"/>
  <c r="DX10" i="64"/>
  <c r="DZ10" i="64" s="1"/>
  <c r="DW10" i="64"/>
  <c r="BR10" i="64"/>
  <c r="BQ10" i="64"/>
  <c r="FN10" i="64" s="1"/>
  <c r="BP10" i="64"/>
  <c r="FM10" i="64" s="1"/>
  <c r="BO10" i="64"/>
  <c r="FN9" i="64"/>
  <c r="FL9" i="64"/>
  <c r="DY9" i="64"/>
  <c r="DX9" i="64"/>
  <c r="DW9" i="64"/>
  <c r="BR9" i="64"/>
  <c r="BQ9" i="64"/>
  <c r="BP9" i="64"/>
  <c r="FM9" i="64" s="1"/>
  <c r="BO9" i="64"/>
  <c r="FM8" i="64"/>
  <c r="DZ8" i="64"/>
  <c r="DY8" i="64"/>
  <c r="DX8" i="64"/>
  <c r="DW8" i="64"/>
  <c r="BR8" i="64"/>
  <c r="BQ8" i="64"/>
  <c r="BP8" i="64"/>
  <c r="BO8" i="64"/>
  <c r="FL8" i="64" s="1"/>
  <c r="FO11" i="64" l="1"/>
  <c r="DV36" i="64"/>
  <c r="BS25" i="64"/>
  <c r="FO25" i="64" s="1"/>
  <c r="I31" i="33"/>
  <c r="B19" i="12" s="1"/>
  <c r="BS11" i="64"/>
  <c r="FO12" i="64"/>
  <c r="FL17" i="64"/>
  <c r="FO17" i="64" s="1"/>
  <c r="Q38" i="64"/>
  <c r="I5" i="33"/>
  <c r="I45" i="33" s="1"/>
  <c r="BR32" i="64"/>
  <c r="BS28" i="64"/>
  <c r="FO28" i="64" s="1"/>
  <c r="Q37" i="64"/>
  <c r="FG32" i="64"/>
  <c r="B13" i="29"/>
  <c r="EW32" i="64"/>
  <c r="FO20" i="64"/>
  <c r="FO21" i="64"/>
  <c r="FO27" i="64"/>
  <c r="FH32" i="64"/>
  <c r="B14" i="29"/>
  <c r="N8" i="33"/>
  <c r="BS21" i="64"/>
  <c r="FO22" i="64"/>
  <c r="FN22" i="64"/>
  <c r="FO31" i="64"/>
  <c r="FI32" i="64"/>
  <c r="C9" i="16"/>
  <c r="FE32" i="64"/>
  <c r="BS12" i="64"/>
  <c r="BS23" i="64"/>
  <c r="BS27" i="64"/>
  <c r="BS31" i="64"/>
  <c r="FJ32" i="64"/>
  <c r="C10" i="16"/>
  <c r="DZ13" i="64"/>
  <c r="DZ9" i="64"/>
  <c r="DZ18" i="64"/>
  <c r="DZ23" i="64"/>
  <c r="DZ25" i="64"/>
  <c r="DZ27" i="64"/>
  <c r="DZ11" i="64"/>
  <c r="DZ32" i="64" s="1"/>
  <c r="DZ21" i="64"/>
  <c r="DZ30" i="64"/>
  <c r="CF34" i="64"/>
  <c r="J20" i="33" s="1"/>
  <c r="C15" i="10" s="1"/>
  <c r="BS10" i="64"/>
  <c r="FL10" i="64"/>
  <c r="FL16" i="64"/>
  <c r="FO16" i="64" s="1"/>
  <c r="DV35" i="64"/>
  <c r="DV37" i="64" s="1"/>
  <c r="BS9" i="64"/>
  <c r="FO9" i="64" s="1"/>
  <c r="FL26" i="64"/>
  <c r="BS26" i="64"/>
  <c r="BP32" i="64"/>
  <c r="G34" i="64"/>
  <c r="I3" i="33" s="1"/>
  <c r="I40" i="33" s="1"/>
  <c r="B13" i="9" s="1"/>
  <c r="EA32" i="64"/>
  <c r="EX32" i="64"/>
  <c r="BS30" i="64"/>
  <c r="FO30" i="64" s="1"/>
  <c r="BQ32" i="64"/>
  <c r="FN8" i="64"/>
  <c r="BS18" i="64"/>
  <c r="FL18" i="64"/>
  <c r="FO18" i="64" s="1"/>
  <c r="BS24" i="64"/>
  <c r="FL24" i="64"/>
  <c r="FF32" i="64"/>
  <c r="BS14" i="64"/>
  <c r="FO14" i="64" s="1"/>
  <c r="DW32" i="64"/>
  <c r="BO32" i="64"/>
  <c r="BS8" i="64"/>
  <c r="FO8" i="64" s="1"/>
  <c r="F33" i="64"/>
  <c r="D33" i="64"/>
  <c r="DX32" i="64"/>
  <c r="DY32" i="64"/>
  <c r="BS19" i="64"/>
  <c r="FO19" i="64" s="1"/>
  <c r="BS29" i="64"/>
  <c r="FL29" i="64"/>
  <c r="R42" i="64"/>
  <c r="Q40" i="64"/>
  <c r="R40" i="64" s="1"/>
  <c r="FL23" i="64"/>
  <c r="FO23" i="64" s="1"/>
  <c r="FL15" i="64"/>
  <c r="FO15" i="64" s="1"/>
  <c r="EC32" i="64"/>
  <c r="O11" i="33" l="1"/>
  <c r="FO24" i="64"/>
  <c r="FO10" i="64"/>
  <c r="DN33" i="64"/>
  <c r="DQ33" i="64"/>
  <c r="DO33" i="64"/>
  <c r="CZ33" i="64"/>
  <c r="DG33" i="64"/>
  <c r="CX33" i="64"/>
  <c r="BT33" i="64"/>
  <c r="DK33" i="64"/>
  <c r="DH33" i="64"/>
  <c r="DV33" i="64"/>
  <c r="DS33" i="64"/>
  <c r="DP33" i="64"/>
  <c r="DF33" i="64"/>
  <c r="DB33" i="64"/>
  <c r="DJ33" i="64"/>
  <c r="DA33" i="64"/>
  <c r="DR33" i="64"/>
  <c r="DX33" i="64"/>
  <c r="DW33" i="64"/>
  <c r="DY33" i="64"/>
  <c r="FM32" i="64"/>
  <c r="FO26" i="64"/>
  <c r="DZ33" i="64"/>
  <c r="BW33" i="64"/>
  <c r="DZ34" i="64"/>
  <c r="DE33" i="64"/>
  <c r="DM33" i="64"/>
  <c r="DC33" i="64"/>
  <c r="BU33" i="64"/>
  <c r="DL33" i="64"/>
  <c r="BV33" i="64"/>
  <c r="DD33" i="64"/>
  <c r="DU33" i="64"/>
  <c r="DT33" i="64"/>
  <c r="FN32" i="64"/>
  <c r="EX33" i="64"/>
  <c r="EC33" i="64"/>
  <c r="FL32" i="64"/>
  <c r="FO29" i="64"/>
  <c r="BS32" i="64"/>
  <c r="FF33" i="64" s="1"/>
  <c r="FL33" i="64" l="1"/>
  <c r="BO33" i="64"/>
  <c r="FM33" i="64"/>
  <c r="BQ33" i="64"/>
  <c r="BP33" i="64"/>
  <c r="EA33" i="64"/>
  <c r="FN33" i="64"/>
  <c r="AQ33" i="64"/>
  <c r="BS33" i="64"/>
  <c r="AZ33" i="64"/>
  <c r="AY33" i="64"/>
  <c r="J33" i="64"/>
  <c r="BI33" i="64"/>
  <c r="BA33" i="64"/>
  <c r="AR33" i="64"/>
  <c r="AJ33" i="64"/>
  <c r="BH33" i="64"/>
  <c r="AI33" i="64"/>
  <c r="BG33" i="64"/>
  <c r="AP33" i="64"/>
  <c r="BM33" i="64"/>
  <c r="EB33" i="64"/>
  <c r="FJ33" i="64"/>
  <c r="BS36" i="64"/>
  <c r="BF33" i="64"/>
  <c r="AW33" i="64"/>
  <c r="FK33" i="64"/>
  <c r="BN33" i="64"/>
  <c r="I33" i="64"/>
  <c r="BE33" i="64"/>
  <c r="AX33" i="64"/>
  <c r="AO33" i="64"/>
  <c r="AN33" i="64"/>
  <c r="FB33" i="64"/>
  <c r="BB33" i="64"/>
  <c r="EU33" i="64"/>
  <c r="BK33" i="64"/>
  <c r="BD33" i="64"/>
  <c r="ER33" i="64"/>
  <c r="EZ33" i="64"/>
  <c r="BL33" i="64"/>
  <c r="FC33" i="64"/>
  <c r="EW33" i="64"/>
  <c r="BJ33" i="64"/>
  <c r="AM33" i="64"/>
  <c r="EP33" i="64"/>
  <c r="AK33" i="64"/>
  <c r="ET33" i="64"/>
  <c r="EY33" i="64"/>
  <c r="BC33" i="64"/>
  <c r="AL33" i="64"/>
  <c r="G33" i="64"/>
  <c r="FE33" i="64"/>
  <c r="H33" i="64"/>
  <c r="ES33" i="64"/>
  <c r="AT33" i="64"/>
  <c r="AU33" i="64"/>
  <c r="EV33" i="64"/>
  <c r="EQ33" i="64"/>
  <c r="AS33" i="64"/>
  <c r="FA33" i="64"/>
  <c r="FH33" i="64"/>
  <c r="EO33" i="64"/>
  <c r="BR33" i="64"/>
  <c r="FD33" i="64"/>
  <c r="FI33" i="64"/>
  <c r="FG33" i="64"/>
  <c r="ED33" i="64"/>
  <c r="FO32" i="64"/>
  <c r="FO33" i="64" s="1"/>
  <c r="AB33" i="43" l="1"/>
  <c r="AD33" i="43" s="1"/>
  <c r="AC33" i="43"/>
  <c r="AE33" i="43"/>
  <c r="AB34" i="43"/>
  <c r="AD34" i="43" s="1"/>
  <c r="AC34" i="43"/>
  <c r="AE34" i="43" s="1"/>
  <c r="AB35" i="43"/>
  <c r="AC35" i="43"/>
  <c r="AD35" i="43"/>
  <c r="AE35" i="43"/>
  <c r="AB36" i="43"/>
  <c r="AD36" i="43" s="1"/>
  <c r="AC36" i="43"/>
  <c r="AE36" i="43"/>
  <c r="AB37" i="43"/>
  <c r="AD37" i="43" s="1"/>
  <c r="AC37" i="43"/>
  <c r="AE37" i="43"/>
  <c r="AB38" i="43"/>
  <c r="AD38" i="43" s="1"/>
  <c r="AC38" i="43"/>
  <c r="AE38" i="43" s="1"/>
  <c r="AB39" i="43"/>
  <c r="AD39" i="43" s="1"/>
  <c r="AC39" i="43"/>
  <c r="AE39" i="43" s="1"/>
  <c r="I45" i="20" l="1"/>
  <c r="J45" i="20"/>
  <c r="D8" i="20" s="1"/>
  <c r="H45" i="20"/>
  <c r="B8" i="20" s="1"/>
  <c r="C8" i="20" l="1"/>
  <c r="E8" i="20"/>
  <c r="AH30" i="60" l="1"/>
  <c r="AH8" i="15" l="1"/>
  <c r="AI8" i="15"/>
  <c r="AJ8" i="15"/>
  <c r="AK8" i="15"/>
  <c r="AH9" i="15"/>
  <c r="AI9" i="15"/>
  <c r="AJ9" i="15"/>
  <c r="AK9" i="15"/>
  <c r="AH10" i="15"/>
  <c r="AI10" i="15"/>
  <c r="AJ10" i="15"/>
  <c r="AK10" i="15"/>
  <c r="AH11" i="15"/>
  <c r="AI11" i="15"/>
  <c r="AJ11" i="15"/>
  <c r="AK11" i="15"/>
  <c r="AH12" i="15"/>
  <c r="AI12" i="15"/>
  <c r="AJ12" i="15"/>
  <c r="AK12" i="15"/>
  <c r="AH13" i="15"/>
  <c r="AI13" i="15"/>
  <c r="AJ13" i="15"/>
  <c r="AK13" i="15"/>
  <c r="AH14" i="15"/>
  <c r="AI14" i="15"/>
  <c r="AJ14" i="15"/>
  <c r="AK14" i="15"/>
  <c r="AH15" i="15"/>
  <c r="AI15" i="15"/>
  <c r="AJ15" i="15"/>
  <c r="AK15" i="15"/>
  <c r="AH16" i="15"/>
  <c r="AI16" i="15"/>
  <c r="AJ16" i="15"/>
  <c r="AK16" i="15"/>
  <c r="AH17" i="15"/>
  <c r="AI17" i="15"/>
  <c r="AJ17" i="15"/>
  <c r="AK17" i="15"/>
  <c r="AH18" i="15"/>
  <c r="AI18" i="15"/>
  <c r="AJ18" i="15"/>
  <c r="AK18" i="15"/>
  <c r="AH19" i="15"/>
  <c r="AI19" i="15"/>
  <c r="AJ19" i="15"/>
  <c r="AK19" i="15"/>
  <c r="AH20" i="15"/>
  <c r="AI20" i="15"/>
  <c r="AJ20" i="15"/>
  <c r="AK20" i="15"/>
  <c r="AH21" i="15"/>
  <c r="AI21" i="15"/>
  <c r="AJ21" i="15"/>
  <c r="AK21" i="15"/>
  <c r="AH22" i="15"/>
  <c r="AI22" i="15"/>
  <c r="AJ22" i="15"/>
  <c r="AK22" i="15"/>
  <c r="AH23" i="15"/>
  <c r="AI23" i="15"/>
  <c r="AJ23" i="15"/>
  <c r="AK23" i="15"/>
  <c r="AH24" i="15"/>
  <c r="AI24" i="15"/>
  <c r="AJ24" i="15"/>
  <c r="AK24" i="15"/>
  <c r="AH25" i="15"/>
  <c r="AI25" i="15"/>
  <c r="AJ25" i="15"/>
  <c r="AK25" i="15"/>
  <c r="AH26" i="15"/>
  <c r="AI26" i="15"/>
  <c r="AJ26" i="15"/>
  <c r="AK26" i="15"/>
  <c r="AH27" i="15"/>
  <c r="AI27" i="15"/>
  <c r="AJ27" i="15"/>
  <c r="AK27" i="15"/>
  <c r="AH28" i="15"/>
  <c r="AI28" i="15"/>
  <c r="AJ28" i="15"/>
  <c r="AK28" i="15"/>
  <c r="AH29" i="15"/>
  <c r="AI29" i="15"/>
  <c r="AJ29" i="15"/>
  <c r="AK29" i="15"/>
  <c r="AH30" i="15"/>
  <c r="AI30" i="15"/>
  <c r="AJ30" i="15"/>
  <c r="AK30" i="15"/>
  <c r="AH31" i="15"/>
  <c r="AI31" i="15"/>
  <c r="AJ31" i="15"/>
  <c r="AK31" i="15"/>
  <c r="AJ32" i="15"/>
  <c r="AK32" i="15"/>
  <c r="U117" i="15"/>
  <c r="V117" i="15"/>
  <c r="C14" i="15"/>
  <c r="F14" i="15" s="1"/>
  <c r="G24" i="15"/>
  <c r="H24" i="15"/>
  <c r="I24" i="15"/>
  <c r="G25" i="15"/>
  <c r="H25" i="15"/>
  <c r="I25" i="15"/>
  <c r="G26" i="15"/>
  <c r="H26" i="15"/>
  <c r="I26" i="15"/>
  <c r="G27" i="15"/>
  <c r="H27" i="15"/>
  <c r="I27" i="15"/>
  <c r="G28" i="15"/>
  <c r="H28" i="15"/>
  <c r="I28" i="15"/>
  <c r="G29" i="15"/>
  <c r="H29" i="15"/>
  <c r="I29" i="15"/>
  <c r="G30" i="15"/>
  <c r="H30" i="15"/>
  <c r="I30" i="15"/>
  <c r="G31" i="15"/>
  <c r="H31" i="15"/>
  <c r="I31" i="15"/>
  <c r="G32" i="15"/>
  <c r="H32" i="15"/>
  <c r="I32" i="15"/>
  <c r="G33" i="15"/>
  <c r="H33" i="15"/>
  <c r="I33" i="15"/>
  <c r="G34" i="15"/>
  <c r="H34" i="15"/>
  <c r="I34" i="15"/>
  <c r="G35" i="15"/>
  <c r="H35" i="15"/>
  <c r="I35" i="15"/>
  <c r="G36" i="15"/>
  <c r="H36" i="15"/>
  <c r="I36" i="15"/>
  <c r="G37" i="15"/>
  <c r="H37" i="15"/>
  <c r="I37" i="15"/>
  <c r="G38" i="15"/>
  <c r="H38" i="15"/>
  <c r="I38" i="15"/>
  <c r="G39" i="15"/>
  <c r="H39" i="15"/>
  <c r="I39" i="15"/>
  <c r="G40" i="15"/>
  <c r="H40" i="15"/>
  <c r="I40" i="15"/>
  <c r="G41" i="15"/>
  <c r="H41" i="15"/>
  <c r="I41" i="15"/>
  <c r="G42" i="15"/>
  <c r="H42" i="15"/>
  <c r="I42" i="15"/>
  <c r="G43" i="15"/>
  <c r="H43" i="15"/>
  <c r="I43" i="15"/>
  <c r="G44" i="15"/>
  <c r="H44" i="15"/>
  <c r="I44" i="15"/>
  <c r="G45" i="15"/>
  <c r="H45" i="15"/>
  <c r="I45" i="15"/>
  <c r="G46" i="15"/>
  <c r="H46" i="15"/>
  <c r="I46" i="15"/>
  <c r="G47" i="15"/>
  <c r="H47" i="15"/>
  <c r="I47" i="15"/>
  <c r="B80" i="15"/>
  <c r="D85" i="15"/>
  <c r="G87" i="15"/>
  <c r="B117" i="15"/>
  <c r="F191" i="15"/>
  <c r="B217" i="15"/>
  <c r="H232" i="15"/>
  <c r="H233" i="15"/>
  <c r="H234" i="15"/>
  <c r="H235" i="15"/>
  <c r="H236" i="15"/>
  <c r="H237" i="15"/>
  <c r="H238" i="15"/>
  <c r="C250" i="15"/>
  <c r="D250" i="15"/>
  <c r="E256" i="15"/>
  <c r="E257" i="15"/>
  <c r="E258" i="15"/>
  <c r="A24" i="15"/>
  <c r="A25" i="15"/>
  <c r="A26" i="15"/>
  <c r="A27" i="15"/>
  <c r="A28" i="15"/>
  <c r="A29" i="15"/>
  <c r="A30" i="15"/>
  <c r="A31" i="15"/>
  <c r="A32" i="15"/>
  <c r="A33" i="15"/>
  <c r="A34" i="15"/>
  <c r="A35" i="15"/>
  <c r="A36" i="15"/>
  <c r="A37" i="15"/>
  <c r="A38" i="15"/>
  <c r="A39" i="15"/>
  <c r="A40" i="15"/>
  <c r="A41" i="15"/>
  <c r="A42" i="15"/>
  <c r="A43" i="15"/>
  <c r="A44" i="15"/>
  <c r="A45" i="15"/>
  <c r="A46" i="15"/>
  <c r="A47" i="15"/>
  <c r="R5" i="15"/>
  <c r="P10" i="15"/>
  <c r="AD45" i="16"/>
  <c r="AE45" i="16"/>
  <c r="AD40" i="29"/>
  <c r="AE40" i="29"/>
  <c r="C251" i="15" l="1"/>
  <c r="H32" i="43"/>
  <c r="B72" i="56"/>
  <c r="B71" i="56"/>
  <c r="B70" i="56"/>
  <c r="B69" i="56"/>
  <c r="B68" i="56"/>
  <c r="B67" i="56"/>
  <c r="B66" i="56"/>
  <c r="B65" i="56"/>
  <c r="B64" i="56"/>
  <c r="B63" i="56"/>
  <c r="B51" i="56"/>
  <c r="B52" i="56"/>
  <c r="B53" i="56"/>
  <c r="B54" i="56"/>
  <c r="B55" i="56"/>
  <c r="B56" i="56"/>
  <c r="B57" i="56"/>
  <c r="B58" i="56"/>
  <c r="B59" i="56"/>
  <c r="B60" i="56"/>
  <c r="B61" i="56"/>
  <c r="B62" i="56"/>
  <c r="B50" i="56"/>
  <c r="B66" i="14"/>
  <c r="B67" i="14"/>
  <c r="B68" i="14"/>
  <c r="B69" i="14"/>
  <c r="B70" i="14"/>
  <c r="B71" i="14"/>
  <c r="B72" i="14"/>
  <c r="B73" i="14"/>
  <c r="B74" i="14"/>
  <c r="B75" i="14"/>
  <c r="B53" i="14"/>
  <c r="B54" i="14"/>
  <c r="B55" i="14"/>
  <c r="B56" i="14"/>
  <c r="B57" i="14"/>
  <c r="B58" i="14"/>
  <c r="B59" i="14"/>
  <c r="B60" i="14"/>
  <c r="B61" i="14"/>
  <c r="B62" i="14"/>
  <c r="B63" i="14"/>
  <c r="B64" i="14"/>
  <c r="B65" i="14"/>
  <c r="F10" i="19"/>
  <c r="E55" i="57"/>
  <c r="E56" i="57"/>
  <c r="E57" i="57"/>
  <c r="E58" i="57"/>
  <c r="E59" i="57"/>
  <c r="E60" i="57"/>
  <c r="E61" i="57"/>
  <c r="E62" i="57"/>
  <c r="E63" i="57"/>
  <c r="E64" i="57"/>
  <c r="E65" i="57"/>
  <c r="E66" i="57"/>
  <c r="E67" i="57"/>
  <c r="E68" i="57"/>
  <c r="E69" i="57"/>
  <c r="E70" i="57"/>
  <c r="E71" i="57"/>
  <c r="E72" i="57"/>
  <c r="E73" i="57"/>
  <c r="E74" i="57"/>
  <c r="E75" i="57"/>
  <c r="E53" i="57"/>
  <c r="E54" i="57"/>
  <c r="Q101" i="57"/>
  <c r="Q100" i="57"/>
  <c r="L106" i="57" s="1"/>
  <c r="Y44" i="57"/>
  <c r="X44" i="57"/>
  <c r="B44" i="57"/>
  <c r="S43" i="57"/>
  <c r="S42" i="57"/>
  <c r="S41" i="57"/>
  <c r="S40" i="57"/>
  <c r="S39" i="57"/>
  <c r="S38" i="57"/>
  <c r="S37" i="57"/>
  <c r="S36" i="57"/>
  <c r="S35" i="57"/>
  <c r="S34" i="57"/>
  <c r="S33" i="57"/>
  <c r="S32" i="57"/>
  <c r="S31" i="57"/>
  <c r="S30" i="57"/>
  <c r="S29" i="57"/>
  <c r="S28" i="57"/>
  <c r="S27" i="57"/>
  <c r="S26" i="57"/>
  <c r="S25" i="57"/>
  <c r="S24" i="57"/>
  <c r="S23" i="57"/>
  <c r="U23" i="57" s="1"/>
  <c r="S22" i="57"/>
  <c r="S21" i="57"/>
  <c r="G14" i="57"/>
  <c r="D12" i="57"/>
  <c r="A73" i="57"/>
  <c r="A104" i="57" s="1"/>
  <c r="A71" i="57"/>
  <c r="A102" i="57" s="1"/>
  <c r="A70" i="57"/>
  <c r="A101" i="57" s="1"/>
  <c r="A69" i="57"/>
  <c r="A100" i="57" s="1"/>
  <c r="A63" i="57"/>
  <c r="A94" i="57" s="1"/>
  <c r="A75" i="57"/>
  <c r="A106" i="57" s="1"/>
  <c r="A74" i="57"/>
  <c r="A105" i="57" s="1"/>
  <c r="A72" i="57"/>
  <c r="A103" i="57" s="1"/>
  <c r="A68" i="57"/>
  <c r="A99" i="57" s="1"/>
  <c r="A67" i="57"/>
  <c r="A98" i="57" s="1"/>
  <c r="A66" i="57"/>
  <c r="A97" i="57" s="1"/>
  <c r="A65" i="57"/>
  <c r="A96" i="57" s="1"/>
  <c r="A64" i="57"/>
  <c r="A95" i="57" s="1"/>
  <c r="A62" i="57"/>
  <c r="A93" i="57" s="1"/>
  <c r="A61" i="57"/>
  <c r="A92" i="57" s="1"/>
  <c r="A60" i="57"/>
  <c r="A91" i="57" s="1"/>
  <c r="A59" i="57"/>
  <c r="A90" i="57" s="1"/>
  <c r="A58" i="57"/>
  <c r="A89" i="57" s="1"/>
  <c r="A57" i="57"/>
  <c r="A88" i="57" s="1"/>
  <c r="A56" i="57"/>
  <c r="A87" i="57" s="1"/>
  <c r="A55" i="57"/>
  <c r="A86" i="57" s="1"/>
  <c r="A54" i="57"/>
  <c r="A85" i="57" s="1"/>
  <c r="A53" i="57"/>
  <c r="A84" i="57" s="1"/>
  <c r="A52" i="57"/>
  <c r="A83" i="57" s="1"/>
  <c r="K5" i="57"/>
  <c r="K1" i="57"/>
  <c r="O1" i="57" s="1"/>
  <c r="O2" i="57" s="1"/>
  <c r="AT9" i="60" l="1"/>
  <c r="AT17" i="60"/>
  <c r="AT12" i="60"/>
  <c r="AT20" i="60"/>
  <c r="M15" i="58"/>
  <c r="AT16" i="60"/>
  <c r="AT7" i="60"/>
  <c r="AT11" i="60"/>
  <c r="AT15" i="60"/>
  <c r="AT19" i="60"/>
  <c r="AT23" i="60"/>
  <c r="AT27" i="60"/>
  <c r="AT24" i="60"/>
  <c r="K5" i="58"/>
  <c r="AT6" i="60"/>
  <c r="AT10" i="60"/>
  <c r="AT14" i="60"/>
  <c r="L17" i="58"/>
  <c r="AT18" i="60"/>
  <c r="AT22" i="60"/>
  <c r="M25" i="58"/>
  <c r="AT26" i="60"/>
  <c r="M3" i="58"/>
  <c r="AT4" i="60"/>
  <c r="AT8" i="60"/>
  <c r="AT5" i="60"/>
  <c r="AT13" i="60"/>
  <c r="AT21" i="60"/>
  <c r="K24" i="58"/>
  <c r="AT25" i="60"/>
  <c r="M16" i="58"/>
  <c r="K11" i="58"/>
  <c r="M9" i="58"/>
  <c r="L9" i="58"/>
  <c r="J13" i="58"/>
  <c r="L24" i="58"/>
  <c r="L15" i="58"/>
  <c r="M20" i="58"/>
  <c r="K16" i="58"/>
  <c r="J20" i="58"/>
  <c r="M17" i="58"/>
  <c r="L16" i="58"/>
  <c r="L21" i="58"/>
  <c r="J4" i="58"/>
  <c r="M26" i="58"/>
  <c r="M21" i="58"/>
  <c r="J12" i="58"/>
  <c r="J9" i="58"/>
  <c r="J24" i="58"/>
  <c r="J22" i="58"/>
  <c r="J11" i="58"/>
  <c r="J8" i="58"/>
  <c r="J23" i="58"/>
  <c r="J15" i="58"/>
  <c r="K3" i="58"/>
  <c r="J25" i="58"/>
  <c r="K17" i="58"/>
  <c r="J5" i="58"/>
  <c r="J19" i="58"/>
  <c r="J16" i="58"/>
  <c r="J14" i="58"/>
  <c r="J6" i="58"/>
  <c r="J26" i="58"/>
  <c r="J21" i="58"/>
  <c r="J18" i="58"/>
  <c r="J10" i="58"/>
  <c r="J7" i="58"/>
  <c r="K22" i="58"/>
  <c r="L11" i="58"/>
  <c r="J17" i="58"/>
  <c r="M24" i="58"/>
  <c r="J3" i="58"/>
  <c r="L5" i="58"/>
  <c r="K6" i="58"/>
  <c r="K8" i="58"/>
  <c r="M10" i="58"/>
  <c r="M23" i="58"/>
  <c r="M5" i="58"/>
  <c r="K7" i="58"/>
  <c r="M11" i="58"/>
  <c r="K12" i="58"/>
  <c r="K18" i="58"/>
  <c r="L19" i="58"/>
  <c r="K25" i="58"/>
  <c r="K13" i="58"/>
  <c r="L25" i="58"/>
  <c r="L3" i="58"/>
  <c r="M7" i="58"/>
  <c r="L8" i="58"/>
  <c r="M12" i="58"/>
  <c r="L13" i="58"/>
  <c r="K14" i="58"/>
  <c r="M18" i="58"/>
  <c r="K20" i="58"/>
  <c r="K26" i="58"/>
  <c r="M4" i="58"/>
  <c r="L7" i="58"/>
  <c r="L12" i="58"/>
  <c r="M14" i="58"/>
  <c r="L18" i="58"/>
  <c r="M8" i="58"/>
  <c r="K9" i="58"/>
  <c r="M13" i="58"/>
  <c r="K15" i="58"/>
  <c r="M19" i="58"/>
  <c r="L20" i="58"/>
  <c r="K21" i="58"/>
  <c r="M22" i="58"/>
  <c r="L26" i="58"/>
  <c r="K4" i="58"/>
  <c r="K10" i="58"/>
  <c r="K23" i="58"/>
  <c r="L4" i="58"/>
  <c r="M6" i="58"/>
  <c r="L10" i="58"/>
  <c r="L23" i="58"/>
  <c r="C27" i="58"/>
  <c r="I27" i="58" s="1"/>
  <c r="L6" i="58"/>
  <c r="L14" i="58"/>
  <c r="K19" i="58"/>
  <c r="L22" i="58"/>
  <c r="U31" i="57"/>
  <c r="U35" i="57"/>
  <c r="U33" i="57"/>
  <c r="U28" i="57"/>
  <c r="U26" i="57"/>
  <c r="U43" i="57"/>
  <c r="U27" i="57"/>
  <c r="U40" i="57"/>
  <c r="U34" i="57"/>
  <c r="U25" i="57"/>
  <c r="U24" i="57"/>
  <c r="U22" i="57"/>
  <c r="U42" i="57"/>
  <c r="U29" i="57"/>
  <c r="U21" i="57"/>
  <c r="U30" i="57"/>
  <c r="U36" i="57"/>
  <c r="U38" i="57"/>
  <c r="U39" i="57"/>
  <c r="C107" i="57"/>
  <c r="U32" i="57"/>
  <c r="U41" i="57"/>
  <c r="R44" i="57"/>
  <c r="S20" i="57"/>
  <c r="U37" i="57"/>
  <c r="N24" i="58" l="1"/>
  <c r="O24" i="58" s="1"/>
  <c r="AT28" i="60"/>
  <c r="N9" i="58"/>
  <c r="O9" i="58" s="1"/>
  <c r="N11" i="58"/>
  <c r="O11" i="58" s="1"/>
  <c r="N16" i="58"/>
  <c r="O16" i="58" s="1"/>
  <c r="N26" i="58"/>
  <c r="O26" i="58" s="1"/>
  <c r="M27" i="58"/>
  <c r="N17" i="58"/>
  <c r="O17" i="58" s="1"/>
  <c r="N4" i="58"/>
  <c r="O4" i="58" s="1"/>
  <c r="N18" i="58"/>
  <c r="O18" i="58" s="1"/>
  <c r="N20" i="58"/>
  <c r="O20" i="58" s="1"/>
  <c r="N23" i="58"/>
  <c r="O23" i="58" s="1"/>
  <c r="N15" i="58"/>
  <c r="O15" i="58" s="1"/>
  <c r="J27" i="58"/>
  <c r="G15" i="57" s="1"/>
  <c r="N22" i="58"/>
  <c r="O22" i="58" s="1"/>
  <c r="N25" i="58"/>
  <c r="O25" i="58" s="1"/>
  <c r="N3" i="58"/>
  <c r="O3" i="58" s="1"/>
  <c r="N21" i="58"/>
  <c r="O21" i="58" s="1"/>
  <c r="K27" i="58"/>
  <c r="N19" i="58"/>
  <c r="O19" i="58" s="1"/>
  <c r="N5" i="58"/>
  <c r="O5" i="58" s="1"/>
  <c r="N14" i="58"/>
  <c r="O14" i="58" s="1"/>
  <c r="N10" i="58"/>
  <c r="O10" i="58" s="1"/>
  <c r="D45" i="20"/>
  <c r="N7" i="58"/>
  <c r="O7" i="58" s="1"/>
  <c r="N12" i="58"/>
  <c r="O12" i="58" s="1"/>
  <c r="L27" i="58"/>
  <c r="N13" i="58"/>
  <c r="O13" i="58" s="1"/>
  <c r="N8" i="58"/>
  <c r="O8" i="58" s="1"/>
  <c r="N6" i="58"/>
  <c r="O6" i="58" s="1"/>
  <c r="E27" i="58"/>
  <c r="D27" i="58"/>
  <c r="H27" i="58"/>
  <c r="F27" i="58"/>
  <c r="G27" i="58"/>
  <c r="E44" i="57"/>
  <c r="D44" i="57"/>
  <c r="S44" i="57"/>
  <c r="U20" i="57"/>
  <c r="U44" i="57" s="1"/>
  <c r="G16" i="57" l="1"/>
  <c r="D15" i="57"/>
  <c r="N27" i="58"/>
  <c r="O27" i="58" s="1"/>
  <c r="C44" i="57"/>
  <c r="E104" i="57"/>
  <c r="E96" i="57"/>
  <c r="E89" i="57"/>
  <c r="E98" i="57"/>
  <c r="E101" i="57"/>
  <c r="E87" i="57"/>
  <c r="E92" i="57"/>
  <c r="E86" i="57" l="1"/>
  <c r="C76" i="57"/>
  <c r="E95" i="57"/>
  <c r="E91" i="57"/>
  <c r="E106" i="57"/>
  <c r="E88" i="57"/>
  <c r="E93" i="57"/>
  <c r="E97" i="57"/>
  <c r="E94" i="57"/>
  <c r="E90" i="57"/>
  <c r="E84" i="57"/>
  <c r="E99" i="57"/>
  <c r="E85" i="57"/>
  <c r="E100" i="57"/>
  <c r="E103" i="57"/>
  <c r="B76" i="57"/>
  <c r="E52" i="57"/>
  <c r="E105" i="57"/>
  <c r="E102" i="57"/>
  <c r="D76" i="57"/>
  <c r="E83" i="57" l="1"/>
  <c r="E107" i="57" s="1"/>
  <c r="E76" i="57"/>
  <c r="B107" i="57"/>
  <c r="O5" i="53" l="1"/>
  <c r="B34" i="51"/>
  <c r="B35" i="51"/>
  <c r="B36" i="51"/>
  <c r="B37" i="51"/>
  <c r="B38" i="51"/>
  <c r="B39" i="51"/>
  <c r="B40" i="51"/>
  <c r="B41" i="51"/>
  <c r="B42" i="51"/>
  <c r="B43" i="51"/>
  <c r="B44" i="51"/>
  <c r="B45" i="51"/>
  <c r="B46" i="51"/>
  <c r="B47" i="51"/>
  <c r="B48" i="51"/>
  <c r="B49" i="51"/>
  <c r="B50" i="51"/>
  <c r="B51" i="51"/>
  <c r="B52" i="51"/>
  <c r="B53" i="51"/>
  <c r="B54" i="51"/>
  <c r="B55" i="51"/>
  <c r="B56" i="51"/>
  <c r="B33" i="51"/>
  <c r="F3" i="19"/>
  <c r="B49" i="56"/>
  <c r="B40" i="56"/>
  <c r="B73" i="56" s="1"/>
  <c r="A7" i="35"/>
  <c r="A8" i="35"/>
  <c r="A9" i="35"/>
  <c r="A10" i="35"/>
  <c r="A11" i="35"/>
  <c r="A12" i="35"/>
  <c r="A13" i="35"/>
  <c r="A14" i="35"/>
  <c r="A15" i="35"/>
  <c r="A16" i="35"/>
  <c r="A17" i="35"/>
  <c r="A18" i="35"/>
  <c r="A19" i="35"/>
  <c r="A20" i="35"/>
  <c r="A21" i="35"/>
  <c r="A22" i="35"/>
  <c r="A23" i="35"/>
  <c r="A24" i="35"/>
  <c r="A25" i="35"/>
  <c r="A26" i="35"/>
  <c r="A27" i="35"/>
  <c r="A28" i="35"/>
  <c r="A29" i="35"/>
  <c r="A6" i="35"/>
  <c r="G32" i="43"/>
  <c r="A75" i="15" l="1"/>
  <c r="A58" i="15"/>
  <c r="A57" i="15"/>
  <c r="A64" i="15"/>
  <c r="A71" i="15"/>
  <c r="A63" i="15"/>
  <c r="A78" i="15"/>
  <c r="A70" i="15"/>
  <c r="A62" i="15"/>
  <c r="A67" i="15"/>
  <c r="A74" i="15"/>
  <c r="A65" i="15"/>
  <c r="A93" i="15"/>
  <c r="A59" i="15"/>
  <c r="A66" i="15"/>
  <c r="A73" i="15"/>
  <c r="A72" i="15"/>
  <c r="A79" i="15"/>
  <c r="A77" i="15"/>
  <c r="A69" i="15"/>
  <c r="A61" i="15"/>
  <c r="A76" i="15"/>
  <c r="A68" i="15"/>
  <c r="A60" i="15"/>
  <c r="A115" i="15"/>
  <c r="A147" i="15" s="1"/>
  <c r="A178" i="15" s="1"/>
  <c r="A215" i="15" s="1"/>
  <c r="A114" i="15"/>
  <c r="A146" i="15" s="1"/>
  <c r="A177" i="15" s="1"/>
  <c r="A214" i="15" s="1"/>
  <c r="A98" i="15"/>
  <c r="A130" i="15" s="1"/>
  <c r="A161" i="15" s="1"/>
  <c r="A198" i="15" s="1"/>
  <c r="A95" i="15"/>
  <c r="A127" i="15" s="1"/>
  <c r="A158" i="15" s="1"/>
  <c r="A195" i="15" s="1"/>
  <c r="A107" i="15"/>
  <c r="A139" i="15" s="1"/>
  <c r="A170" i="15" s="1"/>
  <c r="A207" i="15" s="1"/>
  <c r="A106" i="15"/>
  <c r="A138" i="15" s="1"/>
  <c r="A169" i="15" s="1"/>
  <c r="A206" i="15" s="1"/>
  <c r="A96" i="15"/>
  <c r="A128" i="15" s="1"/>
  <c r="A159" i="15" s="1"/>
  <c r="A196" i="15" s="1"/>
  <c r="A99" i="15"/>
  <c r="A131" i="15" s="1"/>
  <c r="A162" i="15" s="1"/>
  <c r="A199" i="15" s="1"/>
  <c r="A103" i="15"/>
  <c r="A135" i="15" s="1"/>
  <c r="A166" i="15" s="1"/>
  <c r="A203" i="15" s="1"/>
  <c r="A113" i="15"/>
  <c r="A145" i="15" s="1"/>
  <c r="A176" i="15" s="1"/>
  <c r="A213" i="15" s="1"/>
  <c r="A105" i="15"/>
  <c r="A137" i="15" s="1"/>
  <c r="A168" i="15" s="1"/>
  <c r="A205" i="15" s="1"/>
  <c r="A104" i="15"/>
  <c r="A136" i="15" s="1"/>
  <c r="A167" i="15" s="1"/>
  <c r="A204" i="15" s="1"/>
  <c r="A112" i="15"/>
  <c r="A144" i="15" s="1"/>
  <c r="A175" i="15" s="1"/>
  <c r="A212" i="15" s="1"/>
  <c r="A111" i="15"/>
  <c r="A143" i="15" s="1"/>
  <c r="A174" i="15" s="1"/>
  <c r="A211" i="15" s="1"/>
  <c r="A97" i="15"/>
  <c r="A129" i="15" s="1"/>
  <c r="A160" i="15" s="1"/>
  <c r="A197" i="15" s="1"/>
  <c r="A110" i="15"/>
  <c r="A142" i="15" s="1"/>
  <c r="A173" i="15" s="1"/>
  <c r="A210" i="15" s="1"/>
  <c r="A102" i="15"/>
  <c r="A134" i="15" s="1"/>
  <c r="A165" i="15" s="1"/>
  <c r="A202" i="15" s="1"/>
  <c r="A94" i="15"/>
  <c r="A126" i="15" s="1"/>
  <c r="A157" i="15" s="1"/>
  <c r="A194" i="15" s="1"/>
  <c r="A109" i="15"/>
  <c r="A141" i="15" s="1"/>
  <c r="A172" i="15" s="1"/>
  <c r="A209" i="15" s="1"/>
  <c r="A101" i="15"/>
  <c r="A133" i="15" s="1"/>
  <c r="A164" i="15" s="1"/>
  <c r="A201" i="15" s="1"/>
  <c r="A116" i="15"/>
  <c r="A148" i="15" s="1"/>
  <c r="A179" i="15" s="1"/>
  <c r="A216" i="15" s="1"/>
  <c r="A108" i="15"/>
  <c r="A140" i="15" s="1"/>
  <c r="A171" i="15" s="1"/>
  <c r="A208" i="15" s="1"/>
  <c r="A100" i="15"/>
  <c r="A132" i="15" s="1"/>
  <c r="A163" i="15" s="1"/>
  <c r="A200" i="15" s="1"/>
  <c r="AA5" i="34"/>
  <c r="H133" i="3" s="1"/>
  <c r="AB5" i="34"/>
  <c r="H136" i="24" s="1"/>
  <c r="AC5" i="34"/>
  <c r="H136" i="10" s="1"/>
  <c r="AD5" i="34"/>
  <c r="H139" i="12" s="1"/>
  <c r="AE5" i="34"/>
  <c r="H136" i="9" s="1"/>
  <c r="AF5" i="34"/>
  <c r="H136" i="25" s="1"/>
  <c r="AG5" i="34"/>
  <c r="H131" i="43" s="1"/>
  <c r="AH5" i="34"/>
  <c r="H132" i="29" s="1"/>
  <c r="AI5" i="34"/>
  <c r="H133" i="16" s="1"/>
  <c r="AJ5" i="34"/>
  <c r="H94" i="15" s="1"/>
  <c r="AA6" i="34"/>
  <c r="H134" i="3" s="1"/>
  <c r="AB6" i="34"/>
  <c r="H137" i="24" s="1"/>
  <c r="AC6" i="34"/>
  <c r="H137" i="10" s="1"/>
  <c r="AD6" i="34"/>
  <c r="H140" i="12" s="1"/>
  <c r="AE6" i="34"/>
  <c r="H137" i="9" s="1"/>
  <c r="AF6" i="34"/>
  <c r="H137" i="25" s="1"/>
  <c r="AG6" i="34"/>
  <c r="H132" i="43" s="1"/>
  <c r="AH6" i="34"/>
  <c r="H133" i="29" s="1"/>
  <c r="AI6" i="34"/>
  <c r="H134" i="16" s="1"/>
  <c r="AJ6" i="34"/>
  <c r="H95" i="15" s="1"/>
  <c r="AA7" i="34"/>
  <c r="H135" i="3" s="1"/>
  <c r="AB7" i="34"/>
  <c r="H138" i="24" s="1"/>
  <c r="AC7" i="34"/>
  <c r="H138" i="10" s="1"/>
  <c r="AD7" i="34"/>
  <c r="H141" i="12" s="1"/>
  <c r="AE7" i="34"/>
  <c r="H138" i="9" s="1"/>
  <c r="AF7" i="34"/>
  <c r="H138" i="25" s="1"/>
  <c r="AG7" i="34"/>
  <c r="H133" i="43" s="1"/>
  <c r="AH7" i="34"/>
  <c r="H134" i="29" s="1"/>
  <c r="AI7" i="34"/>
  <c r="H135" i="16" s="1"/>
  <c r="AJ7" i="34"/>
  <c r="H96" i="15" s="1"/>
  <c r="AA8" i="34"/>
  <c r="H136" i="3" s="1"/>
  <c r="AB8" i="34"/>
  <c r="H139" i="24" s="1"/>
  <c r="AC8" i="34"/>
  <c r="H139" i="10" s="1"/>
  <c r="AD8" i="34"/>
  <c r="H142" i="12" s="1"/>
  <c r="AE8" i="34"/>
  <c r="H139" i="9" s="1"/>
  <c r="AF8" i="34"/>
  <c r="H139" i="25" s="1"/>
  <c r="AG8" i="34"/>
  <c r="H134" i="43" s="1"/>
  <c r="AH8" i="34"/>
  <c r="H135" i="29" s="1"/>
  <c r="AI8" i="34"/>
  <c r="H136" i="16" s="1"/>
  <c r="AJ8" i="34"/>
  <c r="H97" i="15" s="1"/>
  <c r="AA9" i="34"/>
  <c r="H137" i="3" s="1"/>
  <c r="AB9" i="34"/>
  <c r="H140" i="24" s="1"/>
  <c r="AC9" i="34"/>
  <c r="H140" i="10" s="1"/>
  <c r="AD9" i="34"/>
  <c r="H143" i="12" s="1"/>
  <c r="AE9" i="34"/>
  <c r="H140" i="9" s="1"/>
  <c r="AF9" i="34"/>
  <c r="H140" i="25" s="1"/>
  <c r="AG9" i="34"/>
  <c r="H135" i="43" s="1"/>
  <c r="AH9" i="34"/>
  <c r="H136" i="29" s="1"/>
  <c r="AI9" i="34"/>
  <c r="H137" i="16" s="1"/>
  <c r="AJ9" i="34"/>
  <c r="H98" i="15" s="1"/>
  <c r="AA10" i="34"/>
  <c r="H138" i="3" s="1"/>
  <c r="AB10" i="34"/>
  <c r="H141" i="24" s="1"/>
  <c r="AC10" i="34"/>
  <c r="H141" i="10" s="1"/>
  <c r="AD10" i="34"/>
  <c r="H144" i="12" s="1"/>
  <c r="AE10" i="34"/>
  <c r="H141" i="9" s="1"/>
  <c r="AF10" i="34"/>
  <c r="H141" i="25" s="1"/>
  <c r="AG10" i="34"/>
  <c r="H136" i="43" s="1"/>
  <c r="AH10" i="34"/>
  <c r="H137" i="29" s="1"/>
  <c r="AI10" i="34"/>
  <c r="H138" i="16" s="1"/>
  <c r="AJ10" i="34"/>
  <c r="H99" i="15" s="1"/>
  <c r="AA11" i="34"/>
  <c r="H139" i="3" s="1"/>
  <c r="AB11" i="34"/>
  <c r="H142" i="24" s="1"/>
  <c r="AC11" i="34"/>
  <c r="H142" i="10" s="1"/>
  <c r="AD11" i="34"/>
  <c r="H145" i="12" s="1"/>
  <c r="AE11" i="34"/>
  <c r="H142" i="9" s="1"/>
  <c r="AF11" i="34"/>
  <c r="H142" i="25" s="1"/>
  <c r="AG11" i="34"/>
  <c r="H137" i="43" s="1"/>
  <c r="AH11" i="34"/>
  <c r="H138" i="29" s="1"/>
  <c r="AI11" i="34"/>
  <c r="H139" i="16" s="1"/>
  <c r="AJ11" i="34"/>
  <c r="H100" i="15" s="1"/>
  <c r="AA12" i="34"/>
  <c r="H140" i="3" s="1"/>
  <c r="AB12" i="34"/>
  <c r="H143" i="24" s="1"/>
  <c r="AC12" i="34"/>
  <c r="H143" i="10" s="1"/>
  <c r="AD12" i="34"/>
  <c r="H146" i="12" s="1"/>
  <c r="AE12" i="34"/>
  <c r="H143" i="9" s="1"/>
  <c r="AF12" i="34"/>
  <c r="H143" i="25" s="1"/>
  <c r="AG12" i="34"/>
  <c r="H138" i="43" s="1"/>
  <c r="AH12" i="34"/>
  <c r="H139" i="29" s="1"/>
  <c r="AI12" i="34"/>
  <c r="H140" i="16" s="1"/>
  <c r="AJ12" i="34"/>
  <c r="H101" i="15" s="1"/>
  <c r="AA13" i="34"/>
  <c r="H141" i="3" s="1"/>
  <c r="AB13" i="34"/>
  <c r="H144" i="24" s="1"/>
  <c r="AC13" i="34"/>
  <c r="H144" i="10" s="1"/>
  <c r="AD13" i="34"/>
  <c r="H147" i="12" s="1"/>
  <c r="AE13" i="34"/>
  <c r="H144" i="9" s="1"/>
  <c r="AF13" i="34"/>
  <c r="H144" i="25" s="1"/>
  <c r="AG13" i="34"/>
  <c r="H139" i="43" s="1"/>
  <c r="AH13" i="34"/>
  <c r="H140" i="29" s="1"/>
  <c r="AI13" i="34"/>
  <c r="H141" i="16" s="1"/>
  <c r="AJ13" i="34"/>
  <c r="H102" i="15" s="1"/>
  <c r="AA14" i="34"/>
  <c r="H142" i="3" s="1"/>
  <c r="AB14" i="34"/>
  <c r="H145" i="24" s="1"/>
  <c r="AC14" i="34"/>
  <c r="H145" i="10" s="1"/>
  <c r="AD14" i="34"/>
  <c r="H148" i="12" s="1"/>
  <c r="AE14" i="34"/>
  <c r="H145" i="9" s="1"/>
  <c r="AF14" i="34"/>
  <c r="H145" i="25" s="1"/>
  <c r="AG14" i="34"/>
  <c r="H140" i="43" s="1"/>
  <c r="AH14" i="34"/>
  <c r="H141" i="29" s="1"/>
  <c r="AI14" i="34"/>
  <c r="H142" i="16" s="1"/>
  <c r="AJ14" i="34"/>
  <c r="H103" i="15" s="1"/>
  <c r="AA15" i="34"/>
  <c r="H143" i="3" s="1"/>
  <c r="AB15" i="34"/>
  <c r="H146" i="24" s="1"/>
  <c r="AC15" i="34"/>
  <c r="H146" i="10" s="1"/>
  <c r="AD15" i="34"/>
  <c r="H149" i="12" s="1"/>
  <c r="AE15" i="34"/>
  <c r="H146" i="9" s="1"/>
  <c r="AF15" i="34"/>
  <c r="H146" i="25" s="1"/>
  <c r="AG15" i="34"/>
  <c r="H141" i="43" s="1"/>
  <c r="AH15" i="34"/>
  <c r="H142" i="29" s="1"/>
  <c r="AI15" i="34"/>
  <c r="H143" i="16" s="1"/>
  <c r="AJ15" i="34"/>
  <c r="H104" i="15" s="1"/>
  <c r="AA16" i="34"/>
  <c r="H144" i="3" s="1"/>
  <c r="AB16" i="34"/>
  <c r="H147" i="24" s="1"/>
  <c r="AC16" i="34"/>
  <c r="H147" i="10" s="1"/>
  <c r="AD16" i="34"/>
  <c r="H150" i="12" s="1"/>
  <c r="AE16" i="34"/>
  <c r="H147" i="9" s="1"/>
  <c r="AF16" i="34"/>
  <c r="H147" i="25" s="1"/>
  <c r="AG16" i="34"/>
  <c r="H142" i="43" s="1"/>
  <c r="AH16" i="34"/>
  <c r="H143" i="29" s="1"/>
  <c r="AI16" i="34"/>
  <c r="H144" i="16" s="1"/>
  <c r="AJ16" i="34"/>
  <c r="H105" i="15" s="1"/>
  <c r="AA17" i="34"/>
  <c r="H145" i="3" s="1"/>
  <c r="AB17" i="34"/>
  <c r="H148" i="24" s="1"/>
  <c r="AC17" i="34"/>
  <c r="H148" i="10" s="1"/>
  <c r="AD17" i="34"/>
  <c r="H151" i="12" s="1"/>
  <c r="AE17" i="34"/>
  <c r="H148" i="9" s="1"/>
  <c r="AF17" i="34"/>
  <c r="H148" i="25" s="1"/>
  <c r="AG17" i="34"/>
  <c r="H143" i="43" s="1"/>
  <c r="AH17" i="34"/>
  <c r="H144" i="29" s="1"/>
  <c r="AI17" i="34"/>
  <c r="H145" i="16" s="1"/>
  <c r="AJ17" i="34"/>
  <c r="H106" i="15" s="1"/>
  <c r="AA18" i="34"/>
  <c r="H146" i="3" s="1"/>
  <c r="AB18" i="34"/>
  <c r="H149" i="24" s="1"/>
  <c r="AC18" i="34"/>
  <c r="H149" i="10" s="1"/>
  <c r="AD18" i="34"/>
  <c r="H152" i="12" s="1"/>
  <c r="AE18" i="34"/>
  <c r="H149" i="9" s="1"/>
  <c r="AF18" i="34"/>
  <c r="H149" i="25" s="1"/>
  <c r="AG18" i="34"/>
  <c r="H144" i="43" s="1"/>
  <c r="AH18" i="34"/>
  <c r="H145" i="29" s="1"/>
  <c r="AI18" i="34"/>
  <c r="H146" i="16" s="1"/>
  <c r="AJ18" i="34"/>
  <c r="H107" i="15" s="1"/>
  <c r="AA19" i="34"/>
  <c r="H147" i="3" s="1"/>
  <c r="AB19" i="34"/>
  <c r="H150" i="24" s="1"/>
  <c r="AC19" i="34"/>
  <c r="H150" i="10" s="1"/>
  <c r="AD19" i="34"/>
  <c r="H153" i="12" s="1"/>
  <c r="AE19" i="34"/>
  <c r="H150" i="9" s="1"/>
  <c r="AF19" i="34"/>
  <c r="H150" i="25" s="1"/>
  <c r="AG19" i="34"/>
  <c r="H145" i="43" s="1"/>
  <c r="AH19" i="34"/>
  <c r="H146" i="29" s="1"/>
  <c r="AI19" i="34"/>
  <c r="H147" i="16" s="1"/>
  <c r="AJ19" i="34"/>
  <c r="H108" i="15" s="1"/>
  <c r="AA20" i="34"/>
  <c r="H148" i="3" s="1"/>
  <c r="AB20" i="34"/>
  <c r="H151" i="24" s="1"/>
  <c r="AC20" i="34"/>
  <c r="H151" i="10" s="1"/>
  <c r="AD20" i="34"/>
  <c r="H154" i="12" s="1"/>
  <c r="AE20" i="34"/>
  <c r="H151" i="9" s="1"/>
  <c r="AF20" i="34"/>
  <c r="H151" i="25" s="1"/>
  <c r="AG20" i="34"/>
  <c r="H146" i="43" s="1"/>
  <c r="AH20" i="34"/>
  <c r="H147" i="29" s="1"/>
  <c r="AI20" i="34"/>
  <c r="H148" i="16" s="1"/>
  <c r="AJ20" i="34"/>
  <c r="H109" i="15" s="1"/>
  <c r="AA21" i="34"/>
  <c r="H149" i="3" s="1"/>
  <c r="AB21" i="34"/>
  <c r="H152" i="24" s="1"/>
  <c r="AC21" i="34"/>
  <c r="H152" i="10" s="1"/>
  <c r="AD21" i="34"/>
  <c r="H155" i="12" s="1"/>
  <c r="AE21" i="34"/>
  <c r="H152" i="9" s="1"/>
  <c r="AF21" i="34"/>
  <c r="H152" i="25" s="1"/>
  <c r="AG21" i="34"/>
  <c r="H147" i="43" s="1"/>
  <c r="AH21" i="34"/>
  <c r="H148" i="29" s="1"/>
  <c r="AI21" i="34"/>
  <c r="H149" i="16" s="1"/>
  <c r="AJ21" i="34"/>
  <c r="H110" i="15" s="1"/>
  <c r="AA22" i="34"/>
  <c r="H150" i="3" s="1"/>
  <c r="AB22" i="34"/>
  <c r="H153" i="24" s="1"/>
  <c r="AC22" i="34"/>
  <c r="H153" i="10" s="1"/>
  <c r="AD22" i="34"/>
  <c r="H156" i="12" s="1"/>
  <c r="AE22" i="34"/>
  <c r="H153" i="9" s="1"/>
  <c r="AF22" i="34"/>
  <c r="H153" i="25" s="1"/>
  <c r="AG22" i="34"/>
  <c r="H148" i="43" s="1"/>
  <c r="AH22" i="34"/>
  <c r="H149" i="29" s="1"/>
  <c r="AI22" i="34"/>
  <c r="H150" i="16" s="1"/>
  <c r="AJ22" i="34"/>
  <c r="H111" i="15" s="1"/>
  <c r="AA23" i="34"/>
  <c r="H151" i="3" s="1"/>
  <c r="AB23" i="34"/>
  <c r="H154" i="24" s="1"/>
  <c r="AC23" i="34"/>
  <c r="H154" i="10" s="1"/>
  <c r="AD23" i="34"/>
  <c r="H157" i="12" s="1"/>
  <c r="AE23" i="34"/>
  <c r="H154" i="9" s="1"/>
  <c r="AF23" i="34"/>
  <c r="H154" i="25" s="1"/>
  <c r="AG23" i="34"/>
  <c r="H149" i="43" s="1"/>
  <c r="AH23" i="34"/>
  <c r="H150" i="29" s="1"/>
  <c r="AI23" i="34"/>
  <c r="H151" i="16" s="1"/>
  <c r="AJ23" i="34"/>
  <c r="H112" i="15" s="1"/>
  <c r="AA24" i="34"/>
  <c r="H152" i="3" s="1"/>
  <c r="AB24" i="34"/>
  <c r="H155" i="24" s="1"/>
  <c r="AC24" i="34"/>
  <c r="H155" i="10" s="1"/>
  <c r="AD24" i="34"/>
  <c r="H158" i="12" s="1"/>
  <c r="AE24" i="34"/>
  <c r="H155" i="9" s="1"/>
  <c r="AF24" i="34"/>
  <c r="H155" i="25" s="1"/>
  <c r="AG24" i="34"/>
  <c r="H150" i="43" s="1"/>
  <c r="AH24" i="34"/>
  <c r="H151" i="29" s="1"/>
  <c r="AI24" i="34"/>
  <c r="H152" i="16" s="1"/>
  <c r="AJ24" i="34"/>
  <c r="H113" i="15" s="1"/>
  <c r="AA25" i="34"/>
  <c r="H153" i="3" s="1"/>
  <c r="AB25" i="34"/>
  <c r="H156" i="24" s="1"/>
  <c r="AC25" i="34"/>
  <c r="H156" i="10" s="1"/>
  <c r="AD25" i="34"/>
  <c r="H159" i="12" s="1"/>
  <c r="AE25" i="34"/>
  <c r="H156" i="9" s="1"/>
  <c r="AF25" i="34"/>
  <c r="H156" i="25" s="1"/>
  <c r="AG25" i="34"/>
  <c r="H151" i="43" s="1"/>
  <c r="AH25" i="34"/>
  <c r="H152" i="29" s="1"/>
  <c r="AI25" i="34"/>
  <c r="H153" i="16" s="1"/>
  <c r="AJ25" i="34"/>
  <c r="H114" i="15" s="1"/>
  <c r="AA26" i="34"/>
  <c r="H154" i="3" s="1"/>
  <c r="AB26" i="34"/>
  <c r="H157" i="24" s="1"/>
  <c r="AC26" i="34"/>
  <c r="H157" i="10" s="1"/>
  <c r="AD26" i="34"/>
  <c r="H160" i="12" s="1"/>
  <c r="AE26" i="34"/>
  <c r="H157" i="9" s="1"/>
  <c r="AF26" i="34"/>
  <c r="H157" i="25" s="1"/>
  <c r="AG26" i="34"/>
  <c r="H152" i="43" s="1"/>
  <c r="AH26" i="34"/>
  <c r="H153" i="29" s="1"/>
  <c r="AI26" i="34"/>
  <c r="H154" i="16" s="1"/>
  <c r="AJ26" i="34"/>
  <c r="H115" i="15" s="1"/>
  <c r="AA27" i="34"/>
  <c r="H155" i="3" s="1"/>
  <c r="AB27" i="34"/>
  <c r="H158" i="24" s="1"/>
  <c r="AC27" i="34"/>
  <c r="H158" i="10" s="1"/>
  <c r="AD27" i="34"/>
  <c r="H161" i="12" s="1"/>
  <c r="AE27" i="34"/>
  <c r="H158" i="9" s="1"/>
  <c r="AF27" i="34"/>
  <c r="H158" i="25" s="1"/>
  <c r="AG27" i="34"/>
  <c r="H153" i="43" s="1"/>
  <c r="AH27" i="34"/>
  <c r="H154" i="29" s="1"/>
  <c r="AI27" i="34"/>
  <c r="H155" i="16" s="1"/>
  <c r="AJ27" i="34"/>
  <c r="H116" i="15" s="1"/>
  <c r="AB4" i="34"/>
  <c r="H135" i="24" s="1"/>
  <c r="AC4" i="34"/>
  <c r="H135" i="10" s="1"/>
  <c r="AD4" i="34"/>
  <c r="H138" i="12" s="1"/>
  <c r="AE4" i="34"/>
  <c r="H135" i="9" s="1"/>
  <c r="AF4" i="34"/>
  <c r="H135" i="25" s="1"/>
  <c r="AG4" i="34"/>
  <c r="H130" i="43" s="1"/>
  <c r="AH4" i="34"/>
  <c r="H131" i="29" s="1"/>
  <c r="AI4" i="34"/>
  <c r="H132" i="16" s="1"/>
  <c r="AJ4" i="34"/>
  <c r="H93" i="15" s="1"/>
  <c r="AA4" i="34"/>
  <c r="H132" i="3" s="1"/>
  <c r="O5" i="34"/>
  <c r="G133" i="3" s="1"/>
  <c r="P5" i="34"/>
  <c r="G136" i="24" s="1"/>
  <c r="Q5" i="34"/>
  <c r="G136" i="10" s="1"/>
  <c r="R5" i="34"/>
  <c r="G139" i="12" s="1"/>
  <c r="S5" i="34"/>
  <c r="G136" i="9" s="1"/>
  <c r="T5" i="34"/>
  <c r="G136" i="25" s="1"/>
  <c r="U5" i="34"/>
  <c r="G131" i="43" s="1"/>
  <c r="V5" i="34"/>
  <c r="G132" i="29" s="1"/>
  <c r="W5" i="34"/>
  <c r="G133" i="16" s="1"/>
  <c r="X5" i="34"/>
  <c r="G94" i="15" s="1"/>
  <c r="O6" i="34"/>
  <c r="G134" i="3" s="1"/>
  <c r="P6" i="34"/>
  <c r="G137" i="24" s="1"/>
  <c r="Q6" i="34"/>
  <c r="G137" i="10" s="1"/>
  <c r="R6" i="34"/>
  <c r="G140" i="12" s="1"/>
  <c r="S6" i="34"/>
  <c r="G137" i="9" s="1"/>
  <c r="T6" i="34"/>
  <c r="G137" i="25" s="1"/>
  <c r="U6" i="34"/>
  <c r="G132" i="43" s="1"/>
  <c r="V6" i="34"/>
  <c r="G133" i="29" s="1"/>
  <c r="W6" i="34"/>
  <c r="G134" i="16" s="1"/>
  <c r="X6" i="34"/>
  <c r="G95" i="15" s="1"/>
  <c r="O7" i="34"/>
  <c r="G135" i="3" s="1"/>
  <c r="P7" i="34"/>
  <c r="G138" i="24" s="1"/>
  <c r="Q7" i="34"/>
  <c r="G138" i="10" s="1"/>
  <c r="R7" i="34"/>
  <c r="G141" i="12" s="1"/>
  <c r="S7" i="34"/>
  <c r="G138" i="9" s="1"/>
  <c r="T7" i="34"/>
  <c r="G138" i="25" s="1"/>
  <c r="U7" i="34"/>
  <c r="G133" i="43" s="1"/>
  <c r="V7" i="34"/>
  <c r="G134" i="29" s="1"/>
  <c r="W7" i="34"/>
  <c r="G135" i="16" s="1"/>
  <c r="X7" i="34"/>
  <c r="G96" i="15" s="1"/>
  <c r="O8" i="34"/>
  <c r="G136" i="3" s="1"/>
  <c r="P8" i="34"/>
  <c r="G139" i="24" s="1"/>
  <c r="Q8" i="34"/>
  <c r="G139" i="10" s="1"/>
  <c r="R8" i="34"/>
  <c r="G142" i="12" s="1"/>
  <c r="S8" i="34"/>
  <c r="G139" i="9" s="1"/>
  <c r="T8" i="34"/>
  <c r="G139" i="25" s="1"/>
  <c r="U8" i="34"/>
  <c r="G134" i="43" s="1"/>
  <c r="V8" i="34"/>
  <c r="G135" i="29" s="1"/>
  <c r="W8" i="34"/>
  <c r="G136" i="16" s="1"/>
  <c r="X8" i="34"/>
  <c r="G97" i="15" s="1"/>
  <c r="O9" i="34"/>
  <c r="G137" i="3" s="1"/>
  <c r="P9" i="34"/>
  <c r="G140" i="24" s="1"/>
  <c r="Q9" i="34"/>
  <c r="G140" i="10" s="1"/>
  <c r="R9" i="34"/>
  <c r="G143" i="12" s="1"/>
  <c r="S9" i="34"/>
  <c r="G140" i="9" s="1"/>
  <c r="T9" i="34"/>
  <c r="G140" i="25" s="1"/>
  <c r="U9" i="34"/>
  <c r="G135" i="43" s="1"/>
  <c r="V9" i="34"/>
  <c r="G136" i="29" s="1"/>
  <c r="W9" i="34"/>
  <c r="G137" i="16" s="1"/>
  <c r="X9" i="34"/>
  <c r="G98" i="15" s="1"/>
  <c r="O10" i="34"/>
  <c r="G138" i="3" s="1"/>
  <c r="P10" i="34"/>
  <c r="G141" i="24" s="1"/>
  <c r="Q10" i="34"/>
  <c r="G141" i="10" s="1"/>
  <c r="R10" i="34"/>
  <c r="G144" i="12" s="1"/>
  <c r="S10" i="34"/>
  <c r="G141" i="9" s="1"/>
  <c r="T10" i="34"/>
  <c r="G141" i="25" s="1"/>
  <c r="U10" i="34"/>
  <c r="G136" i="43" s="1"/>
  <c r="V10" i="34"/>
  <c r="G137" i="29" s="1"/>
  <c r="W10" i="34"/>
  <c r="G138" i="16" s="1"/>
  <c r="X10" i="34"/>
  <c r="G99" i="15" s="1"/>
  <c r="O11" i="34"/>
  <c r="G139" i="3" s="1"/>
  <c r="P11" i="34"/>
  <c r="G142" i="24" s="1"/>
  <c r="Q11" i="34"/>
  <c r="G142" i="10" s="1"/>
  <c r="R11" i="34"/>
  <c r="G145" i="12" s="1"/>
  <c r="S11" i="34"/>
  <c r="G142" i="9" s="1"/>
  <c r="T11" i="34"/>
  <c r="G142" i="25" s="1"/>
  <c r="U11" i="34"/>
  <c r="G137" i="43" s="1"/>
  <c r="V11" i="34"/>
  <c r="G138" i="29" s="1"/>
  <c r="W11" i="34"/>
  <c r="G139" i="16" s="1"/>
  <c r="X11" i="34"/>
  <c r="G100" i="15" s="1"/>
  <c r="O12" i="34"/>
  <c r="G140" i="3" s="1"/>
  <c r="P12" i="34"/>
  <c r="G143" i="24" s="1"/>
  <c r="Q12" i="34"/>
  <c r="G143" i="10" s="1"/>
  <c r="R12" i="34"/>
  <c r="G146" i="12" s="1"/>
  <c r="S12" i="34"/>
  <c r="G143" i="9" s="1"/>
  <c r="T12" i="34"/>
  <c r="G143" i="25" s="1"/>
  <c r="U12" i="34"/>
  <c r="G138" i="43" s="1"/>
  <c r="V12" i="34"/>
  <c r="G139" i="29" s="1"/>
  <c r="W12" i="34"/>
  <c r="G140" i="16" s="1"/>
  <c r="X12" i="34"/>
  <c r="G101" i="15" s="1"/>
  <c r="O13" i="34"/>
  <c r="G141" i="3" s="1"/>
  <c r="P13" i="34"/>
  <c r="G144" i="24" s="1"/>
  <c r="Q13" i="34"/>
  <c r="G144" i="10" s="1"/>
  <c r="R13" i="34"/>
  <c r="G147" i="12" s="1"/>
  <c r="S13" i="34"/>
  <c r="G144" i="9" s="1"/>
  <c r="T13" i="34"/>
  <c r="G144" i="25" s="1"/>
  <c r="U13" i="34"/>
  <c r="G139" i="43" s="1"/>
  <c r="V13" i="34"/>
  <c r="G140" i="29" s="1"/>
  <c r="W13" i="34"/>
  <c r="G141" i="16" s="1"/>
  <c r="X13" i="34"/>
  <c r="G102" i="15" s="1"/>
  <c r="O14" i="34"/>
  <c r="G142" i="3" s="1"/>
  <c r="P14" i="34"/>
  <c r="G145" i="24" s="1"/>
  <c r="Q14" i="34"/>
  <c r="G145" i="10" s="1"/>
  <c r="R14" i="34"/>
  <c r="G148" i="12" s="1"/>
  <c r="S14" i="34"/>
  <c r="G145" i="9" s="1"/>
  <c r="T14" i="34"/>
  <c r="G145" i="25" s="1"/>
  <c r="U14" i="34"/>
  <c r="G140" i="43" s="1"/>
  <c r="V14" i="34"/>
  <c r="G141" i="29" s="1"/>
  <c r="W14" i="34"/>
  <c r="G142" i="16" s="1"/>
  <c r="X14" i="34"/>
  <c r="G103" i="15" s="1"/>
  <c r="O15" i="34"/>
  <c r="G143" i="3" s="1"/>
  <c r="P15" i="34"/>
  <c r="G146" i="24" s="1"/>
  <c r="Q15" i="34"/>
  <c r="G146" i="10" s="1"/>
  <c r="R15" i="34"/>
  <c r="G149" i="12" s="1"/>
  <c r="S15" i="34"/>
  <c r="G146" i="9" s="1"/>
  <c r="T15" i="34"/>
  <c r="G146" i="25" s="1"/>
  <c r="U15" i="34"/>
  <c r="G141" i="43" s="1"/>
  <c r="V15" i="34"/>
  <c r="G142" i="29" s="1"/>
  <c r="W15" i="34"/>
  <c r="G143" i="16" s="1"/>
  <c r="X15" i="34"/>
  <c r="G104" i="15" s="1"/>
  <c r="O16" i="34"/>
  <c r="G144" i="3" s="1"/>
  <c r="P16" i="34"/>
  <c r="G147" i="24" s="1"/>
  <c r="Q16" i="34"/>
  <c r="G147" i="10" s="1"/>
  <c r="R16" i="34"/>
  <c r="G150" i="12" s="1"/>
  <c r="S16" i="34"/>
  <c r="G147" i="9" s="1"/>
  <c r="T16" i="34"/>
  <c r="G147" i="25" s="1"/>
  <c r="U16" i="34"/>
  <c r="G142" i="43" s="1"/>
  <c r="V16" i="34"/>
  <c r="G143" i="29" s="1"/>
  <c r="W16" i="34"/>
  <c r="G144" i="16" s="1"/>
  <c r="X16" i="34"/>
  <c r="G105" i="15" s="1"/>
  <c r="O17" i="34"/>
  <c r="G145" i="3" s="1"/>
  <c r="P17" i="34"/>
  <c r="G148" i="24" s="1"/>
  <c r="Q17" i="34"/>
  <c r="G148" i="10" s="1"/>
  <c r="R17" i="34"/>
  <c r="G151" i="12" s="1"/>
  <c r="S17" i="34"/>
  <c r="G148" i="9" s="1"/>
  <c r="T17" i="34"/>
  <c r="G148" i="25" s="1"/>
  <c r="U17" i="34"/>
  <c r="G143" i="43" s="1"/>
  <c r="V17" i="34"/>
  <c r="G144" i="29" s="1"/>
  <c r="W17" i="34"/>
  <c r="G145" i="16" s="1"/>
  <c r="X17" i="34"/>
  <c r="G106" i="15" s="1"/>
  <c r="O18" i="34"/>
  <c r="G146" i="3" s="1"/>
  <c r="P18" i="34"/>
  <c r="G149" i="24" s="1"/>
  <c r="Q18" i="34"/>
  <c r="G149" i="10" s="1"/>
  <c r="R18" i="34"/>
  <c r="G152" i="12" s="1"/>
  <c r="S18" i="34"/>
  <c r="G149" i="9" s="1"/>
  <c r="T18" i="34"/>
  <c r="G149" i="25" s="1"/>
  <c r="U18" i="34"/>
  <c r="G144" i="43" s="1"/>
  <c r="V18" i="34"/>
  <c r="G145" i="29" s="1"/>
  <c r="W18" i="34"/>
  <c r="G146" i="16" s="1"/>
  <c r="X18" i="34"/>
  <c r="G107" i="15" s="1"/>
  <c r="O19" i="34"/>
  <c r="G147" i="3" s="1"/>
  <c r="P19" i="34"/>
  <c r="G150" i="24" s="1"/>
  <c r="Q19" i="34"/>
  <c r="G150" i="10" s="1"/>
  <c r="R19" i="34"/>
  <c r="G153" i="12" s="1"/>
  <c r="S19" i="34"/>
  <c r="G150" i="9" s="1"/>
  <c r="T19" i="34"/>
  <c r="G150" i="25" s="1"/>
  <c r="U19" i="34"/>
  <c r="G145" i="43" s="1"/>
  <c r="V19" i="34"/>
  <c r="G146" i="29" s="1"/>
  <c r="W19" i="34"/>
  <c r="G147" i="16" s="1"/>
  <c r="X19" i="34"/>
  <c r="G108" i="15" s="1"/>
  <c r="O20" i="34"/>
  <c r="G148" i="3" s="1"/>
  <c r="P20" i="34"/>
  <c r="G151" i="24" s="1"/>
  <c r="Q20" i="34"/>
  <c r="G151" i="10" s="1"/>
  <c r="R20" i="34"/>
  <c r="G154" i="12" s="1"/>
  <c r="S20" i="34"/>
  <c r="G151" i="9" s="1"/>
  <c r="T20" i="34"/>
  <c r="G151" i="25" s="1"/>
  <c r="U20" i="34"/>
  <c r="G146" i="43" s="1"/>
  <c r="V20" i="34"/>
  <c r="G147" i="29" s="1"/>
  <c r="W20" i="34"/>
  <c r="G148" i="16" s="1"/>
  <c r="X20" i="34"/>
  <c r="G109" i="15" s="1"/>
  <c r="O21" i="34"/>
  <c r="G149" i="3" s="1"/>
  <c r="P21" i="34"/>
  <c r="G152" i="24" s="1"/>
  <c r="Q21" i="34"/>
  <c r="G152" i="10" s="1"/>
  <c r="R21" i="34"/>
  <c r="G155" i="12" s="1"/>
  <c r="S21" i="34"/>
  <c r="G152" i="9" s="1"/>
  <c r="T21" i="34"/>
  <c r="G152" i="25" s="1"/>
  <c r="U21" i="34"/>
  <c r="G147" i="43" s="1"/>
  <c r="V21" i="34"/>
  <c r="G148" i="29" s="1"/>
  <c r="W21" i="34"/>
  <c r="G149" i="16" s="1"/>
  <c r="X21" i="34"/>
  <c r="G110" i="15" s="1"/>
  <c r="O22" i="34"/>
  <c r="G150" i="3" s="1"/>
  <c r="P22" i="34"/>
  <c r="G153" i="24" s="1"/>
  <c r="Q22" i="34"/>
  <c r="G153" i="10" s="1"/>
  <c r="R22" i="34"/>
  <c r="G156" i="12" s="1"/>
  <c r="S22" i="34"/>
  <c r="G153" i="9" s="1"/>
  <c r="T22" i="34"/>
  <c r="G153" i="25" s="1"/>
  <c r="U22" i="34"/>
  <c r="G148" i="43" s="1"/>
  <c r="V22" i="34"/>
  <c r="G149" i="29" s="1"/>
  <c r="W22" i="34"/>
  <c r="G150" i="16" s="1"/>
  <c r="X22" i="34"/>
  <c r="G111" i="15" s="1"/>
  <c r="O23" i="34"/>
  <c r="G151" i="3" s="1"/>
  <c r="P23" i="34"/>
  <c r="G154" i="24" s="1"/>
  <c r="Q23" i="34"/>
  <c r="G154" i="10" s="1"/>
  <c r="R23" i="34"/>
  <c r="G157" i="12" s="1"/>
  <c r="S23" i="34"/>
  <c r="G154" i="9" s="1"/>
  <c r="T23" i="34"/>
  <c r="G154" i="25" s="1"/>
  <c r="U23" i="34"/>
  <c r="G149" i="43" s="1"/>
  <c r="V23" i="34"/>
  <c r="G150" i="29" s="1"/>
  <c r="W23" i="34"/>
  <c r="G151" i="16" s="1"/>
  <c r="X23" i="34"/>
  <c r="G112" i="15" s="1"/>
  <c r="O24" i="34"/>
  <c r="G152" i="3" s="1"/>
  <c r="P24" i="34"/>
  <c r="G155" i="24" s="1"/>
  <c r="Q24" i="34"/>
  <c r="G155" i="10" s="1"/>
  <c r="R24" i="34"/>
  <c r="G158" i="12" s="1"/>
  <c r="S24" i="34"/>
  <c r="G155" i="9" s="1"/>
  <c r="T24" i="34"/>
  <c r="G155" i="25" s="1"/>
  <c r="U24" i="34"/>
  <c r="G150" i="43" s="1"/>
  <c r="V24" i="34"/>
  <c r="G151" i="29" s="1"/>
  <c r="W24" i="34"/>
  <c r="G152" i="16" s="1"/>
  <c r="X24" i="34"/>
  <c r="G113" i="15" s="1"/>
  <c r="O25" i="34"/>
  <c r="G153" i="3" s="1"/>
  <c r="P25" i="34"/>
  <c r="G156" i="24" s="1"/>
  <c r="Q25" i="34"/>
  <c r="G156" i="10" s="1"/>
  <c r="R25" i="34"/>
  <c r="G159" i="12" s="1"/>
  <c r="S25" i="34"/>
  <c r="G156" i="9" s="1"/>
  <c r="T25" i="34"/>
  <c r="G156" i="25" s="1"/>
  <c r="U25" i="34"/>
  <c r="G151" i="43" s="1"/>
  <c r="V25" i="34"/>
  <c r="G152" i="29" s="1"/>
  <c r="W25" i="34"/>
  <c r="G153" i="16" s="1"/>
  <c r="X25" i="34"/>
  <c r="G114" i="15" s="1"/>
  <c r="O26" i="34"/>
  <c r="G154" i="3" s="1"/>
  <c r="P26" i="34"/>
  <c r="G157" i="24" s="1"/>
  <c r="Q26" i="34"/>
  <c r="G157" i="10" s="1"/>
  <c r="R26" i="34"/>
  <c r="G160" i="12" s="1"/>
  <c r="S26" i="34"/>
  <c r="G157" i="9" s="1"/>
  <c r="T26" i="34"/>
  <c r="G157" i="25" s="1"/>
  <c r="U26" i="34"/>
  <c r="G152" i="43" s="1"/>
  <c r="V26" i="34"/>
  <c r="G153" i="29" s="1"/>
  <c r="W26" i="34"/>
  <c r="G154" i="16" s="1"/>
  <c r="X26" i="34"/>
  <c r="G115" i="15" s="1"/>
  <c r="O27" i="34"/>
  <c r="G155" i="3" s="1"/>
  <c r="P27" i="34"/>
  <c r="G158" i="24" s="1"/>
  <c r="Q27" i="34"/>
  <c r="G158" i="10" s="1"/>
  <c r="R27" i="34"/>
  <c r="G161" i="12" s="1"/>
  <c r="S27" i="34"/>
  <c r="G158" i="9" s="1"/>
  <c r="T27" i="34"/>
  <c r="G158" i="25" s="1"/>
  <c r="U27" i="34"/>
  <c r="G153" i="43" s="1"/>
  <c r="V27" i="34"/>
  <c r="G154" i="29" s="1"/>
  <c r="W27" i="34"/>
  <c r="G155" i="16" s="1"/>
  <c r="X27" i="34"/>
  <c r="G116" i="15" s="1"/>
  <c r="P4" i="34"/>
  <c r="G135" i="24" s="1"/>
  <c r="Q4" i="34"/>
  <c r="G135" i="10" s="1"/>
  <c r="R4" i="34"/>
  <c r="G138" i="12" s="1"/>
  <c r="S4" i="34"/>
  <c r="G135" i="9" s="1"/>
  <c r="T4" i="34"/>
  <c r="G135" i="25" s="1"/>
  <c r="U4" i="34"/>
  <c r="G130" i="43" s="1"/>
  <c r="V4" i="34"/>
  <c r="G131" i="29" s="1"/>
  <c r="W4" i="34"/>
  <c r="G132" i="16" s="1"/>
  <c r="X4" i="34"/>
  <c r="G93" i="15" s="1"/>
  <c r="O4" i="34"/>
  <c r="G132" i="3" s="1"/>
  <c r="C5" i="34"/>
  <c r="F133" i="3" s="1"/>
  <c r="D5" i="34"/>
  <c r="F136" i="24" s="1"/>
  <c r="E5" i="34"/>
  <c r="F136" i="10" s="1"/>
  <c r="F5" i="34"/>
  <c r="F139" i="12" s="1"/>
  <c r="G5" i="34"/>
  <c r="F136" i="9" s="1"/>
  <c r="H5" i="34"/>
  <c r="F136" i="25" s="1"/>
  <c r="I5" i="34"/>
  <c r="F131" i="43" s="1"/>
  <c r="J5" i="34"/>
  <c r="F132" i="29" s="1"/>
  <c r="K5" i="34"/>
  <c r="F133" i="16" s="1"/>
  <c r="L5" i="34"/>
  <c r="F94" i="15" s="1"/>
  <c r="J94" i="15" s="1"/>
  <c r="C6" i="34"/>
  <c r="F134" i="3" s="1"/>
  <c r="D6" i="34"/>
  <c r="F137" i="24" s="1"/>
  <c r="E6" i="34"/>
  <c r="F137" i="10" s="1"/>
  <c r="F6" i="34"/>
  <c r="F140" i="12" s="1"/>
  <c r="G6" i="34"/>
  <c r="F137" i="9" s="1"/>
  <c r="H6" i="34"/>
  <c r="F137" i="25" s="1"/>
  <c r="I6" i="34"/>
  <c r="F132" i="43" s="1"/>
  <c r="J6" i="34"/>
  <c r="F133" i="29" s="1"/>
  <c r="K6" i="34"/>
  <c r="F134" i="16" s="1"/>
  <c r="L6" i="34"/>
  <c r="F95" i="15" s="1"/>
  <c r="J95" i="15" s="1"/>
  <c r="C7" i="34"/>
  <c r="F135" i="3" s="1"/>
  <c r="D7" i="34"/>
  <c r="F138" i="24" s="1"/>
  <c r="E7" i="34"/>
  <c r="F138" i="10" s="1"/>
  <c r="F7" i="34"/>
  <c r="F141" i="12" s="1"/>
  <c r="G7" i="34"/>
  <c r="F138" i="9" s="1"/>
  <c r="H7" i="34"/>
  <c r="F138" i="25" s="1"/>
  <c r="I7" i="34"/>
  <c r="F133" i="43" s="1"/>
  <c r="J7" i="34"/>
  <c r="F134" i="29" s="1"/>
  <c r="K7" i="34"/>
  <c r="F135" i="16" s="1"/>
  <c r="L7" i="34"/>
  <c r="F96" i="15" s="1"/>
  <c r="J96" i="15" s="1"/>
  <c r="C8" i="34"/>
  <c r="F136" i="3" s="1"/>
  <c r="D8" i="34"/>
  <c r="F139" i="24" s="1"/>
  <c r="E8" i="34"/>
  <c r="F139" i="10" s="1"/>
  <c r="F8" i="34"/>
  <c r="F142" i="12" s="1"/>
  <c r="G8" i="34"/>
  <c r="F139" i="9" s="1"/>
  <c r="H8" i="34"/>
  <c r="F139" i="25" s="1"/>
  <c r="I8" i="34"/>
  <c r="F134" i="43" s="1"/>
  <c r="J8" i="34"/>
  <c r="F135" i="29" s="1"/>
  <c r="K8" i="34"/>
  <c r="F136" i="16" s="1"/>
  <c r="L8" i="34"/>
  <c r="F97" i="15" s="1"/>
  <c r="J97" i="15" s="1"/>
  <c r="C9" i="34"/>
  <c r="F137" i="3" s="1"/>
  <c r="D9" i="34"/>
  <c r="F140" i="24" s="1"/>
  <c r="E9" i="34"/>
  <c r="F140" i="10" s="1"/>
  <c r="F9" i="34"/>
  <c r="F143" i="12" s="1"/>
  <c r="G9" i="34"/>
  <c r="F140" i="9" s="1"/>
  <c r="H9" i="34"/>
  <c r="F140" i="25" s="1"/>
  <c r="I9" i="34"/>
  <c r="F135" i="43" s="1"/>
  <c r="J9" i="34"/>
  <c r="F136" i="29" s="1"/>
  <c r="K9" i="34"/>
  <c r="F137" i="16" s="1"/>
  <c r="L9" i="34"/>
  <c r="F98" i="15" s="1"/>
  <c r="J98" i="15" s="1"/>
  <c r="C10" i="34"/>
  <c r="F138" i="3" s="1"/>
  <c r="D10" i="34"/>
  <c r="F141" i="24" s="1"/>
  <c r="E10" i="34"/>
  <c r="F141" i="10" s="1"/>
  <c r="F10" i="34"/>
  <c r="F144" i="12" s="1"/>
  <c r="G10" i="34"/>
  <c r="F141" i="9" s="1"/>
  <c r="H10" i="34"/>
  <c r="F141" i="25" s="1"/>
  <c r="I10" i="34"/>
  <c r="F136" i="43" s="1"/>
  <c r="J10" i="34"/>
  <c r="F137" i="29" s="1"/>
  <c r="K10" i="34"/>
  <c r="F138" i="16" s="1"/>
  <c r="L10" i="34"/>
  <c r="F99" i="15" s="1"/>
  <c r="J99" i="15" s="1"/>
  <c r="C11" i="34"/>
  <c r="F139" i="3" s="1"/>
  <c r="D11" i="34"/>
  <c r="F142" i="24" s="1"/>
  <c r="E11" i="34"/>
  <c r="F142" i="10" s="1"/>
  <c r="F11" i="34"/>
  <c r="F145" i="12" s="1"/>
  <c r="G11" i="34"/>
  <c r="F142" i="9" s="1"/>
  <c r="H11" i="34"/>
  <c r="F142" i="25" s="1"/>
  <c r="I11" i="34"/>
  <c r="F137" i="43" s="1"/>
  <c r="J11" i="34"/>
  <c r="F138" i="29" s="1"/>
  <c r="K11" i="34"/>
  <c r="F139" i="16" s="1"/>
  <c r="L11" i="34"/>
  <c r="F100" i="15" s="1"/>
  <c r="J100" i="15" s="1"/>
  <c r="C12" i="34"/>
  <c r="F140" i="3" s="1"/>
  <c r="D12" i="34"/>
  <c r="F143" i="24" s="1"/>
  <c r="E12" i="34"/>
  <c r="F143" i="10" s="1"/>
  <c r="F12" i="34"/>
  <c r="F146" i="12" s="1"/>
  <c r="G12" i="34"/>
  <c r="F143" i="9" s="1"/>
  <c r="H12" i="34"/>
  <c r="F143" i="25" s="1"/>
  <c r="I12" i="34"/>
  <c r="F138" i="43" s="1"/>
  <c r="J12" i="34"/>
  <c r="F139" i="29" s="1"/>
  <c r="K12" i="34"/>
  <c r="F140" i="16" s="1"/>
  <c r="L12" i="34"/>
  <c r="F101" i="15" s="1"/>
  <c r="J101" i="15" s="1"/>
  <c r="C13" i="34"/>
  <c r="F141" i="3" s="1"/>
  <c r="D13" i="34"/>
  <c r="F144" i="24" s="1"/>
  <c r="E13" i="34"/>
  <c r="F144" i="10" s="1"/>
  <c r="F13" i="34"/>
  <c r="F147" i="12" s="1"/>
  <c r="G13" i="34"/>
  <c r="F144" i="9" s="1"/>
  <c r="H13" i="34"/>
  <c r="F144" i="25" s="1"/>
  <c r="I13" i="34"/>
  <c r="F139" i="43" s="1"/>
  <c r="J13" i="34"/>
  <c r="F140" i="29" s="1"/>
  <c r="K13" i="34"/>
  <c r="F141" i="16" s="1"/>
  <c r="L13" i="34"/>
  <c r="F102" i="15" s="1"/>
  <c r="J102" i="15" s="1"/>
  <c r="C14" i="34"/>
  <c r="F142" i="3" s="1"/>
  <c r="D14" i="34"/>
  <c r="F145" i="24" s="1"/>
  <c r="E14" i="34"/>
  <c r="F145" i="10" s="1"/>
  <c r="F14" i="34"/>
  <c r="F148" i="12" s="1"/>
  <c r="G14" i="34"/>
  <c r="F145" i="9" s="1"/>
  <c r="H14" i="34"/>
  <c r="F145" i="25" s="1"/>
  <c r="I14" i="34"/>
  <c r="F140" i="43" s="1"/>
  <c r="J14" i="34"/>
  <c r="F141" i="29" s="1"/>
  <c r="K14" i="34"/>
  <c r="F142" i="16" s="1"/>
  <c r="L14" i="34"/>
  <c r="F103" i="15" s="1"/>
  <c r="J103" i="15" s="1"/>
  <c r="C15" i="34"/>
  <c r="F143" i="3" s="1"/>
  <c r="D15" i="34"/>
  <c r="F146" i="24" s="1"/>
  <c r="E15" i="34"/>
  <c r="F146" i="10" s="1"/>
  <c r="F15" i="34"/>
  <c r="F149" i="12" s="1"/>
  <c r="G15" i="34"/>
  <c r="F146" i="9" s="1"/>
  <c r="H15" i="34"/>
  <c r="F146" i="25" s="1"/>
  <c r="I15" i="34"/>
  <c r="F141" i="43" s="1"/>
  <c r="J15" i="34"/>
  <c r="F142" i="29" s="1"/>
  <c r="K15" i="34"/>
  <c r="F143" i="16" s="1"/>
  <c r="L15" i="34"/>
  <c r="F104" i="15" s="1"/>
  <c r="J104" i="15" s="1"/>
  <c r="C16" i="34"/>
  <c r="F144" i="3" s="1"/>
  <c r="D16" i="34"/>
  <c r="F147" i="24" s="1"/>
  <c r="E16" i="34"/>
  <c r="F147" i="10" s="1"/>
  <c r="F16" i="34"/>
  <c r="F150" i="12" s="1"/>
  <c r="G16" i="34"/>
  <c r="F147" i="9" s="1"/>
  <c r="H16" i="34"/>
  <c r="F147" i="25" s="1"/>
  <c r="I16" i="34"/>
  <c r="F142" i="43" s="1"/>
  <c r="J16" i="34"/>
  <c r="F143" i="29" s="1"/>
  <c r="K16" i="34"/>
  <c r="F144" i="16" s="1"/>
  <c r="L16" i="34"/>
  <c r="F105" i="15" s="1"/>
  <c r="J105" i="15" s="1"/>
  <c r="C17" i="34"/>
  <c r="F145" i="3" s="1"/>
  <c r="D17" i="34"/>
  <c r="F148" i="24" s="1"/>
  <c r="E17" i="34"/>
  <c r="F148" i="10" s="1"/>
  <c r="F17" i="34"/>
  <c r="F151" i="12" s="1"/>
  <c r="G17" i="34"/>
  <c r="F148" i="9" s="1"/>
  <c r="H17" i="34"/>
  <c r="F148" i="25" s="1"/>
  <c r="I17" i="34"/>
  <c r="F143" i="43" s="1"/>
  <c r="J17" i="34"/>
  <c r="F144" i="29" s="1"/>
  <c r="K17" i="34"/>
  <c r="F145" i="16" s="1"/>
  <c r="L17" i="34"/>
  <c r="F106" i="15" s="1"/>
  <c r="J106" i="15" s="1"/>
  <c r="C18" i="34"/>
  <c r="F146" i="3" s="1"/>
  <c r="D18" i="34"/>
  <c r="F149" i="24" s="1"/>
  <c r="E18" i="34"/>
  <c r="F149" i="10" s="1"/>
  <c r="F18" i="34"/>
  <c r="F152" i="12" s="1"/>
  <c r="G18" i="34"/>
  <c r="F149" i="9" s="1"/>
  <c r="H18" i="34"/>
  <c r="F149" i="25" s="1"/>
  <c r="I18" i="34"/>
  <c r="F144" i="43" s="1"/>
  <c r="J18" i="34"/>
  <c r="F145" i="29" s="1"/>
  <c r="K18" i="34"/>
  <c r="F146" i="16" s="1"/>
  <c r="L18" i="34"/>
  <c r="F107" i="15" s="1"/>
  <c r="J107" i="15" s="1"/>
  <c r="C19" i="34"/>
  <c r="F147" i="3" s="1"/>
  <c r="D19" i="34"/>
  <c r="F150" i="24" s="1"/>
  <c r="E19" i="34"/>
  <c r="F150" i="10" s="1"/>
  <c r="F19" i="34"/>
  <c r="F153" i="12" s="1"/>
  <c r="G19" i="34"/>
  <c r="F150" i="9" s="1"/>
  <c r="H19" i="34"/>
  <c r="F150" i="25" s="1"/>
  <c r="I19" i="34"/>
  <c r="F145" i="43" s="1"/>
  <c r="J19" i="34"/>
  <c r="F146" i="29" s="1"/>
  <c r="K19" i="34"/>
  <c r="F147" i="16" s="1"/>
  <c r="L19" i="34"/>
  <c r="F108" i="15" s="1"/>
  <c r="J108" i="15" s="1"/>
  <c r="C20" i="34"/>
  <c r="F148" i="3" s="1"/>
  <c r="D20" i="34"/>
  <c r="F151" i="24" s="1"/>
  <c r="E20" i="34"/>
  <c r="F151" i="10" s="1"/>
  <c r="F20" i="34"/>
  <c r="F154" i="12" s="1"/>
  <c r="G20" i="34"/>
  <c r="F151" i="9" s="1"/>
  <c r="H20" i="34"/>
  <c r="F151" i="25" s="1"/>
  <c r="I20" i="34"/>
  <c r="F146" i="43" s="1"/>
  <c r="J20" i="34"/>
  <c r="F147" i="29" s="1"/>
  <c r="K20" i="34"/>
  <c r="F148" i="16" s="1"/>
  <c r="L20" i="34"/>
  <c r="F109" i="15" s="1"/>
  <c r="J109" i="15" s="1"/>
  <c r="C21" i="34"/>
  <c r="F149" i="3" s="1"/>
  <c r="D21" i="34"/>
  <c r="F152" i="24" s="1"/>
  <c r="E21" i="34"/>
  <c r="F152" i="10" s="1"/>
  <c r="F21" i="34"/>
  <c r="F155" i="12" s="1"/>
  <c r="G21" i="34"/>
  <c r="F152" i="9" s="1"/>
  <c r="H21" i="34"/>
  <c r="F152" i="25" s="1"/>
  <c r="I21" i="34"/>
  <c r="F147" i="43" s="1"/>
  <c r="J21" i="34"/>
  <c r="F148" i="29" s="1"/>
  <c r="K21" i="34"/>
  <c r="F149" i="16" s="1"/>
  <c r="L21" i="34"/>
  <c r="F110" i="15" s="1"/>
  <c r="J110" i="15" s="1"/>
  <c r="C22" i="34"/>
  <c r="F150" i="3" s="1"/>
  <c r="D22" i="34"/>
  <c r="F153" i="24" s="1"/>
  <c r="E22" i="34"/>
  <c r="F153" i="10" s="1"/>
  <c r="F22" i="34"/>
  <c r="F156" i="12" s="1"/>
  <c r="G22" i="34"/>
  <c r="F153" i="9" s="1"/>
  <c r="H22" i="34"/>
  <c r="F153" i="25" s="1"/>
  <c r="I22" i="34"/>
  <c r="F148" i="43" s="1"/>
  <c r="J22" i="34"/>
  <c r="F149" i="29" s="1"/>
  <c r="K22" i="34"/>
  <c r="F150" i="16" s="1"/>
  <c r="L22" i="34"/>
  <c r="F111" i="15" s="1"/>
  <c r="J111" i="15" s="1"/>
  <c r="C23" i="34"/>
  <c r="F151" i="3" s="1"/>
  <c r="D23" i="34"/>
  <c r="F154" i="24" s="1"/>
  <c r="E23" i="34"/>
  <c r="F154" i="10" s="1"/>
  <c r="F23" i="34"/>
  <c r="F157" i="12" s="1"/>
  <c r="G23" i="34"/>
  <c r="F154" i="9" s="1"/>
  <c r="H23" i="34"/>
  <c r="F154" i="25" s="1"/>
  <c r="I23" i="34"/>
  <c r="F149" i="43" s="1"/>
  <c r="J23" i="34"/>
  <c r="F150" i="29" s="1"/>
  <c r="K23" i="34"/>
  <c r="F151" i="16" s="1"/>
  <c r="L23" i="34"/>
  <c r="F112" i="15" s="1"/>
  <c r="J112" i="15" s="1"/>
  <c r="C24" i="34"/>
  <c r="F152" i="3" s="1"/>
  <c r="D24" i="34"/>
  <c r="F155" i="24" s="1"/>
  <c r="E24" i="34"/>
  <c r="F155" i="10" s="1"/>
  <c r="F24" i="34"/>
  <c r="F158" i="12" s="1"/>
  <c r="G24" i="34"/>
  <c r="F155" i="9" s="1"/>
  <c r="H24" i="34"/>
  <c r="F155" i="25" s="1"/>
  <c r="I24" i="34"/>
  <c r="F150" i="43" s="1"/>
  <c r="J24" i="34"/>
  <c r="F151" i="29" s="1"/>
  <c r="K24" i="34"/>
  <c r="F152" i="16" s="1"/>
  <c r="L24" i="34"/>
  <c r="F113" i="15" s="1"/>
  <c r="J113" i="15" s="1"/>
  <c r="C25" i="34"/>
  <c r="F153" i="3" s="1"/>
  <c r="D25" i="34"/>
  <c r="F156" i="24" s="1"/>
  <c r="E25" i="34"/>
  <c r="F156" i="10" s="1"/>
  <c r="F25" i="34"/>
  <c r="F159" i="12" s="1"/>
  <c r="G25" i="34"/>
  <c r="F156" i="9" s="1"/>
  <c r="H25" i="34"/>
  <c r="F156" i="25" s="1"/>
  <c r="I25" i="34"/>
  <c r="F151" i="43" s="1"/>
  <c r="J25" i="34"/>
  <c r="F152" i="29" s="1"/>
  <c r="K25" i="34"/>
  <c r="F153" i="16" s="1"/>
  <c r="L25" i="34"/>
  <c r="F114" i="15" s="1"/>
  <c r="J114" i="15" s="1"/>
  <c r="C26" i="34"/>
  <c r="F154" i="3" s="1"/>
  <c r="D26" i="34"/>
  <c r="F157" i="24" s="1"/>
  <c r="E26" i="34"/>
  <c r="F157" i="10" s="1"/>
  <c r="F26" i="34"/>
  <c r="F160" i="12" s="1"/>
  <c r="G26" i="34"/>
  <c r="F157" i="9" s="1"/>
  <c r="H26" i="34"/>
  <c r="F157" i="25" s="1"/>
  <c r="I26" i="34"/>
  <c r="F152" i="43" s="1"/>
  <c r="J26" i="34"/>
  <c r="F153" i="29" s="1"/>
  <c r="K26" i="34"/>
  <c r="F154" i="16" s="1"/>
  <c r="L26" i="34"/>
  <c r="F115" i="15" s="1"/>
  <c r="J115" i="15" s="1"/>
  <c r="C27" i="34"/>
  <c r="F155" i="3" s="1"/>
  <c r="D27" i="34"/>
  <c r="F158" i="24" s="1"/>
  <c r="E27" i="34"/>
  <c r="F158" i="10" s="1"/>
  <c r="F27" i="34"/>
  <c r="F161" i="12" s="1"/>
  <c r="G27" i="34"/>
  <c r="F158" i="9" s="1"/>
  <c r="H27" i="34"/>
  <c r="F158" i="25" s="1"/>
  <c r="I27" i="34"/>
  <c r="F153" i="43" s="1"/>
  <c r="J27" i="34"/>
  <c r="F154" i="29" s="1"/>
  <c r="K27" i="34"/>
  <c r="F155" i="16" s="1"/>
  <c r="L27" i="34"/>
  <c r="F116" i="15" s="1"/>
  <c r="J116" i="15" s="1"/>
  <c r="D4" i="34"/>
  <c r="F135" i="24" s="1"/>
  <c r="E4" i="34"/>
  <c r="F135" i="10" s="1"/>
  <c r="F4" i="34"/>
  <c r="F138" i="12" s="1"/>
  <c r="G4" i="34"/>
  <c r="F135" i="9" s="1"/>
  <c r="H4" i="34"/>
  <c r="F135" i="25" s="1"/>
  <c r="I4" i="34"/>
  <c r="F130" i="43" s="1"/>
  <c r="J4" i="34"/>
  <c r="F131" i="29" s="1"/>
  <c r="K4" i="34"/>
  <c r="F132" i="16" s="1"/>
  <c r="J132" i="16" s="1"/>
  <c r="L4" i="34"/>
  <c r="F93" i="15" s="1"/>
  <c r="J93" i="15" s="1"/>
  <c r="C4" i="34"/>
  <c r="F132" i="3" s="1"/>
  <c r="H117" i="16" l="1"/>
  <c r="G117" i="16"/>
  <c r="R155" i="29"/>
  <c r="G34" i="29"/>
  <c r="H34" i="29"/>
  <c r="I34" i="29"/>
  <c r="G35" i="29"/>
  <c r="H35" i="29"/>
  <c r="I35" i="29"/>
  <c r="G36" i="29"/>
  <c r="H36" i="29"/>
  <c r="I36" i="29"/>
  <c r="G37" i="29"/>
  <c r="H37" i="29"/>
  <c r="I37" i="29"/>
  <c r="G38" i="29"/>
  <c r="H38" i="29"/>
  <c r="I38" i="29"/>
  <c r="G39" i="29"/>
  <c r="H39" i="29"/>
  <c r="I39" i="29"/>
  <c r="G40" i="29"/>
  <c r="H40" i="29"/>
  <c r="I40" i="29"/>
  <c r="G41" i="29"/>
  <c r="H41" i="29"/>
  <c r="I41" i="29"/>
  <c r="G42" i="29"/>
  <c r="H42" i="29"/>
  <c r="I42" i="29"/>
  <c r="G43" i="29"/>
  <c r="H43" i="29"/>
  <c r="I43" i="29"/>
  <c r="G44" i="29"/>
  <c r="H44" i="29"/>
  <c r="I44" i="29"/>
  <c r="G45" i="29"/>
  <c r="H45" i="29"/>
  <c r="I45" i="29"/>
  <c r="G46" i="29"/>
  <c r="H46" i="29"/>
  <c r="I46" i="29"/>
  <c r="G47" i="29"/>
  <c r="H47" i="29"/>
  <c r="I47" i="29"/>
  <c r="G48" i="29"/>
  <c r="H48" i="29"/>
  <c r="I48" i="29"/>
  <c r="G49" i="29"/>
  <c r="H49" i="29"/>
  <c r="I49" i="29"/>
  <c r="G50" i="29"/>
  <c r="H50" i="29"/>
  <c r="I50" i="29"/>
  <c r="G51" i="29"/>
  <c r="H51" i="29"/>
  <c r="I51" i="29"/>
  <c r="G52" i="29"/>
  <c r="H52" i="29"/>
  <c r="I52" i="29"/>
  <c r="G53" i="29"/>
  <c r="H53" i="29"/>
  <c r="I53" i="29"/>
  <c r="G54" i="29"/>
  <c r="H54" i="29"/>
  <c r="I54" i="29"/>
  <c r="G55" i="29"/>
  <c r="H55" i="29"/>
  <c r="I55" i="29"/>
  <c r="G56" i="29"/>
  <c r="H56" i="29"/>
  <c r="I56" i="29"/>
  <c r="I33" i="29"/>
  <c r="G33" i="29"/>
  <c r="AB23" i="16"/>
  <c r="AD23" i="16" s="1"/>
  <c r="AC23" i="16"/>
  <c r="AE23" i="16" s="1"/>
  <c r="AB24" i="16"/>
  <c r="AD24" i="16" s="1"/>
  <c r="AC24" i="16"/>
  <c r="AE24" i="16" s="1"/>
  <c r="AB25" i="16"/>
  <c r="AD25" i="16" s="1"/>
  <c r="AC25" i="16"/>
  <c r="AE25" i="16" s="1"/>
  <c r="AB26" i="16"/>
  <c r="AD26" i="16" s="1"/>
  <c r="AC26" i="16"/>
  <c r="AE26" i="16" s="1"/>
  <c r="AB27" i="16"/>
  <c r="AD27" i="16" s="1"/>
  <c r="AC27" i="16"/>
  <c r="AE27" i="16" s="1"/>
  <c r="AB28" i="16"/>
  <c r="AD28" i="16" s="1"/>
  <c r="AC28" i="16"/>
  <c r="AE28" i="16" s="1"/>
  <c r="AB29" i="16"/>
  <c r="AD29" i="16" s="1"/>
  <c r="AC29" i="16"/>
  <c r="AE29" i="16" s="1"/>
  <c r="AB30" i="16"/>
  <c r="AD30" i="16" s="1"/>
  <c r="AC30" i="16"/>
  <c r="AE30" i="16" s="1"/>
  <c r="AB31" i="16"/>
  <c r="AD31" i="16" s="1"/>
  <c r="AC31" i="16"/>
  <c r="AE31" i="16" s="1"/>
  <c r="AB32" i="16"/>
  <c r="AD32" i="16" s="1"/>
  <c r="AC32" i="16"/>
  <c r="AE32" i="16" s="1"/>
  <c r="AB33" i="16"/>
  <c r="AD33" i="16" s="1"/>
  <c r="AC33" i="16"/>
  <c r="AE33" i="16" s="1"/>
  <c r="AB34" i="16"/>
  <c r="AD34" i="16" s="1"/>
  <c r="AC34" i="16"/>
  <c r="AE34" i="16" s="1"/>
  <c r="AB35" i="16"/>
  <c r="AD35" i="16" s="1"/>
  <c r="AC35" i="16"/>
  <c r="AE35" i="16" s="1"/>
  <c r="AB36" i="16"/>
  <c r="AD36" i="16" s="1"/>
  <c r="AC36" i="16"/>
  <c r="AE36" i="16" s="1"/>
  <c r="AB37" i="16"/>
  <c r="AD37" i="16" s="1"/>
  <c r="AC37" i="16"/>
  <c r="AE37" i="16" s="1"/>
  <c r="AB38" i="16"/>
  <c r="AD38" i="16" s="1"/>
  <c r="AC38" i="16"/>
  <c r="AE38" i="16" s="1"/>
  <c r="AB39" i="16"/>
  <c r="AD39" i="16" s="1"/>
  <c r="AC39" i="16"/>
  <c r="AE39" i="16" s="1"/>
  <c r="AB40" i="16"/>
  <c r="AD40" i="16" s="1"/>
  <c r="AC40" i="16"/>
  <c r="AE40" i="16" s="1"/>
  <c r="AB41" i="16"/>
  <c r="AD41" i="16" s="1"/>
  <c r="AC41" i="16"/>
  <c r="AE41" i="16" s="1"/>
  <c r="AB42" i="16"/>
  <c r="AD42" i="16" s="1"/>
  <c r="AC42" i="16"/>
  <c r="AE42" i="16" s="1"/>
  <c r="AB43" i="16"/>
  <c r="AD43" i="16" s="1"/>
  <c r="AC43" i="16"/>
  <c r="AE43" i="16" s="1"/>
  <c r="AB44" i="16"/>
  <c r="AD44" i="16" s="1"/>
  <c r="AC44" i="16"/>
  <c r="AE44" i="16" s="1"/>
  <c r="AB45" i="16"/>
  <c r="AC45" i="16"/>
  <c r="AC22" i="16"/>
  <c r="AE22" i="16" s="1"/>
  <c r="AB22" i="16"/>
  <c r="AD22" i="16" s="1"/>
  <c r="AC40" i="29"/>
  <c r="AB40" i="29"/>
  <c r="AC39" i="29"/>
  <c r="AE39" i="29" s="1"/>
  <c r="AB39" i="29"/>
  <c r="AD39" i="29" s="1"/>
  <c r="AC38" i="29"/>
  <c r="AE38" i="29" s="1"/>
  <c r="AB38" i="29"/>
  <c r="AD38" i="29" s="1"/>
  <c r="AC37" i="29"/>
  <c r="AE37" i="29" s="1"/>
  <c r="AB37" i="29"/>
  <c r="AD37" i="29" s="1"/>
  <c r="AC36" i="29"/>
  <c r="AE36" i="29" s="1"/>
  <c r="AB36" i="29"/>
  <c r="AD36" i="29" s="1"/>
  <c r="AC35" i="29"/>
  <c r="AE35" i="29" s="1"/>
  <c r="AB35" i="29"/>
  <c r="AD35" i="29" s="1"/>
  <c r="AC34" i="29"/>
  <c r="AE34" i="29" s="1"/>
  <c r="AB34" i="29"/>
  <c r="AD34" i="29" s="1"/>
  <c r="AC33" i="29"/>
  <c r="AE33" i="29" s="1"/>
  <c r="AB33" i="29"/>
  <c r="AD33" i="29" s="1"/>
  <c r="AC32" i="29"/>
  <c r="AE32" i="29" s="1"/>
  <c r="AB32" i="29"/>
  <c r="AD32" i="29" s="1"/>
  <c r="AC31" i="29"/>
  <c r="AE31" i="29" s="1"/>
  <c r="AB31" i="29"/>
  <c r="AD31" i="29" s="1"/>
  <c r="AC30" i="29"/>
  <c r="AE30" i="29" s="1"/>
  <c r="AB30" i="29"/>
  <c r="AD30" i="29" s="1"/>
  <c r="AC29" i="29"/>
  <c r="AE29" i="29" s="1"/>
  <c r="AB29" i="29"/>
  <c r="AD29" i="29" s="1"/>
  <c r="AC28" i="29"/>
  <c r="AE28" i="29" s="1"/>
  <c r="AB28" i="29"/>
  <c r="AD28" i="29" s="1"/>
  <c r="AC27" i="29"/>
  <c r="AE27" i="29" s="1"/>
  <c r="AB27" i="29"/>
  <c r="AD27" i="29" s="1"/>
  <c r="AC26" i="29"/>
  <c r="AE26" i="29" s="1"/>
  <c r="AB26" i="29"/>
  <c r="AD26" i="29" s="1"/>
  <c r="AC25" i="29"/>
  <c r="AE25" i="29" s="1"/>
  <c r="AB25" i="29"/>
  <c r="AD25" i="29" s="1"/>
  <c r="AC24" i="29"/>
  <c r="AE24" i="29" s="1"/>
  <c r="AB24" i="29"/>
  <c r="AD24" i="29" s="1"/>
  <c r="AC23" i="29"/>
  <c r="AE23" i="29" s="1"/>
  <c r="AB23" i="29"/>
  <c r="AD23" i="29" s="1"/>
  <c r="AC22" i="29"/>
  <c r="AE22" i="29" s="1"/>
  <c r="AB22" i="29"/>
  <c r="AD22" i="29" s="1"/>
  <c r="AC21" i="29"/>
  <c r="AE21" i="29" s="1"/>
  <c r="AB21" i="29"/>
  <c r="AD21" i="29" s="1"/>
  <c r="AC20" i="29"/>
  <c r="AE20" i="29" s="1"/>
  <c r="AB20" i="29"/>
  <c r="AD20" i="29" s="1"/>
  <c r="AC19" i="29"/>
  <c r="AE19" i="29" s="1"/>
  <c r="AB19" i="29"/>
  <c r="AD19" i="29" s="1"/>
  <c r="AC18" i="29"/>
  <c r="AE18" i="29" s="1"/>
  <c r="AB18" i="29"/>
  <c r="AD18" i="29" s="1"/>
  <c r="AC17" i="29"/>
  <c r="AE17" i="29" s="1"/>
  <c r="AB17" i="29"/>
  <c r="AD17" i="29" s="1"/>
  <c r="R154" i="43"/>
  <c r="AD41" i="29" l="1"/>
  <c r="AD46" i="16"/>
  <c r="AE46" i="16"/>
  <c r="AE41" i="29"/>
  <c r="AB17" i="43" l="1"/>
  <c r="AD17" i="43" s="1"/>
  <c r="AC17" i="43"/>
  <c r="AE17" i="43" s="1"/>
  <c r="AB18" i="43"/>
  <c r="AD18" i="43" s="1"/>
  <c r="AC18" i="43"/>
  <c r="AE18" i="43" s="1"/>
  <c r="AB19" i="43"/>
  <c r="AD19" i="43" s="1"/>
  <c r="AC19" i="43"/>
  <c r="AE19" i="43" s="1"/>
  <c r="AB20" i="43"/>
  <c r="AD20" i="43" s="1"/>
  <c r="AC20" i="43"/>
  <c r="AE20" i="43" s="1"/>
  <c r="AB21" i="43"/>
  <c r="AD21" i="43" s="1"/>
  <c r="AC21" i="43"/>
  <c r="AE21" i="43" s="1"/>
  <c r="AB22" i="43"/>
  <c r="AD22" i="43" s="1"/>
  <c r="AC22" i="43"/>
  <c r="AE22" i="43" s="1"/>
  <c r="AB23" i="43"/>
  <c r="AD23" i="43" s="1"/>
  <c r="AC23" i="43"/>
  <c r="AE23" i="43" s="1"/>
  <c r="AB24" i="43"/>
  <c r="AD24" i="43" s="1"/>
  <c r="AC24" i="43"/>
  <c r="AE24" i="43" s="1"/>
  <c r="AB25" i="43"/>
  <c r="AD25" i="43" s="1"/>
  <c r="AC25" i="43"/>
  <c r="AE25" i="43" s="1"/>
  <c r="AB26" i="43"/>
  <c r="AD26" i="43" s="1"/>
  <c r="AC26" i="43"/>
  <c r="AE26" i="43" s="1"/>
  <c r="AB27" i="43"/>
  <c r="AD27" i="43" s="1"/>
  <c r="AC27" i="43"/>
  <c r="AE27" i="43" s="1"/>
  <c r="AB28" i="43"/>
  <c r="AD28" i="43" s="1"/>
  <c r="AC28" i="43"/>
  <c r="AE28" i="43" s="1"/>
  <c r="AB29" i="43"/>
  <c r="AD29" i="43" s="1"/>
  <c r="AC29" i="43"/>
  <c r="AE29" i="43" s="1"/>
  <c r="AB30" i="43"/>
  <c r="AD30" i="43" s="1"/>
  <c r="AC30" i="43"/>
  <c r="AE30" i="43" s="1"/>
  <c r="AB31" i="43"/>
  <c r="AD31" i="43" s="1"/>
  <c r="AC31" i="43"/>
  <c r="AE31" i="43" s="1"/>
  <c r="AB32" i="43"/>
  <c r="AD32" i="43" s="1"/>
  <c r="AC32" i="43"/>
  <c r="AE32" i="43" s="1"/>
  <c r="AC16" i="43"/>
  <c r="AE16" i="43" s="1"/>
  <c r="AB16" i="43"/>
  <c r="AD16" i="43" s="1"/>
  <c r="B18" i="19"/>
  <c r="R136" i="25"/>
  <c r="R137" i="25"/>
  <c r="R138" i="25"/>
  <c r="R139" i="25"/>
  <c r="R140" i="25"/>
  <c r="R141" i="25"/>
  <c r="R142" i="25"/>
  <c r="R143" i="25"/>
  <c r="R144" i="25"/>
  <c r="R145" i="25"/>
  <c r="R146" i="25"/>
  <c r="R147" i="25"/>
  <c r="R148" i="25"/>
  <c r="R149" i="25"/>
  <c r="R150" i="25"/>
  <c r="R151" i="25"/>
  <c r="R152" i="25"/>
  <c r="R153" i="25"/>
  <c r="R154" i="25"/>
  <c r="R155" i="25"/>
  <c r="R156" i="25"/>
  <c r="R157" i="25"/>
  <c r="R158" i="25"/>
  <c r="R135" i="25"/>
  <c r="AE9" i="25"/>
  <c r="AB10" i="25"/>
  <c r="AC10" i="25"/>
  <c r="AB11" i="25"/>
  <c r="AC11" i="25"/>
  <c r="AE11" i="25" s="1"/>
  <c r="AB12" i="25"/>
  <c r="AC12" i="25"/>
  <c r="AB13" i="25"/>
  <c r="AD13" i="25" s="1"/>
  <c r="AC13" i="25"/>
  <c r="AE13" i="25" s="1"/>
  <c r="AB14" i="25"/>
  <c r="AD14" i="25" s="1"/>
  <c r="AC14" i="25"/>
  <c r="AB15" i="25"/>
  <c r="AC15" i="25"/>
  <c r="AB16" i="25"/>
  <c r="AD16" i="25" s="1"/>
  <c r="AC16" i="25"/>
  <c r="AE16" i="25" s="1"/>
  <c r="AB17" i="25"/>
  <c r="AC17" i="25"/>
  <c r="AE17" i="25" s="1"/>
  <c r="AB18" i="25"/>
  <c r="AD18" i="25" s="1"/>
  <c r="AC18" i="25"/>
  <c r="AB19" i="25"/>
  <c r="AC19" i="25"/>
  <c r="AE19" i="25" s="1"/>
  <c r="AB20" i="25"/>
  <c r="AC20" i="25"/>
  <c r="AE20" i="25" s="1"/>
  <c r="AB21" i="25"/>
  <c r="AD21" i="25" s="1"/>
  <c r="AC21" i="25"/>
  <c r="AE21" i="25" s="1"/>
  <c r="AB22" i="25"/>
  <c r="AD22" i="25" s="1"/>
  <c r="AC22" i="25"/>
  <c r="AB23" i="25"/>
  <c r="AC23" i="25"/>
  <c r="AB24" i="25"/>
  <c r="AD24" i="25" s="1"/>
  <c r="AC24" i="25"/>
  <c r="AE24" i="25" s="1"/>
  <c r="AB25" i="25"/>
  <c r="AD25" i="25" s="1"/>
  <c r="AC25" i="25"/>
  <c r="AE25" i="25" s="1"/>
  <c r="AB26" i="25"/>
  <c r="AD26" i="25" s="1"/>
  <c r="AC26" i="25"/>
  <c r="AB27" i="25"/>
  <c r="AC27" i="25"/>
  <c r="AE27" i="25" s="1"/>
  <c r="AB28" i="25"/>
  <c r="AD28" i="25" s="1"/>
  <c r="AC28" i="25"/>
  <c r="AE28" i="25" s="1"/>
  <c r="AB29" i="25"/>
  <c r="AD29" i="25" s="1"/>
  <c r="AC29" i="25"/>
  <c r="AE29" i="25" s="1"/>
  <c r="AB30" i="25"/>
  <c r="AD30" i="25" s="1"/>
  <c r="AC30" i="25"/>
  <c r="AB31" i="25"/>
  <c r="AC31" i="25"/>
  <c r="AB32" i="25"/>
  <c r="AD32" i="25" s="1"/>
  <c r="AC32" i="25"/>
  <c r="AE32" i="25" s="1"/>
  <c r="AC9" i="25"/>
  <c r="AB9" i="25"/>
  <c r="AD9" i="25" s="1"/>
  <c r="AE31" i="25"/>
  <c r="AD31" i="25"/>
  <c r="AE30" i="25"/>
  <c r="AD27" i="25"/>
  <c r="AE26" i="25"/>
  <c r="AE23" i="25"/>
  <c r="AD23" i="25"/>
  <c r="AE22" i="25"/>
  <c r="AD20" i="25"/>
  <c r="AD19" i="25"/>
  <c r="AE18" i="25"/>
  <c r="AD17" i="25"/>
  <c r="AE15" i="25"/>
  <c r="AD15" i="25"/>
  <c r="AE14" i="25"/>
  <c r="AE12" i="25"/>
  <c r="AD12" i="25"/>
  <c r="AD11" i="25"/>
  <c r="AE10" i="25"/>
  <c r="AD10" i="25"/>
  <c r="R136" i="9"/>
  <c r="R137" i="9"/>
  <c r="R138" i="9"/>
  <c r="R139" i="9"/>
  <c r="R140" i="9"/>
  <c r="R141" i="9"/>
  <c r="R142" i="9"/>
  <c r="R143" i="9"/>
  <c r="R144" i="9"/>
  <c r="R145" i="9"/>
  <c r="R146" i="9"/>
  <c r="R147" i="9"/>
  <c r="R148" i="9"/>
  <c r="R149" i="9"/>
  <c r="R150" i="9"/>
  <c r="R151" i="9"/>
  <c r="R152" i="9"/>
  <c r="R153" i="9"/>
  <c r="R154" i="9"/>
  <c r="R155" i="9"/>
  <c r="R156" i="9"/>
  <c r="R157" i="9"/>
  <c r="R158" i="9"/>
  <c r="R135" i="9"/>
  <c r="AE44" i="9"/>
  <c r="AD44" i="9"/>
  <c r="AE43" i="9"/>
  <c r="AD43" i="9"/>
  <c r="AE42" i="9"/>
  <c r="AD42" i="9"/>
  <c r="AE41" i="9"/>
  <c r="AD41" i="9"/>
  <c r="AE40" i="9"/>
  <c r="AD40" i="9"/>
  <c r="AE39" i="9"/>
  <c r="AD39" i="9"/>
  <c r="AC38" i="9"/>
  <c r="AE38" i="9" s="1"/>
  <c r="AB38" i="9"/>
  <c r="AD38" i="9" s="1"/>
  <c r="AD37" i="9"/>
  <c r="AC37" i="9"/>
  <c r="AE37" i="9" s="1"/>
  <c r="AB37" i="9"/>
  <c r="AC36" i="9"/>
  <c r="AE36" i="9" s="1"/>
  <c r="AB36" i="9"/>
  <c r="AD36" i="9" s="1"/>
  <c r="AC35" i="9"/>
  <c r="AE35" i="9" s="1"/>
  <c r="AB35" i="9"/>
  <c r="AD35" i="9" s="1"/>
  <c r="AC34" i="9"/>
  <c r="AE34" i="9" s="1"/>
  <c r="AB34" i="9"/>
  <c r="AD34" i="9" s="1"/>
  <c r="AC33" i="9"/>
  <c r="AE33" i="9" s="1"/>
  <c r="AB33" i="9"/>
  <c r="AD33" i="9" s="1"/>
  <c r="AC32" i="9"/>
  <c r="AE32" i="9" s="1"/>
  <c r="AB32" i="9"/>
  <c r="AD32" i="9" s="1"/>
  <c r="AC31" i="9"/>
  <c r="AE31" i="9" s="1"/>
  <c r="AB31" i="9"/>
  <c r="AD31" i="9" s="1"/>
  <c r="AC30" i="9"/>
  <c r="AE30" i="9" s="1"/>
  <c r="AB30" i="9"/>
  <c r="AD30" i="9" s="1"/>
  <c r="AC29" i="9"/>
  <c r="AE29" i="9" s="1"/>
  <c r="AB29" i="9"/>
  <c r="AD29" i="9" s="1"/>
  <c r="AC28" i="9"/>
  <c r="AE28" i="9" s="1"/>
  <c r="AB28" i="9"/>
  <c r="AD28" i="9" s="1"/>
  <c r="AE27" i="9"/>
  <c r="AC27" i="9"/>
  <c r="AB27" i="9"/>
  <c r="AD27" i="9" s="1"/>
  <c r="AC26" i="9"/>
  <c r="AE26" i="9" s="1"/>
  <c r="AB26" i="9"/>
  <c r="AD26" i="9" s="1"/>
  <c r="AC25" i="9"/>
  <c r="AE25" i="9" s="1"/>
  <c r="AB25" i="9"/>
  <c r="AD25" i="9" s="1"/>
  <c r="AE24" i="9"/>
  <c r="AD24" i="9"/>
  <c r="AC24" i="9"/>
  <c r="AB24" i="9"/>
  <c r="AC23" i="9"/>
  <c r="AE23" i="9" s="1"/>
  <c r="AB23" i="9"/>
  <c r="AD23" i="9" s="1"/>
  <c r="AC22" i="9"/>
  <c r="AE22" i="9" s="1"/>
  <c r="AB22" i="9"/>
  <c r="AD22" i="9" s="1"/>
  <c r="AD21" i="9"/>
  <c r="AC21" i="9"/>
  <c r="AB21" i="9"/>
  <c r="T139" i="12"/>
  <c r="T140" i="12"/>
  <c r="T141" i="12"/>
  <c r="T142" i="12"/>
  <c r="T143" i="12"/>
  <c r="T144" i="12"/>
  <c r="T145" i="12"/>
  <c r="T146" i="12"/>
  <c r="T147" i="12"/>
  <c r="T148" i="12"/>
  <c r="T149" i="12"/>
  <c r="T150" i="12"/>
  <c r="T151" i="12"/>
  <c r="T152" i="12"/>
  <c r="T153" i="12"/>
  <c r="T154" i="12"/>
  <c r="T155" i="12"/>
  <c r="T156" i="12"/>
  <c r="T157" i="12"/>
  <c r="T158" i="12"/>
  <c r="T159" i="12"/>
  <c r="T160" i="12"/>
  <c r="T161" i="12"/>
  <c r="T138" i="12"/>
  <c r="F23" i="47"/>
  <c r="K18" i="47"/>
  <c r="AD35" i="12"/>
  <c r="AD39" i="12"/>
  <c r="AD42" i="12"/>
  <c r="AE42" i="12"/>
  <c r="AD43" i="12"/>
  <c r="AE43" i="12"/>
  <c r="AD44" i="12"/>
  <c r="AE44" i="12"/>
  <c r="AD45" i="12"/>
  <c r="AE45" i="12"/>
  <c r="AD46" i="12"/>
  <c r="AE46" i="12"/>
  <c r="AD47" i="12"/>
  <c r="AE47" i="12"/>
  <c r="AB25" i="12"/>
  <c r="AD25" i="12" s="1"/>
  <c r="AC25" i="12"/>
  <c r="AE25" i="12" s="1"/>
  <c r="AB26" i="12"/>
  <c r="AD26" i="12" s="1"/>
  <c r="AC26" i="12"/>
  <c r="AE26" i="12" s="1"/>
  <c r="AB27" i="12"/>
  <c r="AD27" i="12" s="1"/>
  <c r="AC27" i="12"/>
  <c r="AE27" i="12" s="1"/>
  <c r="AB28" i="12"/>
  <c r="AD28" i="12" s="1"/>
  <c r="AC28" i="12"/>
  <c r="AE28" i="12" s="1"/>
  <c r="AB29" i="12"/>
  <c r="AD29" i="12" s="1"/>
  <c r="AC29" i="12"/>
  <c r="AE29" i="12" s="1"/>
  <c r="AB30" i="12"/>
  <c r="AD30" i="12" s="1"/>
  <c r="AC30" i="12"/>
  <c r="AE30" i="12" s="1"/>
  <c r="AB31" i="12"/>
  <c r="AD31" i="12" s="1"/>
  <c r="AC31" i="12"/>
  <c r="AE31" i="12" s="1"/>
  <c r="AB32" i="12"/>
  <c r="AD32" i="12" s="1"/>
  <c r="AC32" i="12"/>
  <c r="AE32" i="12" s="1"/>
  <c r="AB33" i="12"/>
  <c r="AD33" i="12" s="1"/>
  <c r="AC33" i="12"/>
  <c r="AE33" i="12" s="1"/>
  <c r="AB34" i="12"/>
  <c r="AD34" i="12" s="1"/>
  <c r="AC34" i="12"/>
  <c r="AE34" i="12" s="1"/>
  <c r="AB35" i="12"/>
  <c r="AC35" i="12"/>
  <c r="AE35" i="12" s="1"/>
  <c r="AB36" i="12"/>
  <c r="AD36" i="12" s="1"/>
  <c r="AC36" i="12"/>
  <c r="AE36" i="12" s="1"/>
  <c r="AB37" i="12"/>
  <c r="AD37" i="12" s="1"/>
  <c r="AC37" i="12"/>
  <c r="AE37" i="12" s="1"/>
  <c r="AB38" i="12"/>
  <c r="AD38" i="12" s="1"/>
  <c r="AC38" i="12"/>
  <c r="AE38" i="12" s="1"/>
  <c r="AB39" i="12"/>
  <c r="AC39" i="12"/>
  <c r="AE39" i="12" s="1"/>
  <c r="AB40" i="12"/>
  <c r="AD40" i="12" s="1"/>
  <c r="AC40" i="12"/>
  <c r="AE40" i="12" s="1"/>
  <c r="AB41" i="12"/>
  <c r="AD41" i="12" s="1"/>
  <c r="AC41" i="12"/>
  <c r="AE41" i="12" s="1"/>
  <c r="AC24" i="12"/>
  <c r="AE24" i="12" s="1"/>
  <c r="AB24" i="12"/>
  <c r="AD24" i="12" s="1"/>
  <c r="T136" i="10"/>
  <c r="T137" i="10"/>
  <c r="T138" i="10"/>
  <c r="T139" i="10"/>
  <c r="T140" i="10"/>
  <c r="T141" i="10"/>
  <c r="T142" i="10"/>
  <c r="T143" i="10"/>
  <c r="T144" i="10"/>
  <c r="T145" i="10"/>
  <c r="T146" i="10"/>
  <c r="T147" i="10"/>
  <c r="T148" i="10"/>
  <c r="T149" i="10"/>
  <c r="T150" i="10"/>
  <c r="T151" i="10"/>
  <c r="T152" i="10"/>
  <c r="T153" i="10"/>
  <c r="T154" i="10"/>
  <c r="T155" i="10"/>
  <c r="T156" i="10"/>
  <c r="T157" i="10"/>
  <c r="T158" i="10"/>
  <c r="T135" i="10"/>
  <c r="I15" i="19" l="1"/>
  <c r="C14" i="19"/>
  <c r="AD40" i="43"/>
  <c r="AE40" i="43"/>
  <c r="H60" i="48"/>
  <c r="AD33" i="25"/>
  <c r="AE33" i="25"/>
  <c r="AD45" i="9"/>
  <c r="AE21" i="9"/>
  <c r="AE45" i="9" s="1"/>
  <c r="AE48" i="12"/>
  <c r="AD48" i="12"/>
  <c r="AB18" i="10"/>
  <c r="AC18" i="10"/>
  <c r="AE18" i="10" s="1"/>
  <c r="AB19" i="10"/>
  <c r="AC19" i="10"/>
  <c r="AE19" i="10" s="1"/>
  <c r="AB20" i="10"/>
  <c r="AC20" i="10"/>
  <c r="AB21" i="10"/>
  <c r="AD21" i="10" s="1"/>
  <c r="AC21" i="10"/>
  <c r="AE21" i="10" s="1"/>
  <c r="AB22" i="10"/>
  <c r="AC22" i="10"/>
  <c r="AE22" i="10" s="1"/>
  <c r="AB23" i="10"/>
  <c r="AD23" i="10" s="1"/>
  <c r="AC23" i="10"/>
  <c r="AE23" i="10" s="1"/>
  <c r="AB24" i="10"/>
  <c r="AD24" i="10" s="1"/>
  <c r="AC24" i="10"/>
  <c r="AE24" i="10" s="1"/>
  <c r="AB25" i="10"/>
  <c r="AD25" i="10" s="1"/>
  <c r="AC25" i="10"/>
  <c r="AE25" i="10" s="1"/>
  <c r="AB26" i="10"/>
  <c r="AC26" i="10"/>
  <c r="AE26" i="10" s="1"/>
  <c r="AB27" i="10"/>
  <c r="AC27" i="10"/>
  <c r="AE27" i="10" s="1"/>
  <c r="AB28" i="10"/>
  <c r="AC28" i="10"/>
  <c r="AB29" i="10"/>
  <c r="AD29" i="10" s="1"/>
  <c r="AC29" i="10"/>
  <c r="AE29" i="10" s="1"/>
  <c r="AB30" i="10"/>
  <c r="AC30" i="10"/>
  <c r="AE30" i="10" s="1"/>
  <c r="AB31" i="10"/>
  <c r="AC31" i="10"/>
  <c r="AE31" i="10" s="1"/>
  <c r="AB32" i="10"/>
  <c r="AD32" i="10" s="1"/>
  <c r="AC32" i="10"/>
  <c r="AE32" i="10" s="1"/>
  <c r="AB33" i="10"/>
  <c r="AD33" i="10" s="1"/>
  <c r="AC33" i="10"/>
  <c r="AE33" i="10" s="1"/>
  <c r="AB34" i="10"/>
  <c r="AC34" i="10"/>
  <c r="AE34" i="10" s="1"/>
  <c r="AB35" i="10"/>
  <c r="AC35" i="10"/>
  <c r="AE35" i="10" s="1"/>
  <c r="AB36" i="10"/>
  <c r="AC36" i="10"/>
  <c r="AE36" i="10" s="1"/>
  <c r="AB37" i="10"/>
  <c r="AD37" i="10" s="1"/>
  <c r="AC37" i="10"/>
  <c r="AE37" i="10" s="1"/>
  <c r="AB38" i="10"/>
  <c r="AD38" i="10" s="1"/>
  <c r="AC38" i="10"/>
  <c r="AE38" i="10" s="1"/>
  <c r="AB39" i="10"/>
  <c r="AD39" i="10" s="1"/>
  <c r="AC39" i="10"/>
  <c r="AE39" i="10" s="1"/>
  <c r="AB40" i="10"/>
  <c r="AD40" i="10" s="1"/>
  <c r="AC40" i="10"/>
  <c r="AE40" i="10" s="1"/>
  <c r="AC17" i="10"/>
  <c r="AE17" i="10" s="1"/>
  <c r="AB17" i="10"/>
  <c r="AD17" i="10" s="1"/>
  <c r="AD36" i="10"/>
  <c r="AD35" i="10"/>
  <c r="AD34" i="10"/>
  <c r="AD31" i="10"/>
  <c r="AD30" i="10"/>
  <c r="AE28" i="10"/>
  <c r="AD28" i="10"/>
  <c r="AD27" i="10"/>
  <c r="AD26" i="10"/>
  <c r="AD22" i="10"/>
  <c r="AE20" i="10"/>
  <c r="AD20" i="10"/>
  <c r="AD19" i="10"/>
  <c r="AD18" i="10"/>
  <c r="R136" i="24"/>
  <c r="R137" i="24"/>
  <c r="R138" i="24"/>
  <c r="R139" i="24"/>
  <c r="R140" i="24"/>
  <c r="R141" i="24"/>
  <c r="R142" i="24"/>
  <c r="R143" i="24"/>
  <c r="R144" i="24"/>
  <c r="R145" i="24"/>
  <c r="R146" i="24"/>
  <c r="R147" i="24"/>
  <c r="R148" i="24"/>
  <c r="R149" i="24"/>
  <c r="R150" i="24"/>
  <c r="R151" i="24"/>
  <c r="R152" i="24"/>
  <c r="R153" i="24"/>
  <c r="R154" i="24"/>
  <c r="R155" i="24"/>
  <c r="R156" i="24"/>
  <c r="R157" i="24"/>
  <c r="R158" i="24"/>
  <c r="R135" i="24"/>
  <c r="AD20" i="24"/>
  <c r="AD24" i="24"/>
  <c r="AD32" i="24"/>
  <c r="AB19" i="24"/>
  <c r="AD19" i="24" s="1"/>
  <c r="AC19" i="24"/>
  <c r="AE19" i="24" s="1"/>
  <c r="AB20" i="24"/>
  <c r="AC20" i="24"/>
  <c r="AE20" i="24" s="1"/>
  <c r="AB21" i="24"/>
  <c r="AD21" i="24" s="1"/>
  <c r="AC21" i="24"/>
  <c r="AE21" i="24" s="1"/>
  <c r="AB22" i="24"/>
  <c r="AD22" i="24" s="1"/>
  <c r="AC22" i="24"/>
  <c r="AE22" i="24" s="1"/>
  <c r="AB23" i="24"/>
  <c r="AD23" i="24" s="1"/>
  <c r="AC23" i="24"/>
  <c r="AE23" i="24" s="1"/>
  <c r="AB24" i="24"/>
  <c r="AC24" i="24"/>
  <c r="AE24" i="24" s="1"/>
  <c r="AB25" i="24"/>
  <c r="AD25" i="24" s="1"/>
  <c r="AC25" i="24"/>
  <c r="AE25" i="24" s="1"/>
  <c r="AB26" i="24"/>
  <c r="AD26" i="24" s="1"/>
  <c r="AC26" i="24"/>
  <c r="AE26" i="24" s="1"/>
  <c r="AB27" i="24"/>
  <c r="AD27" i="24" s="1"/>
  <c r="AC27" i="24"/>
  <c r="AE27" i="24" s="1"/>
  <c r="AB28" i="24"/>
  <c r="AD28" i="24" s="1"/>
  <c r="AC28" i="24"/>
  <c r="AE28" i="24" s="1"/>
  <c r="AB29" i="24"/>
  <c r="AC29" i="24"/>
  <c r="AB30" i="24"/>
  <c r="AD30" i="24" s="1"/>
  <c r="AC30" i="24"/>
  <c r="AE30" i="24" s="1"/>
  <c r="AB31" i="24"/>
  <c r="AD31" i="24" s="1"/>
  <c r="AC31" i="24"/>
  <c r="AE31" i="24" s="1"/>
  <c r="AB32" i="24"/>
  <c r="AC32" i="24"/>
  <c r="AE32" i="24" s="1"/>
  <c r="AB33" i="24"/>
  <c r="AD33" i="24" s="1"/>
  <c r="AC33" i="24"/>
  <c r="AE33" i="24" s="1"/>
  <c r="AB34" i="24"/>
  <c r="AC34" i="24"/>
  <c r="AB35" i="24"/>
  <c r="AC35" i="24"/>
  <c r="AB36" i="24"/>
  <c r="AC36" i="24"/>
  <c r="AB37" i="24"/>
  <c r="AD37" i="24" s="1"/>
  <c r="AC37" i="24"/>
  <c r="AE37" i="24" s="1"/>
  <c r="AB38" i="24"/>
  <c r="AC38" i="24"/>
  <c r="AB39" i="24"/>
  <c r="AC39" i="24"/>
  <c r="AB40" i="24"/>
  <c r="AC40" i="24"/>
  <c r="AB41" i="24"/>
  <c r="AC41" i="24"/>
  <c r="AC18" i="24"/>
  <c r="AB18" i="24"/>
  <c r="G15" i="24"/>
  <c r="F15" i="24"/>
  <c r="E15" i="24"/>
  <c r="D15" i="24"/>
  <c r="AD41" i="10" l="1"/>
  <c r="AE41" i="10"/>
  <c r="H62" i="48"/>
  <c r="B15" i="24"/>
  <c r="H287" i="49"/>
  <c r="H288" i="49"/>
  <c r="H289" i="49"/>
  <c r="H290" i="49"/>
  <c r="H291" i="49"/>
  <c r="H292" i="49"/>
  <c r="H293" i="49"/>
  <c r="H294" i="49"/>
  <c r="H295" i="49"/>
  <c r="H296" i="49"/>
  <c r="H297" i="49"/>
  <c r="H298" i="49"/>
  <c r="H299" i="49"/>
  <c r="H300" i="49"/>
  <c r="H301" i="49"/>
  <c r="H302" i="49"/>
  <c r="H303" i="49"/>
  <c r="H304" i="49"/>
  <c r="H305" i="49"/>
  <c r="H306" i="49"/>
  <c r="H307" i="49"/>
  <c r="H308" i="49"/>
  <c r="H309" i="49"/>
  <c r="G310" i="49"/>
  <c r="G309" i="49"/>
  <c r="G308" i="49"/>
  <c r="G307" i="49"/>
  <c r="G306" i="49"/>
  <c r="G305" i="49"/>
  <c r="G304" i="49"/>
  <c r="G303" i="49"/>
  <c r="G302" i="49"/>
  <c r="G301" i="49"/>
  <c r="G300" i="49"/>
  <c r="G299" i="49"/>
  <c r="G298" i="49"/>
  <c r="G297" i="49"/>
  <c r="G296" i="49"/>
  <c r="G295" i="49"/>
  <c r="G294" i="49"/>
  <c r="G293" i="49"/>
  <c r="G292" i="49"/>
  <c r="G291" i="49"/>
  <c r="G290" i="49"/>
  <c r="G289" i="49"/>
  <c r="G288" i="49"/>
  <c r="G287" i="49"/>
  <c r="G286" i="49"/>
  <c r="M16" i="33" l="1"/>
  <c r="C35" i="50" l="1"/>
  <c r="B35" i="50"/>
  <c r="M8" i="33"/>
  <c r="H36" i="33"/>
  <c r="G36" i="33"/>
  <c r="F2" i="20" s="1"/>
  <c r="A383" i="49" l="1"/>
  <c r="A384" i="49"/>
  <c r="A385" i="49"/>
  <c r="A386" i="49"/>
  <c r="A387" i="49"/>
  <c r="A388" i="49"/>
  <c r="A389" i="49"/>
  <c r="A390" i="49"/>
  <c r="A391" i="49"/>
  <c r="A392" i="49"/>
  <c r="A393" i="49"/>
  <c r="A394" i="49"/>
  <c r="A395" i="49"/>
  <c r="A396" i="49"/>
  <c r="A397" i="49"/>
  <c r="A398" i="49"/>
  <c r="A399" i="49"/>
  <c r="A400" i="49"/>
  <c r="A401" i="49"/>
  <c r="A402" i="49"/>
  <c r="A403" i="49"/>
  <c r="A404" i="49"/>
  <c r="A405" i="49"/>
  <c r="C356" i="49"/>
  <c r="C357" i="49"/>
  <c r="C358" i="49"/>
  <c r="C359" i="49"/>
  <c r="C360" i="49"/>
  <c r="C361" i="49"/>
  <c r="C362" i="49"/>
  <c r="C363" i="49"/>
  <c r="C364" i="49"/>
  <c r="C365" i="49"/>
  <c r="C366" i="49"/>
  <c r="C367" i="49"/>
  <c r="C368" i="49"/>
  <c r="C369" i="49"/>
  <c r="C370" i="49"/>
  <c r="C371" i="49"/>
  <c r="C372" i="49"/>
  <c r="C350" i="49"/>
  <c r="C351" i="49"/>
  <c r="C352" i="49"/>
  <c r="C353" i="49"/>
  <c r="C354" i="49"/>
  <c r="C355" i="49"/>
  <c r="B319" i="49"/>
  <c r="C319" i="49"/>
  <c r="F319" i="49"/>
  <c r="B320" i="49"/>
  <c r="C320" i="49"/>
  <c r="F320" i="49"/>
  <c r="B321" i="49"/>
  <c r="C321" i="49"/>
  <c r="F321" i="49"/>
  <c r="B322" i="49"/>
  <c r="C322" i="49"/>
  <c r="F322" i="49"/>
  <c r="B323" i="49"/>
  <c r="C323" i="49"/>
  <c r="F323" i="49"/>
  <c r="B324" i="49"/>
  <c r="C324" i="49"/>
  <c r="F324" i="49"/>
  <c r="B325" i="49"/>
  <c r="C325" i="49"/>
  <c r="F325" i="49"/>
  <c r="B326" i="49"/>
  <c r="C326" i="49"/>
  <c r="F326" i="49"/>
  <c r="B327" i="49"/>
  <c r="C327" i="49"/>
  <c r="F327" i="49"/>
  <c r="B328" i="49"/>
  <c r="C328" i="49"/>
  <c r="F328" i="49"/>
  <c r="B329" i="49"/>
  <c r="C329" i="49"/>
  <c r="F329" i="49"/>
  <c r="B330" i="49"/>
  <c r="C330" i="49"/>
  <c r="F330" i="49"/>
  <c r="B331" i="49"/>
  <c r="C331" i="49"/>
  <c r="F331" i="49"/>
  <c r="B332" i="49"/>
  <c r="C332" i="49"/>
  <c r="F332" i="49"/>
  <c r="B333" i="49"/>
  <c r="C333" i="49"/>
  <c r="F333" i="49"/>
  <c r="B334" i="49"/>
  <c r="C334" i="49"/>
  <c r="F334" i="49"/>
  <c r="B335" i="49"/>
  <c r="C335" i="49"/>
  <c r="F335" i="49"/>
  <c r="B336" i="49"/>
  <c r="C336" i="49"/>
  <c r="F336" i="49"/>
  <c r="B337" i="49"/>
  <c r="C337" i="49"/>
  <c r="F337" i="49"/>
  <c r="B338" i="49"/>
  <c r="C338" i="49"/>
  <c r="F338" i="49"/>
  <c r="B339" i="49"/>
  <c r="C339" i="49"/>
  <c r="F339" i="49"/>
  <c r="B340" i="49"/>
  <c r="C340" i="49"/>
  <c r="F340" i="49"/>
  <c r="B341" i="49"/>
  <c r="C341" i="49"/>
  <c r="F341" i="49"/>
  <c r="F287" i="49" l="1"/>
  <c r="B350" i="49"/>
  <c r="F288" i="49"/>
  <c r="B351" i="49"/>
  <c r="F289" i="49"/>
  <c r="B352" i="49"/>
  <c r="F290" i="49"/>
  <c r="B353" i="49"/>
  <c r="F291" i="49"/>
  <c r="B354" i="49"/>
  <c r="F292" i="49"/>
  <c r="B355" i="49"/>
  <c r="F293" i="49"/>
  <c r="B356" i="49"/>
  <c r="F294" i="49"/>
  <c r="B357" i="49"/>
  <c r="F295" i="49"/>
  <c r="B358" i="49"/>
  <c r="F296" i="49"/>
  <c r="B359" i="49"/>
  <c r="F297" i="49"/>
  <c r="B360" i="49"/>
  <c r="F298" i="49"/>
  <c r="B361" i="49"/>
  <c r="F299" i="49"/>
  <c r="B362" i="49"/>
  <c r="F300" i="49"/>
  <c r="B363" i="49"/>
  <c r="F301" i="49"/>
  <c r="B364" i="49"/>
  <c r="F302" i="49"/>
  <c r="B365" i="49"/>
  <c r="F303" i="49"/>
  <c r="B366" i="49"/>
  <c r="F304" i="49"/>
  <c r="B367" i="49"/>
  <c r="F305" i="49"/>
  <c r="B368" i="49"/>
  <c r="F306" i="49"/>
  <c r="B369" i="49"/>
  <c r="F307" i="49"/>
  <c r="B370" i="49"/>
  <c r="F308" i="49"/>
  <c r="B371" i="49"/>
  <c r="F309" i="49"/>
  <c r="B372" i="49"/>
  <c r="B287" i="49"/>
  <c r="B288" i="49"/>
  <c r="B289" i="49"/>
  <c r="B290" i="49"/>
  <c r="B291" i="49"/>
  <c r="B292" i="49"/>
  <c r="B293" i="49"/>
  <c r="B294" i="49"/>
  <c r="B295" i="49"/>
  <c r="B296" i="49"/>
  <c r="B297" i="49"/>
  <c r="B298" i="49"/>
  <c r="B299" i="49"/>
  <c r="B300" i="49"/>
  <c r="B301" i="49"/>
  <c r="B302" i="49"/>
  <c r="B303" i="49"/>
  <c r="B304" i="49"/>
  <c r="B305" i="49"/>
  <c r="B306" i="49"/>
  <c r="B307" i="49"/>
  <c r="B308" i="49"/>
  <c r="B309" i="49"/>
  <c r="D309" i="49"/>
  <c r="D308" i="49"/>
  <c r="D307" i="49"/>
  <c r="D306" i="49"/>
  <c r="D305" i="49"/>
  <c r="D304" i="49"/>
  <c r="D303" i="49"/>
  <c r="D302" i="49"/>
  <c r="D301" i="49"/>
  <c r="D300" i="49"/>
  <c r="D299" i="49"/>
  <c r="D298" i="49"/>
  <c r="D297" i="49"/>
  <c r="D296" i="49"/>
  <c r="D295" i="49"/>
  <c r="D294" i="49"/>
  <c r="D293" i="49"/>
  <c r="D292" i="49"/>
  <c r="D291" i="49"/>
  <c r="D290" i="49"/>
  <c r="D289" i="49"/>
  <c r="D288" i="49"/>
  <c r="D287" i="49"/>
  <c r="D286" i="49"/>
  <c r="A250" i="49"/>
  <c r="A251" i="49"/>
  <c r="A252" i="49"/>
  <c r="A253" i="49"/>
  <c r="A254" i="49"/>
  <c r="A255" i="49"/>
  <c r="A256" i="49"/>
  <c r="A257" i="49"/>
  <c r="A258" i="49"/>
  <c r="A259" i="49"/>
  <c r="A260" i="49"/>
  <c r="A261" i="49"/>
  <c r="A262" i="49"/>
  <c r="A263" i="49"/>
  <c r="A264" i="49"/>
  <c r="A265" i="49"/>
  <c r="A266" i="49"/>
  <c r="A267" i="49"/>
  <c r="A268" i="49"/>
  <c r="A269" i="49"/>
  <c r="A270" i="49"/>
  <c r="A271" i="49"/>
  <c r="A272" i="49"/>
  <c r="A219" i="49"/>
  <c r="A220" i="49"/>
  <c r="A221" i="49"/>
  <c r="A222" i="49"/>
  <c r="A223" i="49"/>
  <c r="A224" i="49"/>
  <c r="A225" i="49"/>
  <c r="A226" i="49"/>
  <c r="A227" i="49"/>
  <c r="A228" i="49"/>
  <c r="A229" i="49"/>
  <c r="A230" i="49"/>
  <c r="A231" i="49"/>
  <c r="A232" i="49"/>
  <c r="A233" i="49"/>
  <c r="A234" i="49"/>
  <c r="A235" i="49"/>
  <c r="A236" i="49"/>
  <c r="A237" i="49"/>
  <c r="A238" i="49"/>
  <c r="A239" i="49"/>
  <c r="A240" i="49"/>
  <c r="A241" i="49"/>
  <c r="B186" i="49"/>
  <c r="B187" i="49"/>
  <c r="B188" i="49"/>
  <c r="B189" i="49"/>
  <c r="B190" i="49"/>
  <c r="B191" i="49"/>
  <c r="B192" i="49"/>
  <c r="B193" i="49"/>
  <c r="B194" i="49"/>
  <c r="B195" i="49"/>
  <c r="B196" i="49"/>
  <c r="B197" i="49"/>
  <c r="B198" i="49"/>
  <c r="B199" i="49"/>
  <c r="B200" i="49"/>
  <c r="B201" i="49"/>
  <c r="B202" i="49"/>
  <c r="B203" i="49"/>
  <c r="B204" i="49"/>
  <c r="B205" i="49"/>
  <c r="B206" i="49"/>
  <c r="B207" i="49"/>
  <c r="B208" i="49"/>
  <c r="B161" i="49"/>
  <c r="C161" i="49"/>
  <c r="B162" i="49"/>
  <c r="C162" i="49"/>
  <c r="B163" i="49"/>
  <c r="C163" i="49"/>
  <c r="B164" i="49"/>
  <c r="C164" i="49"/>
  <c r="B165" i="49"/>
  <c r="C165" i="49"/>
  <c r="B166" i="49"/>
  <c r="C166" i="49"/>
  <c r="B167" i="49"/>
  <c r="C167" i="49"/>
  <c r="B168" i="49"/>
  <c r="C168" i="49"/>
  <c r="B169" i="49"/>
  <c r="C169" i="49"/>
  <c r="B170" i="49"/>
  <c r="C170" i="49"/>
  <c r="B171" i="49"/>
  <c r="C171" i="49"/>
  <c r="B172" i="49"/>
  <c r="C172" i="49"/>
  <c r="B173" i="49"/>
  <c r="C173" i="49"/>
  <c r="B174" i="49"/>
  <c r="C174" i="49"/>
  <c r="B175" i="49"/>
  <c r="C175" i="49"/>
  <c r="B176" i="49"/>
  <c r="C176" i="49"/>
  <c r="B177" i="49"/>
  <c r="C177" i="49"/>
  <c r="B178" i="49"/>
  <c r="C178" i="49"/>
  <c r="B179" i="49"/>
  <c r="C179" i="49"/>
  <c r="B180" i="49"/>
  <c r="C180" i="49"/>
  <c r="B181" i="49"/>
  <c r="C181" i="49"/>
  <c r="B182" i="49"/>
  <c r="C182" i="49"/>
  <c r="B183" i="49"/>
  <c r="C183" i="49"/>
  <c r="B136" i="49"/>
  <c r="C136" i="49"/>
  <c r="B137" i="49"/>
  <c r="C137" i="49"/>
  <c r="B138" i="49"/>
  <c r="C138" i="49"/>
  <c r="B139" i="49"/>
  <c r="C139" i="49"/>
  <c r="B140" i="49"/>
  <c r="C140" i="49"/>
  <c r="B141" i="49"/>
  <c r="C141" i="49"/>
  <c r="B142" i="49"/>
  <c r="C142" i="49"/>
  <c r="B143" i="49"/>
  <c r="C143" i="49"/>
  <c r="B144" i="49"/>
  <c r="C144" i="49"/>
  <c r="B145" i="49"/>
  <c r="C145" i="49"/>
  <c r="B146" i="49"/>
  <c r="C146" i="49"/>
  <c r="B147" i="49"/>
  <c r="C147" i="49"/>
  <c r="B148" i="49"/>
  <c r="C148" i="49"/>
  <c r="B149" i="49"/>
  <c r="C149" i="49"/>
  <c r="B150" i="49"/>
  <c r="C150" i="49"/>
  <c r="B151" i="49"/>
  <c r="C151" i="49"/>
  <c r="B152" i="49"/>
  <c r="C152" i="49"/>
  <c r="B153" i="49"/>
  <c r="C153" i="49"/>
  <c r="B154" i="49"/>
  <c r="C154" i="49"/>
  <c r="B155" i="49"/>
  <c r="C155" i="49"/>
  <c r="B156" i="49"/>
  <c r="C156" i="49"/>
  <c r="B157" i="49"/>
  <c r="C157" i="49"/>
  <c r="B158" i="49"/>
  <c r="C158" i="49"/>
  <c r="O2" i="49"/>
  <c r="B214" i="49" s="1"/>
  <c r="D365" i="49" l="1"/>
  <c r="D357" i="49"/>
  <c r="D368" i="49"/>
  <c r="D360" i="49"/>
  <c r="D356" i="49"/>
  <c r="D371" i="49"/>
  <c r="D367" i="49"/>
  <c r="D363" i="49"/>
  <c r="D359" i="49"/>
  <c r="D355" i="49"/>
  <c r="D351" i="49"/>
  <c r="D369" i="49"/>
  <c r="D361" i="49"/>
  <c r="D353" i="49"/>
  <c r="D372" i="49"/>
  <c r="D364" i="49"/>
  <c r="D352" i="49"/>
  <c r="D370" i="49"/>
  <c r="D366" i="49"/>
  <c r="D362" i="49"/>
  <c r="D358" i="49"/>
  <c r="D354" i="49"/>
  <c r="D350" i="49"/>
  <c r="L111" i="49"/>
  <c r="L112" i="49"/>
  <c r="L113" i="49"/>
  <c r="L114" i="49"/>
  <c r="L115" i="49"/>
  <c r="L116" i="49"/>
  <c r="L117" i="49"/>
  <c r="L118" i="49"/>
  <c r="L119" i="49"/>
  <c r="L120" i="49"/>
  <c r="L121" i="49"/>
  <c r="L122" i="49"/>
  <c r="L123" i="49"/>
  <c r="L124" i="49"/>
  <c r="L125" i="49"/>
  <c r="L126" i="49"/>
  <c r="L127" i="49"/>
  <c r="L128" i="49"/>
  <c r="L129" i="49"/>
  <c r="L130" i="49"/>
  <c r="L131" i="49"/>
  <c r="L132" i="49"/>
  <c r="L133" i="49"/>
  <c r="L110" i="49"/>
  <c r="B112" i="49"/>
  <c r="C112" i="49"/>
  <c r="C187" i="49" s="1"/>
  <c r="B113" i="49"/>
  <c r="C113" i="49"/>
  <c r="C188" i="49" s="1"/>
  <c r="B114" i="49"/>
  <c r="C114" i="49"/>
  <c r="C189" i="49" s="1"/>
  <c r="B115" i="49"/>
  <c r="C115" i="49"/>
  <c r="C190" i="49" s="1"/>
  <c r="B116" i="49"/>
  <c r="C116" i="49"/>
  <c r="C191" i="49" s="1"/>
  <c r="B117" i="49"/>
  <c r="C117" i="49"/>
  <c r="C192" i="49" s="1"/>
  <c r="B118" i="49"/>
  <c r="C118" i="49"/>
  <c r="B119" i="49"/>
  <c r="C119" i="49"/>
  <c r="C194" i="49" s="1"/>
  <c r="B120" i="49"/>
  <c r="C120" i="49"/>
  <c r="C195" i="49" s="1"/>
  <c r="B121" i="49"/>
  <c r="C121" i="49"/>
  <c r="C196" i="49" s="1"/>
  <c r="B122" i="49"/>
  <c r="C122" i="49"/>
  <c r="C197" i="49" s="1"/>
  <c r="B123" i="49"/>
  <c r="C123" i="49"/>
  <c r="C198" i="49" s="1"/>
  <c r="B124" i="49"/>
  <c r="C124" i="49"/>
  <c r="C199" i="49" s="1"/>
  <c r="B125" i="49"/>
  <c r="C125" i="49"/>
  <c r="C200" i="49" s="1"/>
  <c r="B126" i="49"/>
  <c r="C126" i="49"/>
  <c r="B127" i="49"/>
  <c r="C127" i="49"/>
  <c r="C202" i="49" s="1"/>
  <c r="B128" i="49"/>
  <c r="C128" i="49"/>
  <c r="C203" i="49" s="1"/>
  <c r="B129" i="49"/>
  <c r="C129" i="49"/>
  <c r="C204" i="49" s="1"/>
  <c r="B130" i="49"/>
  <c r="C130" i="49"/>
  <c r="C205" i="49" s="1"/>
  <c r="B131" i="49"/>
  <c r="C131" i="49"/>
  <c r="C206" i="49" s="1"/>
  <c r="B132" i="49"/>
  <c r="C132" i="49"/>
  <c r="C207" i="49" s="1"/>
  <c r="B133" i="49"/>
  <c r="C133" i="49"/>
  <c r="C208" i="49" s="1"/>
  <c r="B106" i="49"/>
  <c r="B83" i="49"/>
  <c r="C83" i="49"/>
  <c r="E83" i="49" s="1"/>
  <c r="B84" i="49"/>
  <c r="C84" i="49"/>
  <c r="E84" i="49" s="1"/>
  <c r="B85" i="49"/>
  <c r="C85" i="49"/>
  <c r="E85" i="49" s="1"/>
  <c r="B86" i="49"/>
  <c r="C86" i="49"/>
  <c r="E86" i="49" s="1"/>
  <c r="B87" i="49"/>
  <c r="C87" i="49"/>
  <c r="E87" i="49" s="1"/>
  <c r="B88" i="49"/>
  <c r="C88" i="49"/>
  <c r="E88" i="49" s="1"/>
  <c r="B89" i="49"/>
  <c r="C89" i="49"/>
  <c r="E89" i="49"/>
  <c r="B90" i="49"/>
  <c r="C90" i="49"/>
  <c r="E90" i="49" s="1"/>
  <c r="B91" i="49"/>
  <c r="C91" i="49"/>
  <c r="E91" i="49" s="1"/>
  <c r="B92" i="49"/>
  <c r="C92" i="49"/>
  <c r="E92" i="49" s="1"/>
  <c r="B93" i="49"/>
  <c r="C93" i="49"/>
  <c r="E93" i="49" s="1"/>
  <c r="B94" i="49"/>
  <c r="C94" i="49"/>
  <c r="E94" i="49" s="1"/>
  <c r="B95" i="49"/>
  <c r="C95" i="49"/>
  <c r="E95" i="49" s="1"/>
  <c r="B96" i="49"/>
  <c r="C96" i="49"/>
  <c r="E96" i="49" s="1"/>
  <c r="D96" i="49"/>
  <c r="B97" i="49"/>
  <c r="C97" i="49"/>
  <c r="E97" i="49" s="1"/>
  <c r="B98" i="49"/>
  <c r="C98" i="49"/>
  <c r="E98" i="49" s="1"/>
  <c r="B99" i="49"/>
  <c r="C99" i="49"/>
  <c r="E99" i="49" s="1"/>
  <c r="B100" i="49"/>
  <c r="C100" i="49"/>
  <c r="E100" i="49" s="1"/>
  <c r="B101" i="49"/>
  <c r="C101" i="49"/>
  <c r="E101" i="49" s="1"/>
  <c r="B102" i="49"/>
  <c r="C102" i="49"/>
  <c r="E102" i="49" s="1"/>
  <c r="B103" i="49"/>
  <c r="C103" i="49"/>
  <c r="E103" i="49" s="1"/>
  <c r="B104" i="49"/>
  <c r="C104" i="49"/>
  <c r="E104" i="49" s="1"/>
  <c r="B105" i="49"/>
  <c r="C105" i="49"/>
  <c r="E105" i="49" s="1"/>
  <c r="F61" i="49"/>
  <c r="D164" i="49" s="1"/>
  <c r="F62" i="49"/>
  <c r="D165" i="49" s="1"/>
  <c r="F63" i="49"/>
  <c r="D166" i="49" s="1"/>
  <c r="F69" i="49"/>
  <c r="D172" i="49" s="1"/>
  <c r="F70" i="49"/>
  <c r="D173" i="49" s="1"/>
  <c r="F71" i="49"/>
  <c r="D174" i="49" s="1"/>
  <c r="F77" i="49"/>
  <c r="D180" i="49" s="1"/>
  <c r="F78" i="49"/>
  <c r="D181" i="49" s="1"/>
  <c r="F79" i="49"/>
  <c r="B58" i="49"/>
  <c r="B59" i="49"/>
  <c r="B60" i="49"/>
  <c r="B61" i="49"/>
  <c r="B62" i="49"/>
  <c r="B63" i="49"/>
  <c r="B64" i="49"/>
  <c r="B65" i="49"/>
  <c r="B66" i="49"/>
  <c r="B67" i="49"/>
  <c r="B68" i="49"/>
  <c r="B69" i="49"/>
  <c r="B70" i="49"/>
  <c r="B71" i="49"/>
  <c r="B72" i="49"/>
  <c r="B73" i="49"/>
  <c r="B74" i="49"/>
  <c r="B75" i="49"/>
  <c r="B76" i="49"/>
  <c r="B77" i="49"/>
  <c r="B78" i="49"/>
  <c r="B79" i="49"/>
  <c r="B80" i="49"/>
  <c r="D80" i="49"/>
  <c r="F80" i="49" s="1"/>
  <c r="D183" i="49" s="1"/>
  <c r="D79" i="49"/>
  <c r="D78" i="49"/>
  <c r="D77" i="49"/>
  <c r="D76" i="49"/>
  <c r="D101" i="49" s="1"/>
  <c r="D75" i="49"/>
  <c r="F75" i="49" s="1"/>
  <c r="D178" i="49" s="1"/>
  <c r="D74" i="49"/>
  <c r="F74" i="49" s="1"/>
  <c r="D177" i="49" s="1"/>
  <c r="D73" i="49"/>
  <c r="F73" i="49" s="1"/>
  <c r="D176" i="49" s="1"/>
  <c r="D72" i="49"/>
  <c r="F72" i="49" s="1"/>
  <c r="D175" i="49" s="1"/>
  <c r="D71" i="49"/>
  <c r="D70" i="49"/>
  <c r="D69" i="49"/>
  <c r="D68" i="49"/>
  <c r="F68" i="49" s="1"/>
  <c r="D171" i="49" s="1"/>
  <c r="D67" i="49"/>
  <c r="D92" i="49" s="1"/>
  <c r="D66" i="49"/>
  <c r="F66" i="49" s="1"/>
  <c r="D169" i="49" s="1"/>
  <c r="D65" i="49"/>
  <c r="F65" i="49" s="1"/>
  <c r="D168" i="49" s="1"/>
  <c r="D64" i="49"/>
  <c r="F64" i="49" s="1"/>
  <c r="D167" i="49" s="1"/>
  <c r="D63" i="49"/>
  <c r="D88" i="49" s="1"/>
  <c r="D62" i="49"/>
  <c r="D61" i="49"/>
  <c r="D60" i="49"/>
  <c r="D85" i="49" s="1"/>
  <c r="D59" i="49"/>
  <c r="F59" i="49" s="1"/>
  <c r="D162" i="49" s="1"/>
  <c r="D58" i="49"/>
  <c r="F58" i="49" s="1"/>
  <c r="D161" i="49" s="1"/>
  <c r="D57" i="49"/>
  <c r="B57" i="49"/>
  <c r="F36" i="49"/>
  <c r="D139" i="49" s="1"/>
  <c r="F37" i="49"/>
  <c r="D140" i="49" s="1"/>
  <c r="F40" i="49"/>
  <c r="D143" i="49" s="1"/>
  <c r="F44" i="49"/>
  <c r="D147" i="49" s="1"/>
  <c r="F45" i="49"/>
  <c r="D148" i="49" s="1"/>
  <c r="F48" i="49"/>
  <c r="D151" i="49" s="1"/>
  <c r="F52" i="49"/>
  <c r="D155" i="49" s="1"/>
  <c r="F53" i="49"/>
  <c r="D156" i="49" s="1"/>
  <c r="D55" i="49"/>
  <c r="F55" i="49" s="1"/>
  <c r="D54" i="49"/>
  <c r="F54" i="49" s="1"/>
  <c r="D53" i="49"/>
  <c r="D103" i="49" s="1"/>
  <c r="D52" i="49"/>
  <c r="D51" i="49"/>
  <c r="F51" i="49" s="1"/>
  <c r="D50" i="49"/>
  <c r="F50" i="49" s="1"/>
  <c r="D49" i="49"/>
  <c r="F49" i="49" s="1"/>
  <c r="D48" i="49"/>
  <c r="D47" i="49"/>
  <c r="F47" i="49" s="1"/>
  <c r="D46" i="49"/>
  <c r="F46" i="49" s="1"/>
  <c r="D45" i="49"/>
  <c r="D44" i="49"/>
  <c r="D94" i="49" s="1"/>
  <c r="D43" i="49"/>
  <c r="F43" i="49" s="1"/>
  <c r="D42" i="49"/>
  <c r="F42" i="49" s="1"/>
  <c r="D41" i="49"/>
  <c r="F41" i="49" s="1"/>
  <c r="D40" i="49"/>
  <c r="D39" i="49"/>
  <c r="F39" i="49" s="1"/>
  <c r="D38" i="49"/>
  <c r="F38" i="49" s="1"/>
  <c r="D37" i="49"/>
  <c r="D87" i="49" s="1"/>
  <c r="D36" i="49"/>
  <c r="D35" i="49"/>
  <c r="F35" i="49" s="1"/>
  <c r="D34" i="49"/>
  <c r="F34" i="49" s="1"/>
  <c r="D33" i="49"/>
  <c r="F33" i="49" s="1"/>
  <c r="D32" i="49"/>
  <c r="B33" i="49"/>
  <c r="B34" i="49"/>
  <c r="B35" i="49"/>
  <c r="B36" i="49"/>
  <c r="B37" i="49"/>
  <c r="B38" i="49"/>
  <c r="B39" i="49"/>
  <c r="B40" i="49"/>
  <c r="B41" i="49"/>
  <c r="B42" i="49"/>
  <c r="B43" i="49"/>
  <c r="B44" i="49"/>
  <c r="B45" i="49"/>
  <c r="B46" i="49"/>
  <c r="B47" i="49"/>
  <c r="B48" i="49"/>
  <c r="B49" i="49"/>
  <c r="B50" i="49"/>
  <c r="B51" i="49"/>
  <c r="B52" i="49"/>
  <c r="B53" i="49"/>
  <c r="B54" i="49"/>
  <c r="B55" i="49"/>
  <c r="L1" i="49"/>
  <c r="F12" i="49"/>
  <c r="H12" i="49" s="1"/>
  <c r="F13" i="49"/>
  <c r="F14" i="49"/>
  <c r="H14" i="49" s="1"/>
  <c r="F20" i="49"/>
  <c r="D123" i="49" s="1"/>
  <c r="F21" i="49"/>
  <c r="D124" i="49" s="1"/>
  <c r="F22" i="49"/>
  <c r="F28" i="49"/>
  <c r="H28" i="49" s="1"/>
  <c r="F29" i="49"/>
  <c r="F30" i="49"/>
  <c r="D133" i="49" s="1"/>
  <c r="D30" i="49"/>
  <c r="D29" i="49"/>
  <c r="D104" i="49" s="1"/>
  <c r="D28" i="49"/>
  <c r="D27" i="49"/>
  <c r="D102" i="49" s="1"/>
  <c r="D26" i="49"/>
  <c r="F26" i="49" s="1"/>
  <c r="D25" i="49"/>
  <c r="F25" i="49" s="1"/>
  <c r="D24" i="49"/>
  <c r="F24" i="49" s="1"/>
  <c r="D23" i="49"/>
  <c r="D22" i="49"/>
  <c r="D21" i="49"/>
  <c r="D20" i="49"/>
  <c r="D19" i="49"/>
  <c r="F19" i="49" s="1"/>
  <c r="D18" i="49"/>
  <c r="F18" i="49" s="1"/>
  <c r="D17" i="49"/>
  <c r="F17" i="49" s="1"/>
  <c r="D16" i="49"/>
  <c r="F16" i="49" s="1"/>
  <c r="D119" i="49" s="1"/>
  <c r="D15" i="49"/>
  <c r="F15" i="49" s="1"/>
  <c r="D14" i="49"/>
  <c r="D13" i="49"/>
  <c r="D12" i="49"/>
  <c r="D11" i="49"/>
  <c r="D86" i="49" s="1"/>
  <c r="D10" i="49"/>
  <c r="F10" i="49" s="1"/>
  <c r="D9" i="49"/>
  <c r="F9" i="49" s="1"/>
  <c r="D8" i="49"/>
  <c r="F8" i="49" s="1"/>
  <c r="D7" i="49"/>
  <c r="F7" i="49" s="1"/>
  <c r="F76" i="49" l="1"/>
  <c r="D179" i="49" s="1"/>
  <c r="F60" i="49"/>
  <c r="D163" i="49" s="1"/>
  <c r="F67" i="49"/>
  <c r="D170" i="49" s="1"/>
  <c r="F90" i="49"/>
  <c r="D98" i="49"/>
  <c r="H55" i="49"/>
  <c r="D158" i="49"/>
  <c r="D136" i="49"/>
  <c r="H33" i="49"/>
  <c r="D145" i="49"/>
  <c r="H42" i="49"/>
  <c r="H47" i="49"/>
  <c r="D150" i="49"/>
  <c r="H41" i="49"/>
  <c r="D144" i="49"/>
  <c r="D142" i="49"/>
  <c r="H39" i="49"/>
  <c r="H49" i="49"/>
  <c r="D152" i="49"/>
  <c r="D137" i="49"/>
  <c r="H34" i="49"/>
  <c r="D153" i="49"/>
  <c r="H50" i="49"/>
  <c r="D138" i="49"/>
  <c r="H35" i="49"/>
  <c r="D146" i="49"/>
  <c r="H43" i="49"/>
  <c r="D154" i="49"/>
  <c r="H51" i="49"/>
  <c r="H38" i="49"/>
  <c r="D141" i="49"/>
  <c r="D149" i="49"/>
  <c r="H46" i="49"/>
  <c r="D157" i="49"/>
  <c r="H54" i="49"/>
  <c r="F100" i="49"/>
  <c r="G100" i="49" s="1"/>
  <c r="H37" i="49"/>
  <c r="F97" i="49"/>
  <c r="G97" i="49" s="1"/>
  <c r="H44" i="49"/>
  <c r="H36" i="49"/>
  <c r="D199" i="49"/>
  <c r="D83" i="49"/>
  <c r="H53" i="49"/>
  <c r="H52" i="49"/>
  <c r="D95" i="49"/>
  <c r="D198" i="49"/>
  <c r="D97" i="49"/>
  <c r="F84" i="49"/>
  <c r="G84" i="49" s="1"/>
  <c r="H45" i="49"/>
  <c r="D105" i="49"/>
  <c r="D89" i="49"/>
  <c r="F88" i="49"/>
  <c r="G88" i="49" s="1"/>
  <c r="H48" i="49"/>
  <c r="H40" i="49"/>
  <c r="D208" i="49"/>
  <c r="F83" i="49"/>
  <c r="G83" i="49" s="1"/>
  <c r="D194" i="49"/>
  <c r="F104" i="49"/>
  <c r="G104" i="49" s="1"/>
  <c r="D132" i="49"/>
  <c r="D207" i="49" s="1"/>
  <c r="H19" i="49"/>
  <c r="D122" i="49"/>
  <c r="D197" i="49" s="1"/>
  <c r="D127" i="49"/>
  <c r="F99" i="49"/>
  <c r="G99" i="49" s="1"/>
  <c r="F92" i="49"/>
  <c r="G92" i="49" s="1"/>
  <c r="D99" i="49"/>
  <c r="F95" i="49"/>
  <c r="G95" i="49" s="1"/>
  <c r="D131" i="49"/>
  <c r="D206" i="49" s="1"/>
  <c r="F27" i="49"/>
  <c r="F11" i="49"/>
  <c r="D91" i="49"/>
  <c r="F89" i="49"/>
  <c r="G89" i="49" s="1"/>
  <c r="D84" i="49"/>
  <c r="F23" i="49"/>
  <c r="F98" i="49" s="1"/>
  <c r="D90" i="49"/>
  <c r="D93" i="49"/>
  <c r="D100" i="49"/>
  <c r="D118" i="49"/>
  <c r="C193" i="49"/>
  <c r="D117" i="49"/>
  <c r="F105" i="49"/>
  <c r="G105" i="49" s="1"/>
  <c r="F96" i="49"/>
  <c r="G96" i="49" s="1"/>
  <c r="F87" i="49"/>
  <c r="G87" i="49" s="1"/>
  <c r="C201" i="49"/>
  <c r="F103" i="49"/>
  <c r="G103" i="49" s="1"/>
  <c r="D115" i="49"/>
  <c r="D190" i="49" s="1"/>
  <c r="H26" i="49"/>
  <c r="H10" i="49"/>
  <c r="F85" i="49"/>
  <c r="G85" i="49" s="1"/>
  <c r="D121" i="49"/>
  <c r="H25" i="49"/>
  <c r="H9" i="49"/>
  <c r="H16" i="49"/>
  <c r="D129" i="49"/>
  <c r="H15" i="49"/>
  <c r="F93" i="49"/>
  <c r="G93" i="49" s="1"/>
  <c r="G90" i="49"/>
  <c r="H30" i="49"/>
  <c r="D125" i="49"/>
  <c r="D200" i="49" s="1"/>
  <c r="H29" i="49"/>
  <c r="H13" i="49"/>
  <c r="D128" i="49"/>
  <c r="D203" i="49" s="1"/>
  <c r="H20" i="49"/>
  <c r="F94" i="49"/>
  <c r="G94" i="49" s="1"/>
  <c r="F91" i="49"/>
  <c r="G91" i="49" s="1"/>
  <c r="D113" i="49"/>
  <c r="D188" i="49" s="1"/>
  <c r="H18" i="49"/>
  <c r="H17" i="49"/>
  <c r="D112" i="49"/>
  <c r="H24" i="49"/>
  <c r="H8" i="49"/>
  <c r="D120" i="49"/>
  <c r="D195" i="49" s="1"/>
  <c r="H22" i="49"/>
  <c r="H21" i="49"/>
  <c r="D116" i="49"/>
  <c r="D191" i="49" s="1"/>
  <c r="H27" i="49"/>
  <c r="J1" i="20"/>
  <c r="C45" i="20"/>
  <c r="F101" i="49" l="1"/>
  <c r="G101" i="49" s="1"/>
  <c r="D196" i="49"/>
  <c r="D187" i="49"/>
  <c r="D192" i="49"/>
  <c r="D204" i="49"/>
  <c r="D202" i="49"/>
  <c r="G98" i="49"/>
  <c r="D126" i="49"/>
  <c r="D201" i="49" s="1"/>
  <c r="H11" i="49"/>
  <c r="F86" i="49"/>
  <c r="G86" i="49" s="1"/>
  <c r="D114" i="49"/>
  <c r="D189" i="49" s="1"/>
  <c r="F31" i="49"/>
  <c r="D130" i="49"/>
  <c r="D205" i="49" s="1"/>
  <c r="F102" i="49"/>
  <c r="G102" i="49" s="1"/>
  <c r="H23" i="49"/>
  <c r="D193" i="49"/>
  <c r="H46" i="20"/>
  <c r="I48" i="20"/>
  <c r="J48" i="20"/>
  <c r="H48" i="20"/>
  <c r="K45" i="20"/>
  <c r="L103" i="48"/>
  <c r="X1" i="48" l="1"/>
  <c r="L105" i="48" s="1"/>
  <c r="S105" i="48"/>
  <c r="H31" i="33"/>
  <c r="H34" i="33"/>
  <c r="G34" i="33"/>
  <c r="H33" i="33"/>
  <c r="G33" i="33"/>
  <c r="H32" i="33"/>
  <c r="G32" i="33"/>
  <c r="G31" i="33"/>
  <c r="H30" i="33"/>
  <c r="G30" i="33"/>
  <c r="H19" i="33"/>
  <c r="M9" i="33"/>
  <c r="G19" i="33" l="1"/>
  <c r="M10" i="33"/>
  <c r="N29" i="48"/>
  <c r="H5" i="48"/>
  <c r="J5" i="48" s="1"/>
  <c r="L6" i="48"/>
  <c r="L7" i="48"/>
  <c r="L8" i="48"/>
  <c r="L9" i="48"/>
  <c r="L10" i="48"/>
  <c r="L11" i="48"/>
  <c r="L12" i="48"/>
  <c r="L13" i="48"/>
  <c r="L14" i="48"/>
  <c r="L15" i="48"/>
  <c r="L16" i="48"/>
  <c r="L17" i="48"/>
  <c r="L18" i="48"/>
  <c r="L19" i="48"/>
  <c r="L20" i="48"/>
  <c r="L21" i="48"/>
  <c r="L22" i="48"/>
  <c r="L23" i="48"/>
  <c r="L24" i="48"/>
  <c r="L25" i="48"/>
  <c r="L26" i="48"/>
  <c r="L27" i="48"/>
  <c r="L28" i="48"/>
  <c r="L5" i="48"/>
  <c r="H6" i="48"/>
  <c r="J6" i="48" s="1"/>
  <c r="H7" i="48"/>
  <c r="J7" i="48" s="1"/>
  <c r="H8" i="48"/>
  <c r="J8" i="48" s="1"/>
  <c r="H9" i="48"/>
  <c r="J9" i="48" s="1"/>
  <c r="H10" i="48"/>
  <c r="J10" i="48" s="1"/>
  <c r="H11" i="48"/>
  <c r="J11" i="48" s="1"/>
  <c r="H12" i="48"/>
  <c r="V12" i="48" s="1"/>
  <c r="H13" i="48"/>
  <c r="J13" i="48" s="1"/>
  <c r="H14" i="48"/>
  <c r="J14" i="48" s="1"/>
  <c r="H15" i="48"/>
  <c r="J15" i="48" s="1"/>
  <c r="H16" i="48"/>
  <c r="J16" i="48" s="1"/>
  <c r="H17" i="48"/>
  <c r="J17" i="48" s="1"/>
  <c r="H18" i="48"/>
  <c r="J18" i="48" s="1"/>
  <c r="H19" i="48"/>
  <c r="J19" i="48" s="1"/>
  <c r="H20" i="48"/>
  <c r="J20" i="48" s="1"/>
  <c r="H21" i="48"/>
  <c r="J21" i="48" s="1"/>
  <c r="H22" i="48"/>
  <c r="J22" i="48" s="1"/>
  <c r="H23" i="48"/>
  <c r="J23" i="48" s="1"/>
  <c r="H24" i="48"/>
  <c r="J24" i="48" s="1"/>
  <c r="H25" i="48"/>
  <c r="J25" i="48" s="1"/>
  <c r="H26" i="48"/>
  <c r="J26" i="48" s="1"/>
  <c r="H27" i="48"/>
  <c r="J27" i="48" s="1"/>
  <c r="H28" i="48"/>
  <c r="V28" i="48" s="1"/>
  <c r="F6" i="48"/>
  <c r="F7" i="48"/>
  <c r="F8" i="48"/>
  <c r="F9" i="48"/>
  <c r="F10" i="48"/>
  <c r="F11" i="48"/>
  <c r="F12" i="48"/>
  <c r="F13" i="48"/>
  <c r="F14" i="48"/>
  <c r="F15" i="48"/>
  <c r="F16" i="48"/>
  <c r="F17" i="48"/>
  <c r="F18" i="48"/>
  <c r="F19" i="48"/>
  <c r="F20" i="48"/>
  <c r="F21" i="48"/>
  <c r="F22" i="48"/>
  <c r="F23" i="48"/>
  <c r="F24" i="48"/>
  <c r="F25" i="48"/>
  <c r="F26" i="48"/>
  <c r="F27" i="48"/>
  <c r="F28" i="48"/>
  <c r="AB19" i="3"/>
  <c r="AC19" i="3"/>
  <c r="AB20" i="3"/>
  <c r="AC20" i="3"/>
  <c r="AB21" i="3"/>
  <c r="AC21" i="3"/>
  <c r="AB22" i="3"/>
  <c r="AC22" i="3"/>
  <c r="AB23" i="3"/>
  <c r="AC23" i="3"/>
  <c r="AB24" i="3"/>
  <c r="AC24" i="3"/>
  <c r="AB25" i="3"/>
  <c r="AC25" i="3"/>
  <c r="AB26" i="3"/>
  <c r="AC26" i="3"/>
  <c r="AB27" i="3"/>
  <c r="AC27" i="3"/>
  <c r="AB28" i="3"/>
  <c r="AC28" i="3"/>
  <c r="AB29" i="3"/>
  <c r="AC29" i="3"/>
  <c r="AB30" i="3"/>
  <c r="AC30" i="3"/>
  <c r="AB31" i="3"/>
  <c r="AC31" i="3"/>
  <c r="AB32" i="3"/>
  <c r="AC32" i="3"/>
  <c r="AB33" i="3"/>
  <c r="AC33" i="3"/>
  <c r="AB34" i="3"/>
  <c r="AC34" i="3"/>
  <c r="AB35" i="3"/>
  <c r="AC35" i="3"/>
  <c r="AB36" i="3"/>
  <c r="AC36" i="3"/>
  <c r="AB37" i="3"/>
  <c r="AC37" i="3"/>
  <c r="AB38" i="3"/>
  <c r="AC38" i="3"/>
  <c r="AB39" i="3"/>
  <c r="AC39" i="3"/>
  <c r="AB40" i="3"/>
  <c r="AC40" i="3"/>
  <c r="AB41" i="3"/>
  <c r="AC41" i="3"/>
  <c r="AC18" i="3"/>
  <c r="AB18" i="3"/>
  <c r="R133" i="3"/>
  <c r="R134" i="3"/>
  <c r="R135" i="3"/>
  <c r="R136" i="3"/>
  <c r="R137" i="3"/>
  <c r="R138" i="3"/>
  <c r="R139" i="3"/>
  <c r="R140" i="3"/>
  <c r="R141" i="3"/>
  <c r="R142" i="3"/>
  <c r="R143" i="3"/>
  <c r="R144" i="3"/>
  <c r="R145" i="3"/>
  <c r="R146" i="3"/>
  <c r="R147" i="3"/>
  <c r="R148" i="3"/>
  <c r="R149" i="3"/>
  <c r="R150" i="3"/>
  <c r="R151" i="3"/>
  <c r="R152" i="3"/>
  <c r="R153" i="3"/>
  <c r="R154" i="3"/>
  <c r="R155" i="3"/>
  <c r="R132" i="3"/>
  <c r="L4" i="46"/>
  <c r="M4" i="46"/>
  <c r="N4" i="46"/>
  <c r="O4" i="46"/>
  <c r="P4" i="46"/>
  <c r="Q4" i="46"/>
  <c r="L5" i="46"/>
  <c r="M5" i="46"/>
  <c r="N5" i="46"/>
  <c r="O5" i="46"/>
  <c r="P5" i="46"/>
  <c r="Q5" i="46"/>
  <c r="L6" i="46"/>
  <c r="M6" i="46"/>
  <c r="N6" i="46"/>
  <c r="O6" i="46"/>
  <c r="P6" i="46"/>
  <c r="Q6" i="46"/>
  <c r="L7" i="46"/>
  <c r="M7" i="46"/>
  <c r="N7" i="46"/>
  <c r="O7" i="46"/>
  <c r="P7" i="46"/>
  <c r="Q7" i="46"/>
  <c r="L8" i="46"/>
  <c r="M8" i="46"/>
  <c r="N8" i="46"/>
  <c r="O8" i="46"/>
  <c r="P8" i="46"/>
  <c r="Q8" i="46"/>
  <c r="L9" i="46"/>
  <c r="M9" i="46"/>
  <c r="N9" i="46"/>
  <c r="O9" i="46"/>
  <c r="P9" i="46"/>
  <c r="Q9" i="46"/>
  <c r="L10" i="46"/>
  <c r="M10" i="46"/>
  <c r="N10" i="46"/>
  <c r="O10" i="46"/>
  <c r="P10" i="46"/>
  <c r="Q10" i="46"/>
  <c r="L11" i="46"/>
  <c r="M11" i="46"/>
  <c r="N11" i="46"/>
  <c r="O11" i="46"/>
  <c r="P11" i="46"/>
  <c r="Q11" i="46"/>
  <c r="L12" i="46"/>
  <c r="M12" i="46"/>
  <c r="N12" i="46"/>
  <c r="O12" i="46"/>
  <c r="P12" i="46"/>
  <c r="Q12" i="46"/>
  <c r="L13" i="46"/>
  <c r="M13" i="46"/>
  <c r="N13" i="46"/>
  <c r="O13" i="46"/>
  <c r="P13" i="46"/>
  <c r="Q13" i="46"/>
  <c r="L14" i="46"/>
  <c r="M14" i="46"/>
  <c r="N14" i="46"/>
  <c r="O14" i="46"/>
  <c r="P14" i="46"/>
  <c r="Q14" i="46"/>
  <c r="L15" i="46"/>
  <c r="M15" i="46"/>
  <c r="N15" i="46"/>
  <c r="O15" i="46"/>
  <c r="P15" i="46"/>
  <c r="Q15" i="46"/>
  <c r="L16" i="46"/>
  <c r="M16" i="46"/>
  <c r="N16" i="46"/>
  <c r="O16" i="46"/>
  <c r="P16" i="46"/>
  <c r="Q16" i="46"/>
  <c r="L17" i="46"/>
  <c r="M17" i="46"/>
  <c r="N17" i="46"/>
  <c r="O17" i="46"/>
  <c r="P17" i="46"/>
  <c r="Q17" i="46"/>
  <c r="L18" i="46"/>
  <c r="M18" i="46"/>
  <c r="N18" i="46"/>
  <c r="O18" i="46"/>
  <c r="P18" i="46"/>
  <c r="Q18" i="46"/>
  <c r="L19" i="46"/>
  <c r="M19" i="46"/>
  <c r="N19" i="46"/>
  <c r="O19" i="46"/>
  <c r="P19" i="46"/>
  <c r="Q19" i="46"/>
  <c r="L20" i="46"/>
  <c r="M20" i="46"/>
  <c r="N20" i="46"/>
  <c r="O20" i="46"/>
  <c r="P20" i="46"/>
  <c r="Q20" i="46"/>
  <c r="L21" i="46"/>
  <c r="M21" i="46"/>
  <c r="N21" i="46"/>
  <c r="O21" i="46"/>
  <c r="P21" i="46"/>
  <c r="Q21" i="46"/>
  <c r="L22" i="46"/>
  <c r="M22" i="46"/>
  <c r="N22" i="46"/>
  <c r="O22" i="46"/>
  <c r="P22" i="46"/>
  <c r="Q22" i="46"/>
  <c r="L23" i="46"/>
  <c r="M23" i="46"/>
  <c r="N23" i="46"/>
  <c r="O23" i="46"/>
  <c r="P23" i="46"/>
  <c r="Q23" i="46"/>
  <c r="L24" i="46"/>
  <c r="M24" i="46"/>
  <c r="N24" i="46"/>
  <c r="O24" i="46"/>
  <c r="P24" i="46"/>
  <c r="Q24" i="46"/>
  <c r="L25" i="46"/>
  <c r="M25" i="46"/>
  <c r="N25" i="46"/>
  <c r="O25" i="46"/>
  <c r="P25" i="46"/>
  <c r="Q25" i="46"/>
  <c r="L26" i="46"/>
  <c r="M26" i="46"/>
  <c r="N26" i="46"/>
  <c r="O26" i="46"/>
  <c r="P26" i="46"/>
  <c r="Q26" i="46"/>
  <c r="L27" i="46"/>
  <c r="M27" i="46"/>
  <c r="N27" i="46"/>
  <c r="O27" i="46"/>
  <c r="P27" i="46"/>
  <c r="Q27" i="46"/>
  <c r="K6" i="46"/>
  <c r="K7" i="46"/>
  <c r="K8" i="46"/>
  <c r="K9" i="46"/>
  <c r="K10" i="46"/>
  <c r="K11" i="46"/>
  <c r="K12" i="46"/>
  <c r="K13" i="46"/>
  <c r="K14" i="46"/>
  <c r="K15" i="46"/>
  <c r="K16" i="46"/>
  <c r="K17" i="46"/>
  <c r="K18" i="46"/>
  <c r="K19" i="46"/>
  <c r="K20" i="46"/>
  <c r="K21" i="46"/>
  <c r="K22" i="46"/>
  <c r="K23" i="46"/>
  <c r="K24" i="46"/>
  <c r="K25" i="46"/>
  <c r="K26" i="46"/>
  <c r="K27" i="46"/>
  <c r="K5" i="46"/>
  <c r="K4" i="46"/>
  <c r="D80" i="48" l="1"/>
  <c r="C49" i="48"/>
  <c r="D79" i="48"/>
  <c r="C48" i="48"/>
  <c r="D86" i="48"/>
  <c r="G86" i="48" s="1"/>
  <c r="H86" i="48" s="1"/>
  <c r="C55" i="48"/>
  <c r="D70" i="48"/>
  <c r="E70" i="48" s="1"/>
  <c r="G7" i="53" s="1"/>
  <c r="C39" i="48"/>
  <c r="D77" i="48"/>
  <c r="C46" i="48"/>
  <c r="D68" i="48"/>
  <c r="C37" i="48"/>
  <c r="D83" i="48"/>
  <c r="E83" i="48" s="1"/>
  <c r="G20" i="53" s="1"/>
  <c r="C52" i="48"/>
  <c r="D75" i="48"/>
  <c r="E75" i="48" s="1"/>
  <c r="G12" i="53" s="1"/>
  <c r="C44" i="48"/>
  <c r="D72" i="48"/>
  <c r="C41" i="48"/>
  <c r="D71" i="48"/>
  <c r="C40" i="48"/>
  <c r="D78" i="48"/>
  <c r="G78" i="48" s="1"/>
  <c r="H78" i="48" s="1"/>
  <c r="C47" i="48"/>
  <c r="D69" i="48"/>
  <c r="C38" i="48"/>
  <c r="D84" i="48"/>
  <c r="C53" i="48"/>
  <c r="D90" i="48"/>
  <c r="C59" i="48"/>
  <c r="D82" i="48"/>
  <c r="E82" i="48" s="1"/>
  <c r="G19" i="53" s="1"/>
  <c r="C51" i="48"/>
  <c r="D74" i="48"/>
  <c r="G74" i="48" s="1"/>
  <c r="H74" i="48" s="1"/>
  <c r="C43" i="48"/>
  <c r="D88" i="48"/>
  <c r="C57" i="48"/>
  <c r="D87" i="48"/>
  <c r="C56" i="48"/>
  <c r="D85" i="48"/>
  <c r="C54" i="48"/>
  <c r="D76" i="48"/>
  <c r="C45" i="48"/>
  <c r="D89" i="48"/>
  <c r="C58" i="48"/>
  <c r="D81" i="48"/>
  <c r="C50" i="48"/>
  <c r="D73" i="48"/>
  <c r="C42" i="48"/>
  <c r="D59" i="48"/>
  <c r="D43" i="48"/>
  <c r="E80" i="48"/>
  <c r="G17" i="53" s="1"/>
  <c r="G80" i="48"/>
  <c r="H80" i="48" s="1"/>
  <c r="E87" i="48"/>
  <c r="G24" i="53" s="1"/>
  <c r="G87" i="48"/>
  <c r="H87" i="48" s="1"/>
  <c r="G69" i="48"/>
  <c r="H69" i="48" s="1"/>
  <c r="E69" i="48"/>
  <c r="G6" i="53" s="1"/>
  <c r="E84" i="48"/>
  <c r="G21" i="53" s="1"/>
  <c r="G84" i="48"/>
  <c r="H84" i="48" s="1"/>
  <c r="E72" i="48"/>
  <c r="G9" i="53" s="1"/>
  <c r="G72" i="48"/>
  <c r="H72" i="48" s="1"/>
  <c r="E71" i="48"/>
  <c r="G8" i="53" s="1"/>
  <c r="G71" i="48"/>
  <c r="H71" i="48" s="1"/>
  <c r="G85" i="48"/>
  <c r="H85" i="48" s="1"/>
  <c r="E85" i="48"/>
  <c r="G22" i="53" s="1"/>
  <c r="E68" i="48"/>
  <c r="G5" i="53" s="1"/>
  <c r="G68" i="48"/>
  <c r="H68" i="48" s="1"/>
  <c r="E90" i="48"/>
  <c r="G27" i="53" s="1"/>
  <c r="G90" i="48"/>
  <c r="H90" i="48" s="1"/>
  <c r="E88" i="48"/>
  <c r="G25" i="53" s="1"/>
  <c r="G88" i="48"/>
  <c r="H88" i="48" s="1"/>
  <c r="E79" i="48"/>
  <c r="G16" i="53" s="1"/>
  <c r="G79" i="48"/>
  <c r="H79" i="48" s="1"/>
  <c r="G77" i="48"/>
  <c r="H77" i="48" s="1"/>
  <c r="E77" i="48"/>
  <c r="G14" i="53" s="1"/>
  <c r="E76" i="48"/>
  <c r="G13" i="53" s="1"/>
  <c r="G76" i="48"/>
  <c r="H76" i="48" s="1"/>
  <c r="E89" i="48"/>
  <c r="G26" i="53" s="1"/>
  <c r="G89" i="48"/>
  <c r="H89" i="48" s="1"/>
  <c r="E81" i="48"/>
  <c r="G18" i="53" s="1"/>
  <c r="G81" i="48"/>
  <c r="H81" i="48" s="1"/>
  <c r="G73" i="48"/>
  <c r="H73" i="48" s="1"/>
  <c r="E73" i="48"/>
  <c r="G10" i="53" s="1"/>
  <c r="J12" i="48"/>
  <c r="M12" i="48" s="1"/>
  <c r="P12" i="48" s="1"/>
  <c r="S12" i="48" s="1"/>
  <c r="V15" i="48"/>
  <c r="V5" i="48"/>
  <c r="V14" i="48"/>
  <c r="V19" i="48"/>
  <c r="V27" i="48"/>
  <c r="V26" i="48"/>
  <c r="V24" i="48"/>
  <c r="V11" i="48"/>
  <c r="V18" i="48"/>
  <c r="V21" i="48"/>
  <c r="V10" i="48"/>
  <c r="V20" i="48"/>
  <c r="V9" i="48"/>
  <c r="V17" i="48"/>
  <c r="V22" i="48"/>
  <c r="V16" i="48"/>
  <c r="V7" i="48"/>
  <c r="J28" i="48"/>
  <c r="M28" i="48" s="1"/>
  <c r="O28" i="48" s="1"/>
  <c r="V25" i="48"/>
  <c r="V8" i="48"/>
  <c r="V23" i="48"/>
  <c r="V13" i="48"/>
  <c r="V6" i="48"/>
  <c r="L29" i="48"/>
  <c r="M17" i="48"/>
  <c r="P17" i="48" s="1"/>
  <c r="S17" i="48" s="1"/>
  <c r="M16" i="48"/>
  <c r="O16" i="48" s="1"/>
  <c r="M22" i="48"/>
  <c r="O22" i="48" s="1"/>
  <c r="M21" i="48"/>
  <c r="P21" i="48" s="1"/>
  <c r="S21" i="48" s="1"/>
  <c r="M9" i="48"/>
  <c r="P9" i="48" s="1"/>
  <c r="S9" i="48" s="1"/>
  <c r="M8" i="48"/>
  <c r="P8" i="48" s="1"/>
  <c r="S8" i="48" s="1"/>
  <c r="M26" i="48"/>
  <c r="P26" i="48" s="1"/>
  <c r="S26" i="48" s="1"/>
  <c r="M15" i="48"/>
  <c r="O15" i="48" s="1"/>
  <c r="R15" i="48" s="1"/>
  <c r="M18" i="48"/>
  <c r="P18" i="48" s="1"/>
  <c r="S18" i="48" s="1"/>
  <c r="M25" i="48"/>
  <c r="O25" i="48" s="1"/>
  <c r="M19" i="48"/>
  <c r="P19" i="48" s="1"/>
  <c r="S19" i="48" s="1"/>
  <c r="M24" i="48"/>
  <c r="P24" i="48" s="1"/>
  <c r="S24" i="48" s="1"/>
  <c r="M27" i="48"/>
  <c r="P27" i="48" s="1"/>
  <c r="S27" i="48" s="1"/>
  <c r="M20" i="48"/>
  <c r="M6" i="48"/>
  <c r="M23" i="48"/>
  <c r="P23" i="48" s="1"/>
  <c r="M13" i="48"/>
  <c r="P13" i="48" s="1"/>
  <c r="S13" i="48" s="1"/>
  <c r="M11" i="48"/>
  <c r="O11" i="48" s="1"/>
  <c r="M7" i="48"/>
  <c r="O7" i="48" s="1"/>
  <c r="M10" i="48"/>
  <c r="P10" i="48" s="1"/>
  <c r="S10" i="48" s="1"/>
  <c r="M14" i="48"/>
  <c r="P14" i="48" s="1"/>
  <c r="S14" i="48" s="1"/>
  <c r="M5" i="48"/>
  <c r="O5" i="48" s="1"/>
  <c r="E74" i="48" l="1"/>
  <c r="G11" i="53" s="1"/>
  <c r="G75" i="48"/>
  <c r="H75" i="48" s="1"/>
  <c r="G70" i="48"/>
  <c r="H70" i="48" s="1"/>
  <c r="E78" i="48"/>
  <c r="G15" i="53" s="1"/>
  <c r="E86" i="48"/>
  <c r="G23" i="53" s="1"/>
  <c r="G83" i="48"/>
  <c r="H83" i="48" s="1"/>
  <c r="G82" i="48"/>
  <c r="H82" i="48" s="1"/>
  <c r="D54" i="48"/>
  <c r="D58" i="48"/>
  <c r="D39" i="48"/>
  <c r="D56" i="48"/>
  <c r="D52" i="48"/>
  <c r="D38" i="48"/>
  <c r="D46" i="48"/>
  <c r="D47" i="48"/>
  <c r="D42" i="48"/>
  <c r="D37" i="48"/>
  <c r="D53" i="48"/>
  <c r="D55" i="48"/>
  <c r="D40" i="48"/>
  <c r="D51" i="48"/>
  <c r="D50" i="48"/>
  <c r="D41" i="48"/>
  <c r="D45" i="48"/>
  <c r="D49" i="48"/>
  <c r="D44" i="48"/>
  <c r="D48" i="48"/>
  <c r="D57" i="48"/>
  <c r="D36" i="48"/>
  <c r="P16" i="48"/>
  <c r="S16" i="48" s="1"/>
  <c r="O24" i="48"/>
  <c r="R24" i="48" s="1"/>
  <c r="T24" i="48" s="1"/>
  <c r="O27" i="48"/>
  <c r="R27" i="48" s="1"/>
  <c r="T27" i="48" s="1"/>
  <c r="O14" i="48"/>
  <c r="Q14" i="48" s="1"/>
  <c r="O8" i="48"/>
  <c r="P25" i="48"/>
  <c r="S25" i="48" s="1"/>
  <c r="O23" i="48"/>
  <c r="R23" i="48" s="1"/>
  <c r="O26" i="48"/>
  <c r="O10" i="48"/>
  <c r="R10" i="48" s="1"/>
  <c r="T10" i="48" s="1"/>
  <c r="O17" i="48"/>
  <c r="R17" i="48" s="1"/>
  <c r="T17" i="48" s="1"/>
  <c r="R16" i="48"/>
  <c r="R28" i="48"/>
  <c r="R11" i="48"/>
  <c r="R25" i="48"/>
  <c r="P7" i="48"/>
  <c r="S7" i="48" s="1"/>
  <c r="R7" i="48"/>
  <c r="R5" i="48"/>
  <c r="P6" i="48"/>
  <c r="S6" i="48" s="1"/>
  <c r="O6" i="48"/>
  <c r="P15" i="48"/>
  <c r="O20" i="48"/>
  <c r="P20" i="48"/>
  <c r="S20" i="48" s="1"/>
  <c r="O13" i="48"/>
  <c r="O9" i="48"/>
  <c r="P11" i="48"/>
  <c r="S11" i="48" s="1"/>
  <c r="O21" i="48"/>
  <c r="O19" i="48"/>
  <c r="R22" i="48"/>
  <c r="P28" i="48"/>
  <c r="S28" i="48" s="1"/>
  <c r="S23" i="48"/>
  <c r="O18" i="48"/>
  <c r="M29" i="48"/>
  <c r="P5" i="48"/>
  <c r="S5" i="48" s="1"/>
  <c r="Q24" i="48"/>
  <c r="P22" i="48"/>
  <c r="S22" i="48" s="1"/>
  <c r="O12" i="48"/>
  <c r="Q17" i="48" l="1"/>
  <c r="Q16" i="48"/>
  <c r="T16" i="48"/>
  <c r="W16" i="48" s="1"/>
  <c r="R14" i="48"/>
  <c r="T14" i="48" s="1"/>
  <c r="W14" i="48" s="1"/>
  <c r="U27" i="48"/>
  <c r="W27" i="48"/>
  <c r="U24" i="48"/>
  <c r="W24" i="48"/>
  <c r="U17" i="48"/>
  <c r="W17" i="48"/>
  <c r="U10" i="48"/>
  <c r="W10" i="48"/>
  <c r="T25" i="48"/>
  <c r="Q25" i="48"/>
  <c r="Q27" i="48"/>
  <c r="R26" i="48"/>
  <c r="T26" i="48" s="1"/>
  <c r="Q26" i="48"/>
  <c r="O29" i="48"/>
  <c r="T23" i="48"/>
  <c r="Q10" i="48"/>
  <c r="T28" i="48"/>
  <c r="Q8" i="48"/>
  <c r="R8" i="48"/>
  <c r="T8" i="48" s="1"/>
  <c r="Q23" i="48"/>
  <c r="T7" i="48"/>
  <c r="R18" i="48"/>
  <c r="T18" i="48" s="1"/>
  <c r="Q18" i="48"/>
  <c r="Q19" i="48"/>
  <c r="R19" i="48"/>
  <c r="T19" i="48" s="1"/>
  <c r="Q15" i="48"/>
  <c r="S15" i="48"/>
  <c r="T15" i="48" s="1"/>
  <c r="Q7" i="48"/>
  <c r="Q11" i="48"/>
  <c r="Q9" i="48"/>
  <c r="R9" i="48"/>
  <c r="T9" i="48" s="1"/>
  <c r="Q28" i="48"/>
  <c r="T22" i="48"/>
  <c r="Q13" i="48"/>
  <c r="R13" i="48"/>
  <c r="T13" i="48" s="1"/>
  <c r="Q22" i="48"/>
  <c r="Q5" i="48"/>
  <c r="Q20" i="48"/>
  <c r="R20" i="48"/>
  <c r="T20" i="48" s="1"/>
  <c r="Q12" i="48"/>
  <c r="R12" i="48"/>
  <c r="T12" i="48" s="1"/>
  <c r="Q21" i="48"/>
  <c r="R21" i="48"/>
  <c r="T21" i="48" s="1"/>
  <c r="Q6" i="48"/>
  <c r="R6" i="48"/>
  <c r="T6" i="48" s="1"/>
  <c r="T11" i="48"/>
  <c r="X24" i="48" l="1"/>
  <c r="Y24" i="48" s="1"/>
  <c r="E55" i="48"/>
  <c r="F55" i="48" s="1"/>
  <c r="I55" i="48" s="1"/>
  <c r="X27" i="48"/>
  <c r="Y27" i="48" s="1"/>
  <c r="E58" i="48"/>
  <c r="F58" i="48" s="1"/>
  <c r="I58" i="48" s="1"/>
  <c r="X14" i="48"/>
  <c r="Y14" i="48" s="1"/>
  <c r="E45" i="48"/>
  <c r="F45" i="48" s="1"/>
  <c r="I45" i="48" s="1"/>
  <c r="X10" i="48"/>
  <c r="Y10" i="48" s="1"/>
  <c r="E41" i="48"/>
  <c r="F41" i="48" s="1"/>
  <c r="I41" i="48" s="1"/>
  <c r="X16" i="48"/>
  <c r="Y16" i="48" s="1"/>
  <c r="E47" i="48"/>
  <c r="F47" i="48" s="1"/>
  <c r="I47" i="48" s="1"/>
  <c r="X17" i="48"/>
  <c r="Y17" i="48" s="1"/>
  <c r="E48" i="48"/>
  <c r="F48" i="48" s="1"/>
  <c r="I48" i="48" s="1"/>
  <c r="U16" i="48"/>
  <c r="U14" i="48"/>
  <c r="U13" i="48"/>
  <c r="W13" i="48"/>
  <c r="U8" i="48"/>
  <c r="W8" i="48"/>
  <c r="U12" i="48"/>
  <c r="W12" i="48"/>
  <c r="U22" i="48"/>
  <c r="W22" i="48"/>
  <c r="U28" i="48"/>
  <c r="W28" i="48"/>
  <c r="U9" i="48"/>
  <c r="W9" i="48"/>
  <c r="U23" i="48"/>
  <c r="W23" i="48"/>
  <c r="U11" i="48"/>
  <c r="W11" i="48"/>
  <c r="U18" i="48"/>
  <c r="W18" i="48"/>
  <c r="U26" i="48"/>
  <c r="W26" i="48"/>
  <c r="U21" i="48"/>
  <c r="W21" i="48"/>
  <c r="U15" i="48"/>
  <c r="W15" i="48"/>
  <c r="U19" i="48"/>
  <c r="W19" i="48"/>
  <c r="U25" i="48"/>
  <c r="W25" i="48"/>
  <c r="U20" i="48"/>
  <c r="W20" i="48"/>
  <c r="U6" i="48"/>
  <c r="W6" i="48"/>
  <c r="U7" i="48"/>
  <c r="W7" i="48"/>
  <c r="J41" i="48" l="1"/>
  <c r="K41" i="48" s="1"/>
  <c r="G41" i="48"/>
  <c r="G45" i="48"/>
  <c r="J45" i="48"/>
  <c r="K45" i="48" s="1"/>
  <c r="J48" i="48"/>
  <c r="K48" i="48" s="1"/>
  <c r="G48" i="48"/>
  <c r="J58" i="48"/>
  <c r="K58" i="48" s="1"/>
  <c r="G58" i="48"/>
  <c r="G47" i="48"/>
  <c r="J47" i="48"/>
  <c r="K47" i="48" s="1"/>
  <c r="J55" i="48"/>
  <c r="K55" i="48" s="1"/>
  <c r="G55" i="48"/>
  <c r="X15" i="48"/>
  <c r="Y15" i="48" s="1"/>
  <c r="E46" i="48"/>
  <c r="F46" i="48" s="1"/>
  <c r="I46" i="48" s="1"/>
  <c r="X19" i="48"/>
  <c r="Y19" i="48" s="1"/>
  <c r="E50" i="48"/>
  <c r="F50" i="48" s="1"/>
  <c r="I50" i="48" s="1"/>
  <c r="X20" i="48"/>
  <c r="Y20" i="48" s="1"/>
  <c r="E51" i="48"/>
  <c r="F51" i="48" s="1"/>
  <c r="I51" i="48" s="1"/>
  <c r="X23" i="48"/>
  <c r="Y23" i="48" s="1"/>
  <c r="E54" i="48"/>
  <c r="F54" i="48" s="1"/>
  <c r="I54" i="48" s="1"/>
  <c r="X12" i="48"/>
  <c r="Y12" i="48" s="1"/>
  <c r="E43" i="48"/>
  <c r="F43" i="48" s="1"/>
  <c r="I43" i="48" s="1"/>
  <c r="X7" i="48"/>
  <c r="Y7" i="48" s="1"/>
  <c r="E38" i="48"/>
  <c r="F38" i="48" s="1"/>
  <c r="I38" i="48" s="1"/>
  <c r="X28" i="48"/>
  <c r="Y28" i="48" s="1"/>
  <c r="E59" i="48"/>
  <c r="F59" i="48" s="1"/>
  <c r="I59" i="48" s="1"/>
  <c r="X22" i="48"/>
  <c r="Y22" i="48" s="1"/>
  <c r="E53" i="48"/>
  <c r="F53" i="48" s="1"/>
  <c r="I53" i="48" s="1"/>
  <c r="X21" i="48"/>
  <c r="Y21" i="48" s="1"/>
  <c r="E52" i="48"/>
  <c r="F52" i="48" s="1"/>
  <c r="I52" i="48" s="1"/>
  <c r="X13" i="48"/>
  <c r="Y13" i="48" s="1"/>
  <c r="E44" i="48"/>
  <c r="F44" i="48" s="1"/>
  <c r="I44" i="48" s="1"/>
  <c r="X11" i="48"/>
  <c r="Y11" i="48" s="1"/>
  <c r="E42" i="48"/>
  <c r="F42" i="48" s="1"/>
  <c r="I42" i="48" s="1"/>
  <c r="X9" i="48"/>
  <c r="Y9" i="48" s="1"/>
  <c r="E40" i="48"/>
  <c r="F40" i="48" s="1"/>
  <c r="I40" i="48" s="1"/>
  <c r="X18" i="48"/>
  <c r="Y18" i="48" s="1"/>
  <c r="E49" i="48"/>
  <c r="F49" i="48" s="1"/>
  <c r="I49" i="48" s="1"/>
  <c r="X6" i="48"/>
  <c r="Y6" i="48" s="1"/>
  <c r="E37" i="48"/>
  <c r="F37" i="48" s="1"/>
  <c r="I37" i="48" s="1"/>
  <c r="X25" i="48"/>
  <c r="Y25" i="48" s="1"/>
  <c r="E56" i="48"/>
  <c r="F56" i="48" s="1"/>
  <c r="I56" i="48" s="1"/>
  <c r="X26" i="48"/>
  <c r="Y26" i="48" s="1"/>
  <c r="E57" i="48"/>
  <c r="F57" i="48" s="1"/>
  <c r="I57" i="48" s="1"/>
  <c r="X8" i="48"/>
  <c r="Y8" i="48" s="1"/>
  <c r="E39" i="48"/>
  <c r="F39" i="48" s="1"/>
  <c r="I39" i="48" s="1"/>
  <c r="J57" i="48" l="1"/>
  <c r="K57" i="48" s="1"/>
  <c r="G57" i="48"/>
  <c r="G40" i="48"/>
  <c r="J40" i="48"/>
  <c r="K40" i="48" s="1"/>
  <c r="J54" i="48"/>
  <c r="K54" i="48" s="1"/>
  <c r="G54" i="48"/>
  <c r="J42" i="48"/>
  <c r="K42" i="48" s="1"/>
  <c r="G42" i="48"/>
  <c r="G51" i="48"/>
  <c r="J51" i="48"/>
  <c r="K51" i="48" s="1"/>
  <c r="J37" i="48"/>
  <c r="K37" i="48" s="1"/>
  <c r="G37" i="48"/>
  <c r="J38" i="48"/>
  <c r="K38" i="48" s="1"/>
  <c r="G38" i="48"/>
  <c r="J39" i="48"/>
  <c r="K39" i="48" s="1"/>
  <c r="G39" i="48"/>
  <c r="G52" i="48"/>
  <c r="J52" i="48"/>
  <c r="K52" i="48" s="1"/>
  <c r="J43" i="48"/>
  <c r="K43" i="48" s="1"/>
  <c r="G43" i="48"/>
  <c r="J46" i="48"/>
  <c r="K46" i="48" s="1"/>
  <c r="G46" i="48"/>
  <c r="G53" i="48"/>
  <c r="J53" i="48"/>
  <c r="K53" i="48" s="1"/>
  <c r="G56" i="48"/>
  <c r="J56" i="48"/>
  <c r="K56" i="48" s="1"/>
  <c r="G59" i="48"/>
  <c r="J59" i="48"/>
  <c r="K59" i="48" s="1"/>
  <c r="G44" i="48"/>
  <c r="J44" i="48"/>
  <c r="K44" i="48" s="1"/>
  <c r="J50" i="48"/>
  <c r="K50" i="48" s="1"/>
  <c r="G50" i="48"/>
  <c r="J49" i="48"/>
  <c r="K49" i="48" s="1"/>
  <c r="G49" i="48"/>
  <c r="AD18" i="3"/>
  <c r="AD19" i="3"/>
  <c r="AD20" i="3"/>
  <c r="AD21" i="3"/>
  <c r="AD22" i="3"/>
  <c r="AD23" i="3"/>
  <c r="AD24" i="3"/>
  <c r="AD25" i="3"/>
  <c r="AD26" i="3"/>
  <c r="AD27" i="3"/>
  <c r="AD28" i="3"/>
  <c r="AD29" i="3"/>
  <c r="AD30" i="3"/>
  <c r="AD31" i="3"/>
  <c r="AD32" i="3"/>
  <c r="AD33" i="3"/>
  <c r="AD34" i="3"/>
  <c r="AD35" i="3"/>
  <c r="AD36" i="3"/>
  <c r="AD37" i="3"/>
  <c r="AD38" i="3"/>
  <c r="AD39" i="3"/>
  <c r="AD40" i="3"/>
  <c r="AD41" i="3"/>
  <c r="O28" i="46" l="1"/>
  <c r="J5" i="46"/>
  <c r="J6" i="46"/>
  <c r="J7" i="46"/>
  <c r="J8" i="46"/>
  <c r="J9" i="46"/>
  <c r="J10" i="46"/>
  <c r="J11" i="46"/>
  <c r="J12" i="46"/>
  <c r="J13" i="46"/>
  <c r="J14" i="46"/>
  <c r="J15" i="46"/>
  <c r="J16" i="46"/>
  <c r="J17" i="46"/>
  <c r="J18" i="46"/>
  <c r="J19" i="46"/>
  <c r="J20" i="46"/>
  <c r="J21" i="46"/>
  <c r="J22" i="46"/>
  <c r="J23" i="46"/>
  <c r="J24" i="46"/>
  <c r="J25" i="46"/>
  <c r="J26" i="46"/>
  <c r="J27" i="46"/>
  <c r="E9" i="16"/>
  <c r="D11" i="16"/>
  <c r="C11" i="16"/>
  <c r="H11" i="16" s="1"/>
  <c r="C31" i="16"/>
  <c r="C61" i="16" s="1"/>
  <c r="C94" i="16" s="1"/>
  <c r="D31" i="16"/>
  <c r="D61" i="16" s="1"/>
  <c r="D94" i="16" s="1"/>
  <c r="E31" i="16"/>
  <c r="E61" i="16" s="1"/>
  <c r="E94" i="16" s="1"/>
  <c r="G31" i="16"/>
  <c r="H31" i="16"/>
  <c r="H61" i="16" s="1"/>
  <c r="I31" i="16"/>
  <c r="C32" i="16"/>
  <c r="C62" i="16" s="1"/>
  <c r="C95" i="16" s="1"/>
  <c r="D32" i="16"/>
  <c r="D62" i="16" s="1"/>
  <c r="D95" i="16" s="1"/>
  <c r="E32" i="16"/>
  <c r="E62" i="16" s="1"/>
  <c r="E95" i="16" s="1"/>
  <c r="G32" i="16"/>
  <c r="G62" i="16" s="1"/>
  <c r="H32" i="16"/>
  <c r="H62" i="16" s="1"/>
  <c r="I32" i="16"/>
  <c r="I62" i="16" s="1"/>
  <c r="C33" i="16"/>
  <c r="C63" i="16" s="1"/>
  <c r="C96" i="16" s="1"/>
  <c r="D33" i="16"/>
  <c r="D63" i="16" s="1"/>
  <c r="D96" i="16" s="1"/>
  <c r="E33" i="16"/>
  <c r="E63" i="16" s="1"/>
  <c r="E96" i="16" s="1"/>
  <c r="G33" i="16"/>
  <c r="G63" i="16" s="1"/>
  <c r="H33" i="16"/>
  <c r="H63" i="16" s="1"/>
  <c r="I33" i="16"/>
  <c r="I63" i="16" s="1"/>
  <c r="C34" i="16"/>
  <c r="C64" i="16" s="1"/>
  <c r="C97" i="16" s="1"/>
  <c r="D34" i="16"/>
  <c r="D64" i="16" s="1"/>
  <c r="D97" i="16" s="1"/>
  <c r="E34" i="16"/>
  <c r="E64" i="16" s="1"/>
  <c r="E97" i="16" s="1"/>
  <c r="G34" i="16"/>
  <c r="G64" i="16" s="1"/>
  <c r="H34" i="16"/>
  <c r="H64" i="16" s="1"/>
  <c r="I34" i="16"/>
  <c r="I64" i="16" s="1"/>
  <c r="C35" i="16"/>
  <c r="C65" i="16" s="1"/>
  <c r="C98" i="16" s="1"/>
  <c r="D35" i="16"/>
  <c r="D65" i="16" s="1"/>
  <c r="D98" i="16" s="1"/>
  <c r="E35" i="16"/>
  <c r="E65" i="16" s="1"/>
  <c r="E98" i="16" s="1"/>
  <c r="G35" i="16"/>
  <c r="G65" i="16" s="1"/>
  <c r="H35" i="16"/>
  <c r="H65" i="16" s="1"/>
  <c r="I35" i="16"/>
  <c r="I65" i="16" s="1"/>
  <c r="C36" i="16"/>
  <c r="C66" i="16" s="1"/>
  <c r="C99" i="16" s="1"/>
  <c r="D36" i="16"/>
  <c r="D66" i="16" s="1"/>
  <c r="D99" i="16" s="1"/>
  <c r="E36" i="16"/>
  <c r="E66" i="16" s="1"/>
  <c r="E99" i="16" s="1"/>
  <c r="G36" i="16"/>
  <c r="G66" i="16" s="1"/>
  <c r="H36" i="16"/>
  <c r="H66" i="16" s="1"/>
  <c r="I36" i="16"/>
  <c r="I66" i="16" s="1"/>
  <c r="C37" i="16"/>
  <c r="C67" i="16" s="1"/>
  <c r="C100" i="16" s="1"/>
  <c r="D37" i="16"/>
  <c r="D67" i="16" s="1"/>
  <c r="D100" i="16" s="1"/>
  <c r="E37" i="16"/>
  <c r="E67" i="16" s="1"/>
  <c r="E100" i="16" s="1"/>
  <c r="G37" i="16"/>
  <c r="G67" i="16" s="1"/>
  <c r="H37" i="16"/>
  <c r="H67" i="16" s="1"/>
  <c r="I37" i="16"/>
  <c r="I67" i="16" s="1"/>
  <c r="C38" i="16"/>
  <c r="C68" i="16" s="1"/>
  <c r="C101" i="16" s="1"/>
  <c r="D38" i="16"/>
  <c r="D68" i="16" s="1"/>
  <c r="D101" i="16" s="1"/>
  <c r="E38" i="16"/>
  <c r="E68" i="16" s="1"/>
  <c r="E101" i="16" s="1"/>
  <c r="G38" i="16"/>
  <c r="G68" i="16" s="1"/>
  <c r="H38" i="16"/>
  <c r="H68" i="16" s="1"/>
  <c r="I38" i="16"/>
  <c r="I68" i="16" s="1"/>
  <c r="C39" i="16"/>
  <c r="C69" i="16" s="1"/>
  <c r="C102" i="16" s="1"/>
  <c r="D39" i="16"/>
  <c r="D69" i="16" s="1"/>
  <c r="D102" i="16" s="1"/>
  <c r="E39" i="16"/>
  <c r="E69" i="16" s="1"/>
  <c r="E102" i="16" s="1"/>
  <c r="G39" i="16"/>
  <c r="G69" i="16" s="1"/>
  <c r="H39" i="16"/>
  <c r="H69" i="16" s="1"/>
  <c r="I39" i="16"/>
  <c r="I69" i="16" s="1"/>
  <c r="C40" i="16"/>
  <c r="C70" i="16" s="1"/>
  <c r="C103" i="16" s="1"/>
  <c r="D40" i="16"/>
  <c r="D70" i="16" s="1"/>
  <c r="D103" i="16" s="1"/>
  <c r="E40" i="16"/>
  <c r="E70" i="16" s="1"/>
  <c r="E103" i="16" s="1"/>
  <c r="G40" i="16"/>
  <c r="G70" i="16" s="1"/>
  <c r="H40" i="16"/>
  <c r="H70" i="16" s="1"/>
  <c r="I40" i="16"/>
  <c r="I70" i="16" s="1"/>
  <c r="C41" i="16"/>
  <c r="C71" i="16" s="1"/>
  <c r="C104" i="16" s="1"/>
  <c r="D41" i="16"/>
  <c r="D71" i="16" s="1"/>
  <c r="D104" i="16" s="1"/>
  <c r="E41" i="16"/>
  <c r="E71" i="16" s="1"/>
  <c r="E104" i="16" s="1"/>
  <c r="G41" i="16"/>
  <c r="G71" i="16" s="1"/>
  <c r="H41" i="16"/>
  <c r="H71" i="16" s="1"/>
  <c r="I41" i="16"/>
  <c r="I71" i="16" s="1"/>
  <c r="C42" i="16"/>
  <c r="C72" i="16" s="1"/>
  <c r="C105" i="16" s="1"/>
  <c r="D42" i="16"/>
  <c r="D72" i="16" s="1"/>
  <c r="D105" i="16" s="1"/>
  <c r="E42" i="16"/>
  <c r="E72" i="16" s="1"/>
  <c r="E105" i="16" s="1"/>
  <c r="G42" i="16"/>
  <c r="G72" i="16" s="1"/>
  <c r="H42" i="16"/>
  <c r="H72" i="16" s="1"/>
  <c r="I42" i="16"/>
  <c r="I72" i="16" s="1"/>
  <c r="C43" i="16"/>
  <c r="C73" i="16" s="1"/>
  <c r="C106" i="16" s="1"/>
  <c r="D43" i="16"/>
  <c r="D73" i="16" s="1"/>
  <c r="D106" i="16" s="1"/>
  <c r="E43" i="16"/>
  <c r="E73" i="16" s="1"/>
  <c r="E106" i="16" s="1"/>
  <c r="G43" i="16"/>
  <c r="G73" i="16" s="1"/>
  <c r="H43" i="16"/>
  <c r="H73" i="16" s="1"/>
  <c r="I43" i="16"/>
  <c r="I73" i="16" s="1"/>
  <c r="C44" i="16"/>
  <c r="C74" i="16" s="1"/>
  <c r="C107" i="16" s="1"/>
  <c r="D44" i="16"/>
  <c r="D74" i="16" s="1"/>
  <c r="D107" i="16" s="1"/>
  <c r="E44" i="16"/>
  <c r="E74" i="16" s="1"/>
  <c r="E107" i="16" s="1"/>
  <c r="G44" i="16"/>
  <c r="G74" i="16" s="1"/>
  <c r="H44" i="16"/>
  <c r="H74" i="16" s="1"/>
  <c r="I44" i="16"/>
  <c r="I74" i="16" s="1"/>
  <c r="C45" i="16"/>
  <c r="C75" i="16" s="1"/>
  <c r="C108" i="16" s="1"/>
  <c r="D45" i="16"/>
  <c r="D75" i="16" s="1"/>
  <c r="D108" i="16" s="1"/>
  <c r="E45" i="16"/>
  <c r="E75" i="16" s="1"/>
  <c r="E108" i="16" s="1"/>
  <c r="G45" i="16"/>
  <c r="G75" i="16" s="1"/>
  <c r="H45" i="16"/>
  <c r="H75" i="16" s="1"/>
  <c r="I45" i="16"/>
  <c r="I75" i="16" s="1"/>
  <c r="C46" i="16"/>
  <c r="C76" i="16" s="1"/>
  <c r="C109" i="16" s="1"/>
  <c r="D46" i="16"/>
  <c r="D76" i="16" s="1"/>
  <c r="D109" i="16" s="1"/>
  <c r="E46" i="16"/>
  <c r="E76" i="16" s="1"/>
  <c r="E109" i="16" s="1"/>
  <c r="G46" i="16"/>
  <c r="G76" i="16" s="1"/>
  <c r="H46" i="16"/>
  <c r="H76" i="16" s="1"/>
  <c r="I46" i="16"/>
  <c r="I76" i="16" s="1"/>
  <c r="C47" i="16"/>
  <c r="C77" i="16" s="1"/>
  <c r="C110" i="16" s="1"/>
  <c r="D47" i="16"/>
  <c r="D77" i="16" s="1"/>
  <c r="D110" i="16" s="1"/>
  <c r="E47" i="16"/>
  <c r="E77" i="16" s="1"/>
  <c r="E110" i="16" s="1"/>
  <c r="G47" i="16"/>
  <c r="G77" i="16" s="1"/>
  <c r="H47" i="16"/>
  <c r="H77" i="16" s="1"/>
  <c r="I47" i="16"/>
  <c r="I77" i="16" s="1"/>
  <c r="C48" i="16"/>
  <c r="C78" i="16" s="1"/>
  <c r="C111" i="16" s="1"/>
  <c r="D48" i="16"/>
  <c r="D78" i="16" s="1"/>
  <c r="D111" i="16" s="1"/>
  <c r="E48" i="16"/>
  <c r="E78" i="16" s="1"/>
  <c r="E111" i="16" s="1"/>
  <c r="G48" i="16"/>
  <c r="G78" i="16" s="1"/>
  <c r="H48" i="16"/>
  <c r="H78" i="16" s="1"/>
  <c r="I48" i="16"/>
  <c r="I78" i="16" s="1"/>
  <c r="C49" i="16"/>
  <c r="C79" i="16" s="1"/>
  <c r="C112" i="16" s="1"/>
  <c r="D49" i="16"/>
  <c r="D79" i="16" s="1"/>
  <c r="D112" i="16" s="1"/>
  <c r="E49" i="16"/>
  <c r="E79" i="16" s="1"/>
  <c r="E112" i="16" s="1"/>
  <c r="G49" i="16"/>
  <c r="G79" i="16" s="1"/>
  <c r="H49" i="16"/>
  <c r="H79" i="16" s="1"/>
  <c r="I49" i="16"/>
  <c r="I79" i="16" s="1"/>
  <c r="C50" i="16"/>
  <c r="C80" i="16" s="1"/>
  <c r="C113" i="16" s="1"/>
  <c r="D50" i="16"/>
  <c r="D80" i="16" s="1"/>
  <c r="D113" i="16" s="1"/>
  <c r="E50" i="16"/>
  <c r="E80" i="16" s="1"/>
  <c r="E113" i="16" s="1"/>
  <c r="G50" i="16"/>
  <c r="G80" i="16" s="1"/>
  <c r="H50" i="16"/>
  <c r="H80" i="16" s="1"/>
  <c r="I50" i="16"/>
  <c r="I80" i="16" s="1"/>
  <c r="C51" i="16"/>
  <c r="C81" i="16" s="1"/>
  <c r="C114" i="16" s="1"/>
  <c r="D51" i="16"/>
  <c r="D81" i="16" s="1"/>
  <c r="D114" i="16" s="1"/>
  <c r="E51" i="16"/>
  <c r="E81" i="16" s="1"/>
  <c r="E114" i="16" s="1"/>
  <c r="G51" i="16"/>
  <c r="G81" i="16" s="1"/>
  <c r="H51" i="16"/>
  <c r="H81" i="16" s="1"/>
  <c r="I51" i="16"/>
  <c r="I81" i="16" s="1"/>
  <c r="C52" i="16"/>
  <c r="C82" i="16" s="1"/>
  <c r="C115" i="16" s="1"/>
  <c r="D52" i="16"/>
  <c r="D82" i="16" s="1"/>
  <c r="D115" i="16" s="1"/>
  <c r="E52" i="16"/>
  <c r="E82" i="16" s="1"/>
  <c r="E115" i="16" s="1"/>
  <c r="G52" i="16"/>
  <c r="G82" i="16" s="1"/>
  <c r="H52" i="16"/>
  <c r="H82" i="16" s="1"/>
  <c r="I52" i="16"/>
  <c r="I82" i="16" s="1"/>
  <c r="C53" i="16"/>
  <c r="D53" i="16"/>
  <c r="E53" i="16"/>
  <c r="G53" i="16"/>
  <c r="H53" i="16"/>
  <c r="I53" i="16"/>
  <c r="D30" i="16"/>
  <c r="E30" i="16"/>
  <c r="C30" i="16"/>
  <c r="K2" i="16"/>
  <c r="K1" i="16"/>
  <c r="N110" i="29"/>
  <c r="C208" i="29" s="1"/>
  <c r="N111" i="29"/>
  <c r="C209" i="29" s="1"/>
  <c r="N112" i="29"/>
  <c r="C210" i="29" s="1"/>
  <c r="N113" i="29"/>
  <c r="C211" i="29" s="1"/>
  <c r="N114" i="29"/>
  <c r="C212" i="29" s="1"/>
  <c r="N115" i="29"/>
  <c r="C213" i="29" s="1"/>
  <c r="N116" i="29"/>
  <c r="C214" i="29" s="1"/>
  <c r="N117" i="29"/>
  <c r="C215" i="29" s="1"/>
  <c r="N118" i="29"/>
  <c r="C216" i="29" s="1"/>
  <c r="N119" i="29"/>
  <c r="C217" i="29" s="1"/>
  <c r="C34" i="29"/>
  <c r="D34" i="29"/>
  <c r="D64" i="29" s="1"/>
  <c r="D97" i="29" s="1"/>
  <c r="E34" i="29"/>
  <c r="E64" i="29" s="1"/>
  <c r="E97" i="29" s="1"/>
  <c r="G64" i="29"/>
  <c r="H64" i="29"/>
  <c r="I64" i="29"/>
  <c r="C35" i="29"/>
  <c r="D35" i="29"/>
  <c r="D65" i="29" s="1"/>
  <c r="D98" i="29" s="1"/>
  <c r="E35" i="29"/>
  <c r="E65" i="29" s="1"/>
  <c r="E98" i="29" s="1"/>
  <c r="G65" i="29"/>
  <c r="H65" i="29"/>
  <c r="I65" i="29"/>
  <c r="C36" i="29"/>
  <c r="D36" i="29"/>
  <c r="D66" i="29" s="1"/>
  <c r="D99" i="29" s="1"/>
  <c r="E36" i="29"/>
  <c r="E66" i="29" s="1"/>
  <c r="E99" i="29" s="1"/>
  <c r="G66" i="29"/>
  <c r="H66" i="29"/>
  <c r="I66" i="29"/>
  <c r="C37" i="29"/>
  <c r="D37" i="29"/>
  <c r="D67" i="29" s="1"/>
  <c r="D100" i="29" s="1"/>
  <c r="E37" i="29"/>
  <c r="E67" i="29" s="1"/>
  <c r="E100" i="29" s="1"/>
  <c r="G67" i="29"/>
  <c r="H67" i="29"/>
  <c r="I67" i="29"/>
  <c r="C38" i="29"/>
  <c r="D38" i="29"/>
  <c r="D68" i="29" s="1"/>
  <c r="D101" i="29" s="1"/>
  <c r="E38" i="29"/>
  <c r="E68" i="29" s="1"/>
  <c r="E101" i="29" s="1"/>
  <c r="G68" i="29"/>
  <c r="H68" i="29"/>
  <c r="I68" i="29"/>
  <c r="C39" i="29"/>
  <c r="D39" i="29"/>
  <c r="D69" i="29" s="1"/>
  <c r="D102" i="29" s="1"/>
  <c r="E39" i="29"/>
  <c r="E69" i="29" s="1"/>
  <c r="E102" i="29" s="1"/>
  <c r="G69" i="29"/>
  <c r="H69" i="29"/>
  <c r="I69" i="29"/>
  <c r="C40" i="29"/>
  <c r="D40" i="29"/>
  <c r="D70" i="29" s="1"/>
  <c r="D103" i="29" s="1"/>
  <c r="E40" i="29"/>
  <c r="E70" i="29" s="1"/>
  <c r="E103" i="29" s="1"/>
  <c r="G70" i="29"/>
  <c r="H70" i="29"/>
  <c r="I70" i="29"/>
  <c r="C41" i="29"/>
  <c r="D41" i="29"/>
  <c r="D71" i="29" s="1"/>
  <c r="D104" i="29" s="1"/>
  <c r="E41" i="29"/>
  <c r="E71" i="29" s="1"/>
  <c r="E104" i="29" s="1"/>
  <c r="G71" i="29"/>
  <c r="H71" i="29"/>
  <c r="I71" i="29"/>
  <c r="C42" i="29"/>
  <c r="D42" i="29"/>
  <c r="D72" i="29" s="1"/>
  <c r="D105" i="29" s="1"/>
  <c r="E42" i="29"/>
  <c r="E72" i="29" s="1"/>
  <c r="E105" i="29" s="1"/>
  <c r="G72" i="29"/>
  <c r="H72" i="29"/>
  <c r="I72" i="29"/>
  <c r="C43" i="29"/>
  <c r="D43" i="29"/>
  <c r="D73" i="29" s="1"/>
  <c r="D106" i="29" s="1"/>
  <c r="E43" i="29"/>
  <c r="E73" i="29" s="1"/>
  <c r="E106" i="29" s="1"/>
  <c r="G73" i="29"/>
  <c r="H73" i="29"/>
  <c r="I73" i="29"/>
  <c r="C44" i="29"/>
  <c r="D44" i="29"/>
  <c r="D74" i="29" s="1"/>
  <c r="D107" i="29" s="1"/>
  <c r="E44" i="29"/>
  <c r="E74" i="29" s="1"/>
  <c r="E107" i="29" s="1"/>
  <c r="G74" i="29"/>
  <c r="H74" i="29"/>
  <c r="I74" i="29"/>
  <c r="C45" i="29"/>
  <c r="D45" i="29"/>
  <c r="D75" i="29" s="1"/>
  <c r="D108" i="29" s="1"/>
  <c r="E45" i="29"/>
  <c r="E75" i="29" s="1"/>
  <c r="E108" i="29" s="1"/>
  <c r="G75" i="29"/>
  <c r="H75" i="29"/>
  <c r="I75" i="29"/>
  <c r="C46" i="29"/>
  <c r="D46" i="29"/>
  <c r="D76" i="29" s="1"/>
  <c r="D109" i="29" s="1"/>
  <c r="E46" i="29"/>
  <c r="E76" i="29" s="1"/>
  <c r="E109" i="29" s="1"/>
  <c r="C47" i="29"/>
  <c r="D47" i="29"/>
  <c r="D77" i="29" s="1"/>
  <c r="D110" i="29" s="1"/>
  <c r="E47" i="29"/>
  <c r="E77" i="29" s="1"/>
  <c r="E110" i="29" s="1"/>
  <c r="G77" i="29"/>
  <c r="H77" i="29"/>
  <c r="I77" i="29"/>
  <c r="C48" i="29"/>
  <c r="D48" i="29"/>
  <c r="D78" i="29" s="1"/>
  <c r="D111" i="29" s="1"/>
  <c r="E48" i="29"/>
  <c r="E78" i="29" s="1"/>
  <c r="E111" i="29" s="1"/>
  <c r="G78" i="29"/>
  <c r="H78" i="29"/>
  <c r="I78" i="29"/>
  <c r="C49" i="29"/>
  <c r="D49" i="29"/>
  <c r="D79" i="29" s="1"/>
  <c r="D112" i="29" s="1"/>
  <c r="E49" i="29"/>
  <c r="E79" i="29" s="1"/>
  <c r="E112" i="29" s="1"/>
  <c r="G79" i="29"/>
  <c r="H79" i="29"/>
  <c r="I79" i="29"/>
  <c r="C50" i="29"/>
  <c r="D50" i="29"/>
  <c r="D80" i="29" s="1"/>
  <c r="D113" i="29" s="1"/>
  <c r="E50" i="29"/>
  <c r="E80" i="29" s="1"/>
  <c r="E113" i="29" s="1"/>
  <c r="G80" i="29"/>
  <c r="H80" i="29"/>
  <c r="I80" i="29"/>
  <c r="C51" i="29"/>
  <c r="D51" i="29"/>
  <c r="D81" i="29" s="1"/>
  <c r="D114" i="29" s="1"/>
  <c r="E51" i="29"/>
  <c r="E81" i="29" s="1"/>
  <c r="E114" i="29" s="1"/>
  <c r="G81" i="29"/>
  <c r="H81" i="29"/>
  <c r="I81" i="29"/>
  <c r="C52" i="29"/>
  <c r="D52" i="29"/>
  <c r="D82" i="29" s="1"/>
  <c r="D115" i="29" s="1"/>
  <c r="E52" i="29"/>
  <c r="E82" i="29" s="1"/>
  <c r="E115" i="29" s="1"/>
  <c r="G82" i="29"/>
  <c r="H82" i="29"/>
  <c r="I82" i="29"/>
  <c r="C53" i="29"/>
  <c r="D53" i="29"/>
  <c r="D83" i="29" s="1"/>
  <c r="D116" i="29" s="1"/>
  <c r="E53" i="29"/>
  <c r="E83" i="29" s="1"/>
  <c r="E116" i="29" s="1"/>
  <c r="G83" i="29"/>
  <c r="H83" i="29"/>
  <c r="I83" i="29"/>
  <c r="C54" i="29"/>
  <c r="D54" i="29"/>
  <c r="D84" i="29" s="1"/>
  <c r="D117" i="29" s="1"/>
  <c r="E54" i="29"/>
  <c r="E84" i="29" s="1"/>
  <c r="E117" i="29" s="1"/>
  <c r="G84" i="29"/>
  <c r="H84" i="29"/>
  <c r="I84" i="29"/>
  <c r="C55" i="29"/>
  <c r="D55" i="29"/>
  <c r="D85" i="29" s="1"/>
  <c r="D118" i="29" s="1"/>
  <c r="E55" i="29"/>
  <c r="E85" i="29" s="1"/>
  <c r="E118" i="29" s="1"/>
  <c r="G85" i="29"/>
  <c r="H85" i="29"/>
  <c r="I85" i="29"/>
  <c r="C56" i="29"/>
  <c r="D56" i="29"/>
  <c r="D86" i="29" s="1"/>
  <c r="D119" i="29" s="1"/>
  <c r="E56" i="29"/>
  <c r="E86" i="29" s="1"/>
  <c r="E119" i="29" s="1"/>
  <c r="G86" i="29"/>
  <c r="H86" i="29"/>
  <c r="I86" i="29"/>
  <c r="D33" i="29"/>
  <c r="E33" i="29"/>
  <c r="C33" i="29"/>
  <c r="K1" i="29"/>
  <c r="D14" i="29"/>
  <c r="C214" i="43"/>
  <c r="N109" i="43"/>
  <c r="C207" i="43" s="1"/>
  <c r="N110" i="43"/>
  <c r="C208" i="43" s="1"/>
  <c r="N111" i="43"/>
  <c r="C209" i="43" s="1"/>
  <c r="N112" i="43"/>
  <c r="C210" i="43" s="1"/>
  <c r="N113" i="43"/>
  <c r="C211" i="43" s="1"/>
  <c r="N114" i="43"/>
  <c r="C212" i="43" s="1"/>
  <c r="N115" i="43"/>
  <c r="C213" i="43" s="1"/>
  <c r="N116" i="43"/>
  <c r="N117" i="43"/>
  <c r="C215" i="43" s="1"/>
  <c r="N118" i="43"/>
  <c r="C216" i="43" s="1"/>
  <c r="C33" i="43"/>
  <c r="C63" i="43" s="1"/>
  <c r="C96" i="43" s="1"/>
  <c r="D33" i="43"/>
  <c r="D63" i="43" s="1"/>
  <c r="D96" i="43" s="1"/>
  <c r="E33" i="43"/>
  <c r="E63" i="43" s="1"/>
  <c r="E96" i="43" s="1"/>
  <c r="G33" i="43"/>
  <c r="G63" i="43" s="1"/>
  <c r="H33" i="43"/>
  <c r="H63" i="43" s="1"/>
  <c r="I33" i="43"/>
  <c r="I63" i="43" s="1"/>
  <c r="C34" i="43"/>
  <c r="C64" i="43" s="1"/>
  <c r="C97" i="43" s="1"/>
  <c r="D34" i="43"/>
  <c r="D64" i="43" s="1"/>
  <c r="D97" i="43" s="1"/>
  <c r="E34" i="43"/>
  <c r="E64" i="43" s="1"/>
  <c r="E97" i="43" s="1"/>
  <c r="G34" i="43"/>
  <c r="G64" i="43" s="1"/>
  <c r="H34" i="43"/>
  <c r="H64" i="43" s="1"/>
  <c r="I34" i="43"/>
  <c r="I64" i="43" s="1"/>
  <c r="C35" i="43"/>
  <c r="C65" i="43" s="1"/>
  <c r="C98" i="43" s="1"/>
  <c r="D35" i="43"/>
  <c r="D65" i="43" s="1"/>
  <c r="D98" i="43" s="1"/>
  <c r="E35" i="43"/>
  <c r="E65" i="43" s="1"/>
  <c r="E98" i="43" s="1"/>
  <c r="G35" i="43"/>
  <c r="G65" i="43" s="1"/>
  <c r="H35" i="43"/>
  <c r="H65" i="43" s="1"/>
  <c r="I35" i="43"/>
  <c r="I65" i="43" s="1"/>
  <c r="C36" i="43"/>
  <c r="C66" i="43" s="1"/>
  <c r="C99" i="43" s="1"/>
  <c r="D36" i="43"/>
  <c r="D66" i="43" s="1"/>
  <c r="D99" i="43" s="1"/>
  <c r="E36" i="43"/>
  <c r="E66" i="43" s="1"/>
  <c r="E99" i="43" s="1"/>
  <c r="G36" i="43"/>
  <c r="G66" i="43" s="1"/>
  <c r="H36" i="43"/>
  <c r="H66" i="43" s="1"/>
  <c r="I36" i="43"/>
  <c r="I66" i="43" s="1"/>
  <c r="C37" i="43"/>
  <c r="C67" i="43" s="1"/>
  <c r="C100" i="43" s="1"/>
  <c r="D37" i="43"/>
  <c r="D67" i="43" s="1"/>
  <c r="D100" i="43" s="1"/>
  <c r="E37" i="43"/>
  <c r="E67" i="43" s="1"/>
  <c r="E100" i="43" s="1"/>
  <c r="G37" i="43"/>
  <c r="G67" i="43" s="1"/>
  <c r="H37" i="43"/>
  <c r="H67" i="43" s="1"/>
  <c r="I37" i="43"/>
  <c r="I67" i="43" s="1"/>
  <c r="C38" i="43"/>
  <c r="C68" i="43" s="1"/>
  <c r="C101" i="43" s="1"/>
  <c r="D38" i="43"/>
  <c r="D68" i="43" s="1"/>
  <c r="D101" i="43" s="1"/>
  <c r="E38" i="43"/>
  <c r="E68" i="43" s="1"/>
  <c r="E101" i="43" s="1"/>
  <c r="G38" i="43"/>
  <c r="G68" i="43" s="1"/>
  <c r="H38" i="43"/>
  <c r="H68" i="43" s="1"/>
  <c r="I38" i="43"/>
  <c r="I68" i="43" s="1"/>
  <c r="C39" i="43"/>
  <c r="C69" i="43" s="1"/>
  <c r="C102" i="43" s="1"/>
  <c r="D39" i="43"/>
  <c r="D69" i="43" s="1"/>
  <c r="D102" i="43" s="1"/>
  <c r="E39" i="43"/>
  <c r="E69" i="43" s="1"/>
  <c r="E102" i="43" s="1"/>
  <c r="G39" i="43"/>
  <c r="G69" i="43" s="1"/>
  <c r="H39" i="43"/>
  <c r="H69" i="43" s="1"/>
  <c r="I39" i="43"/>
  <c r="I69" i="43" s="1"/>
  <c r="C40" i="43"/>
  <c r="C70" i="43" s="1"/>
  <c r="C103" i="43" s="1"/>
  <c r="D40" i="43"/>
  <c r="D70" i="43" s="1"/>
  <c r="D103" i="43" s="1"/>
  <c r="E40" i="43"/>
  <c r="E70" i="43" s="1"/>
  <c r="E103" i="43" s="1"/>
  <c r="G40" i="43"/>
  <c r="G70" i="43" s="1"/>
  <c r="H40" i="43"/>
  <c r="H70" i="43" s="1"/>
  <c r="I40" i="43"/>
  <c r="I70" i="43" s="1"/>
  <c r="C41" i="43"/>
  <c r="C71" i="43" s="1"/>
  <c r="C104" i="43" s="1"/>
  <c r="D41" i="43"/>
  <c r="D71" i="43" s="1"/>
  <c r="D104" i="43" s="1"/>
  <c r="E41" i="43"/>
  <c r="E71" i="43" s="1"/>
  <c r="E104" i="43" s="1"/>
  <c r="G41" i="43"/>
  <c r="G71" i="43" s="1"/>
  <c r="H41" i="43"/>
  <c r="H71" i="43" s="1"/>
  <c r="I41" i="43"/>
  <c r="I71" i="43" s="1"/>
  <c r="C42" i="43"/>
  <c r="C72" i="43" s="1"/>
  <c r="C105" i="43" s="1"/>
  <c r="D42" i="43"/>
  <c r="D72" i="43" s="1"/>
  <c r="D105" i="43" s="1"/>
  <c r="E42" i="43"/>
  <c r="E72" i="43" s="1"/>
  <c r="E105" i="43" s="1"/>
  <c r="G42" i="43"/>
  <c r="G72" i="43" s="1"/>
  <c r="H42" i="43"/>
  <c r="H72" i="43" s="1"/>
  <c r="I42" i="43"/>
  <c r="I72" i="43" s="1"/>
  <c r="C43" i="43"/>
  <c r="C73" i="43" s="1"/>
  <c r="C106" i="43" s="1"/>
  <c r="D43" i="43"/>
  <c r="D73" i="43" s="1"/>
  <c r="D106" i="43" s="1"/>
  <c r="E43" i="43"/>
  <c r="E73" i="43" s="1"/>
  <c r="E106" i="43" s="1"/>
  <c r="G43" i="43"/>
  <c r="G73" i="43" s="1"/>
  <c r="H43" i="43"/>
  <c r="H73" i="43" s="1"/>
  <c r="I43" i="43"/>
  <c r="I73" i="43" s="1"/>
  <c r="C44" i="43"/>
  <c r="D44" i="43"/>
  <c r="D74" i="43" s="1"/>
  <c r="D107" i="43" s="1"/>
  <c r="E44" i="43"/>
  <c r="E74" i="43" s="1"/>
  <c r="E107" i="43" s="1"/>
  <c r="G44" i="43"/>
  <c r="G74" i="43" s="1"/>
  <c r="H44" i="43"/>
  <c r="H74" i="43" s="1"/>
  <c r="I44" i="43"/>
  <c r="I74" i="43" s="1"/>
  <c r="C45" i="43"/>
  <c r="C75" i="43" s="1"/>
  <c r="C108" i="43" s="1"/>
  <c r="D45" i="43"/>
  <c r="D75" i="43" s="1"/>
  <c r="D108" i="43" s="1"/>
  <c r="E45" i="43"/>
  <c r="E75" i="43" s="1"/>
  <c r="E108" i="43" s="1"/>
  <c r="G45" i="43"/>
  <c r="G75" i="43" s="1"/>
  <c r="H45" i="43"/>
  <c r="I45" i="43"/>
  <c r="I75" i="43" s="1"/>
  <c r="C46" i="43"/>
  <c r="C76" i="43" s="1"/>
  <c r="C109" i="43" s="1"/>
  <c r="D46" i="43"/>
  <c r="D76" i="43" s="1"/>
  <c r="D109" i="43" s="1"/>
  <c r="E46" i="43"/>
  <c r="E76" i="43" s="1"/>
  <c r="E109" i="43" s="1"/>
  <c r="G46" i="43"/>
  <c r="G76" i="43" s="1"/>
  <c r="H46" i="43"/>
  <c r="H76" i="43" s="1"/>
  <c r="I46" i="43"/>
  <c r="I76" i="43" s="1"/>
  <c r="C47" i="43"/>
  <c r="C77" i="43" s="1"/>
  <c r="C110" i="43" s="1"/>
  <c r="D47" i="43"/>
  <c r="D77" i="43" s="1"/>
  <c r="D110" i="43" s="1"/>
  <c r="E47" i="43"/>
  <c r="E77" i="43" s="1"/>
  <c r="E110" i="43" s="1"/>
  <c r="G47" i="43"/>
  <c r="G77" i="43" s="1"/>
  <c r="H47" i="43"/>
  <c r="H77" i="43" s="1"/>
  <c r="I47" i="43"/>
  <c r="I77" i="43" s="1"/>
  <c r="C48" i="43"/>
  <c r="C78" i="43" s="1"/>
  <c r="C111" i="43" s="1"/>
  <c r="D48" i="43"/>
  <c r="D78" i="43" s="1"/>
  <c r="D111" i="43" s="1"/>
  <c r="E48" i="43"/>
  <c r="E78" i="43" s="1"/>
  <c r="E111" i="43" s="1"/>
  <c r="G48" i="43"/>
  <c r="G78" i="43" s="1"/>
  <c r="H48" i="43"/>
  <c r="H78" i="43" s="1"/>
  <c r="I48" i="43"/>
  <c r="I78" i="43" s="1"/>
  <c r="C49" i="43"/>
  <c r="C79" i="43" s="1"/>
  <c r="C112" i="43" s="1"/>
  <c r="D49" i="43"/>
  <c r="D79" i="43" s="1"/>
  <c r="D112" i="43" s="1"/>
  <c r="E49" i="43"/>
  <c r="E79" i="43" s="1"/>
  <c r="E112" i="43" s="1"/>
  <c r="G49" i="43"/>
  <c r="G79" i="43" s="1"/>
  <c r="H49" i="43"/>
  <c r="H79" i="43" s="1"/>
  <c r="I49" i="43"/>
  <c r="I79" i="43" s="1"/>
  <c r="C50" i="43"/>
  <c r="C80" i="43" s="1"/>
  <c r="C113" i="43" s="1"/>
  <c r="D50" i="43"/>
  <c r="D80" i="43" s="1"/>
  <c r="D113" i="43" s="1"/>
  <c r="E50" i="43"/>
  <c r="E80" i="43" s="1"/>
  <c r="E113" i="43" s="1"/>
  <c r="G50" i="43"/>
  <c r="G80" i="43" s="1"/>
  <c r="H50" i="43"/>
  <c r="H80" i="43" s="1"/>
  <c r="I50" i="43"/>
  <c r="I80" i="43" s="1"/>
  <c r="C51" i="43"/>
  <c r="C81" i="43" s="1"/>
  <c r="C114" i="43" s="1"/>
  <c r="D51" i="43"/>
  <c r="D81" i="43" s="1"/>
  <c r="D114" i="43" s="1"/>
  <c r="E51" i="43"/>
  <c r="E81" i="43" s="1"/>
  <c r="E114" i="43" s="1"/>
  <c r="G51" i="43"/>
  <c r="G81" i="43" s="1"/>
  <c r="H51" i="43"/>
  <c r="H81" i="43" s="1"/>
  <c r="I51" i="43"/>
  <c r="I81" i="43" s="1"/>
  <c r="C52" i="43"/>
  <c r="C82" i="43" s="1"/>
  <c r="C115" i="43" s="1"/>
  <c r="D52" i="43"/>
  <c r="D82" i="43" s="1"/>
  <c r="D115" i="43" s="1"/>
  <c r="E52" i="43"/>
  <c r="E82" i="43" s="1"/>
  <c r="E115" i="43" s="1"/>
  <c r="G52" i="43"/>
  <c r="G82" i="43" s="1"/>
  <c r="H52" i="43"/>
  <c r="H82" i="43" s="1"/>
  <c r="I52" i="43"/>
  <c r="I82" i="43" s="1"/>
  <c r="C53" i="43"/>
  <c r="C83" i="43" s="1"/>
  <c r="C116" i="43" s="1"/>
  <c r="D53" i="43"/>
  <c r="D83" i="43" s="1"/>
  <c r="D116" i="43" s="1"/>
  <c r="E53" i="43"/>
  <c r="E83" i="43" s="1"/>
  <c r="E116" i="43" s="1"/>
  <c r="G53" i="43"/>
  <c r="G83" i="43" s="1"/>
  <c r="H53" i="43"/>
  <c r="H83" i="43" s="1"/>
  <c r="I53" i="43"/>
  <c r="I83" i="43" s="1"/>
  <c r="C54" i="43"/>
  <c r="C84" i="43" s="1"/>
  <c r="C117" i="43" s="1"/>
  <c r="D54" i="43"/>
  <c r="D84" i="43" s="1"/>
  <c r="D117" i="43" s="1"/>
  <c r="E54" i="43"/>
  <c r="E84" i="43" s="1"/>
  <c r="E117" i="43" s="1"/>
  <c r="G54" i="43"/>
  <c r="G84" i="43" s="1"/>
  <c r="H54" i="43"/>
  <c r="H84" i="43" s="1"/>
  <c r="I54" i="43"/>
  <c r="I84" i="43" s="1"/>
  <c r="C55" i="43"/>
  <c r="C85" i="43" s="1"/>
  <c r="C118" i="43" s="1"/>
  <c r="D55" i="43"/>
  <c r="D85" i="43" s="1"/>
  <c r="D118" i="43" s="1"/>
  <c r="E55" i="43"/>
  <c r="E85" i="43" s="1"/>
  <c r="E118" i="43" s="1"/>
  <c r="G55" i="43"/>
  <c r="G85" i="43" s="1"/>
  <c r="H55" i="43"/>
  <c r="H85" i="43" s="1"/>
  <c r="I55" i="43"/>
  <c r="I85" i="43" s="1"/>
  <c r="D32" i="43"/>
  <c r="E32" i="43"/>
  <c r="C32" i="43"/>
  <c r="K1" i="43"/>
  <c r="E13" i="43"/>
  <c r="G13" i="43"/>
  <c r="I132" i="16" l="1"/>
  <c r="C66" i="29"/>
  <c r="C99" i="29" s="1"/>
  <c r="F99" i="29" s="1"/>
  <c r="C81" i="29"/>
  <c r="C114" i="29" s="1"/>
  <c r="F114" i="29" s="1"/>
  <c r="C77" i="29"/>
  <c r="C110" i="29" s="1"/>
  <c r="C75" i="29"/>
  <c r="C108" i="29" s="1"/>
  <c r="F108" i="29" s="1"/>
  <c r="C71" i="29"/>
  <c r="C104" i="29" s="1"/>
  <c r="F104" i="29" s="1"/>
  <c r="C82" i="29"/>
  <c r="C115" i="29" s="1"/>
  <c r="F115" i="29" s="1"/>
  <c r="C78" i="29"/>
  <c r="C111" i="29" s="1"/>
  <c r="F111" i="29" s="1"/>
  <c r="C76" i="29"/>
  <c r="C109" i="29" s="1"/>
  <c r="F109" i="29" s="1"/>
  <c r="C72" i="29"/>
  <c r="C105" i="29" s="1"/>
  <c r="C68" i="29"/>
  <c r="C101" i="29" s="1"/>
  <c r="F101" i="29" s="1"/>
  <c r="C64" i="29"/>
  <c r="C97" i="29" s="1"/>
  <c r="F97" i="29" s="1"/>
  <c r="C83" i="29"/>
  <c r="C116" i="29" s="1"/>
  <c r="F116" i="29" s="1"/>
  <c r="C79" i="29"/>
  <c r="C112" i="29" s="1"/>
  <c r="F112" i="29" s="1"/>
  <c r="C74" i="29"/>
  <c r="C107" i="29" s="1"/>
  <c r="F107" i="29" s="1"/>
  <c r="C85" i="29"/>
  <c r="C118" i="29" s="1"/>
  <c r="F118" i="29" s="1"/>
  <c r="C73" i="29"/>
  <c r="C106" i="29" s="1"/>
  <c r="F106" i="29" s="1"/>
  <c r="C69" i="29"/>
  <c r="C102" i="29" s="1"/>
  <c r="F102" i="29" s="1"/>
  <c r="C65" i="29"/>
  <c r="C98" i="29" s="1"/>
  <c r="F98" i="29" s="1"/>
  <c r="C70" i="29"/>
  <c r="C103" i="29" s="1"/>
  <c r="F103" i="29" s="1"/>
  <c r="C67" i="29"/>
  <c r="C100" i="29" s="1"/>
  <c r="F100" i="29" s="1"/>
  <c r="C86" i="29"/>
  <c r="C119" i="29" s="1"/>
  <c r="F119" i="29" s="1"/>
  <c r="C84" i="29"/>
  <c r="C117" i="29" s="1"/>
  <c r="F117" i="29" s="1"/>
  <c r="C80" i="29"/>
  <c r="C113" i="29" s="1"/>
  <c r="F113" i="29" s="1"/>
  <c r="R21" i="46"/>
  <c r="E21" i="53" s="1"/>
  <c r="R26" i="46"/>
  <c r="E26" i="53" s="1"/>
  <c r="R11" i="46"/>
  <c r="E11" i="53" s="1"/>
  <c r="R27" i="46"/>
  <c r="E27" i="53" s="1"/>
  <c r="R12" i="46"/>
  <c r="E12" i="53" s="1"/>
  <c r="R5" i="46"/>
  <c r="E5" i="53" s="1"/>
  <c r="R20" i="46"/>
  <c r="E20" i="53" s="1"/>
  <c r="R19" i="46"/>
  <c r="E19" i="53" s="1"/>
  <c r="R13" i="46"/>
  <c r="E13" i="53" s="1"/>
  <c r="R25" i="46"/>
  <c r="E25" i="53" s="1"/>
  <c r="R16" i="46"/>
  <c r="E16" i="53" s="1"/>
  <c r="R22" i="46"/>
  <c r="E22" i="53" s="1"/>
  <c r="R6" i="46"/>
  <c r="E6" i="53" s="1"/>
  <c r="R9" i="46"/>
  <c r="E9" i="53" s="1"/>
  <c r="R24" i="46"/>
  <c r="E24" i="53" s="1"/>
  <c r="R8" i="46"/>
  <c r="E8" i="53" s="1"/>
  <c r="R15" i="46"/>
  <c r="E15" i="53" s="1"/>
  <c r="R14" i="46"/>
  <c r="E14" i="53" s="1"/>
  <c r="F11" i="16"/>
  <c r="H205" i="16"/>
  <c r="H214" i="16"/>
  <c r="J214" i="16" s="1"/>
  <c r="H198" i="16"/>
  <c r="K198" i="16" s="1"/>
  <c r="F228" i="16" s="1"/>
  <c r="H210" i="16"/>
  <c r="J210" i="16" s="1"/>
  <c r="E240" i="16" s="1"/>
  <c r="H203" i="16"/>
  <c r="H197" i="16"/>
  <c r="K197" i="16" s="1"/>
  <c r="H195" i="16"/>
  <c r="H204" i="16"/>
  <c r="H215" i="16"/>
  <c r="J215" i="16" s="1"/>
  <c r="E245" i="16" s="1"/>
  <c r="H216" i="16"/>
  <c r="J216" i="16" s="1"/>
  <c r="H208" i="16"/>
  <c r="L208" i="16" s="1"/>
  <c r="G238" i="16" s="1"/>
  <c r="H196" i="16"/>
  <c r="H213" i="16"/>
  <c r="L213" i="16" s="1"/>
  <c r="G243" i="16" s="1"/>
  <c r="H200" i="16"/>
  <c r="L200" i="16" s="1"/>
  <c r="G230" i="16" s="1"/>
  <c r="H209" i="16"/>
  <c r="H201" i="16"/>
  <c r="K201" i="16" s="1"/>
  <c r="F231" i="16" s="1"/>
  <c r="H206" i="16"/>
  <c r="L206" i="16" s="1"/>
  <c r="G236" i="16" s="1"/>
  <c r="H207" i="16"/>
  <c r="L207" i="16" s="1"/>
  <c r="G237" i="16" s="1"/>
  <c r="H199" i="16"/>
  <c r="H212" i="16"/>
  <c r="L212" i="16" s="1"/>
  <c r="G242" i="16" s="1"/>
  <c r="H211" i="16"/>
  <c r="H202" i="16"/>
  <c r="J202" i="16" s="1"/>
  <c r="F100" i="16"/>
  <c r="F114" i="16"/>
  <c r="F99" i="16"/>
  <c r="F98" i="16"/>
  <c r="F108" i="16"/>
  <c r="F104" i="16"/>
  <c r="F101" i="16"/>
  <c r="F110" i="16"/>
  <c r="F111" i="16"/>
  <c r="F112" i="16"/>
  <c r="F96" i="16"/>
  <c r="F106" i="16"/>
  <c r="F107" i="16"/>
  <c r="F109" i="16"/>
  <c r="F102" i="16"/>
  <c r="F94" i="16"/>
  <c r="F95" i="16"/>
  <c r="F113" i="16"/>
  <c r="F115" i="16"/>
  <c r="F103" i="16"/>
  <c r="F97" i="16"/>
  <c r="F105" i="16"/>
  <c r="F68" i="16"/>
  <c r="F77" i="16"/>
  <c r="F69" i="16"/>
  <c r="F78" i="16"/>
  <c r="F76" i="16"/>
  <c r="J76" i="16"/>
  <c r="F61" i="16"/>
  <c r="F62" i="16"/>
  <c r="F70" i="16"/>
  <c r="J63" i="16"/>
  <c r="F63" i="16"/>
  <c r="F81" i="16"/>
  <c r="J74" i="16"/>
  <c r="J80" i="16"/>
  <c r="F80" i="16"/>
  <c r="J72" i="16"/>
  <c r="F72" i="16"/>
  <c r="J64" i="16"/>
  <c r="F64" i="16"/>
  <c r="F73" i="16"/>
  <c r="F65" i="16"/>
  <c r="J82" i="16"/>
  <c r="F82" i="16"/>
  <c r="J77" i="16"/>
  <c r="J69" i="16"/>
  <c r="F66" i="16"/>
  <c r="J78" i="16"/>
  <c r="J75" i="16"/>
  <c r="J70" i="16"/>
  <c r="J67" i="16"/>
  <c r="F31" i="16"/>
  <c r="J68" i="16"/>
  <c r="J71" i="16"/>
  <c r="I61" i="16"/>
  <c r="G61" i="16"/>
  <c r="F71" i="16"/>
  <c r="J79" i="16"/>
  <c r="J62" i="16"/>
  <c r="F79" i="16"/>
  <c r="J66" i="16"/>
  <c r="J81" i="16"/>
  <c r="J65" i="16"/>
  <c r="F75" i="16"/>
  <c r="F67" i="16"/>
  <c r="J73" i="16"/>
  <c r="F74" i="16"/>
  <c r="F35" i="16"/>
  <c r="F45" i="16"/>
  <c r="F47" i="16"/>
  <c r="J32" i="16"/>
  <c r="F37" i="16"/>
  <c r="F33" i="16"/>
  <c r="F43" i="16"/>
  <c r="F53" i="16"/>
  <c r="F49" i="16"/>
  <c r="F51" i="16"/>
  <c r="J46" i="16"/>
  <c r="J43" i="16"/>
  <c r="J38" i="16"/>
  <c r="F42" i="16"/>
  <c r="J42" i="16"/>
  <c r="F41" i="16"/>
  <c r="F44" i="16"/>
  <c r="J44" i="16"/>
  <c r="J39" i="16"/>
  <c r="J41" i="16"/>
  <c r="F40" i="16"/>
  <c r="J40" i="16"/>
  <c r="F39" i="16"/>
  <c r="J48" i="16"/>
  <c r="J53" i="16"/>
  <c r="J37" i="16"/>
  <c r="F52" i="16"/>
  <c r="F36" i="16"/>
  <c r="F50" i="16"/>
  <c r="F34" i="16"/>
  <c r="J52" i="16"/>
  <c r="F48" i="16"/>
  <c r="J47" i="16"/>
  <c r="J36" i="16"/>
  <c r="F32" i="16"/>
  <c r="J31" i="16"/>
  <c r="F38" i="16"/>
  <c r="J51" i="16"/>
  <c r="J35" i="16"/>
  <c r="J49" i="16"/>
  <c r="J33" i="16"/>
  <c r="J50" i="16"/>
  <c r="F46" i="16"/>
  <c r="J45" i="16"/>
  <c r="J34" i="16"/>
  <c r="F110" i="29"/>
  <c r="F83" i="29"/>
  <c r="J70" i="29"/>
  <c r="J77" i="29"/>
  <c r="J64" i="29"/>
  <c r="F64" i="29"/>
  <c r="F77" i="29"/>
  <c r="F51" i="29"/>
  <c r="F34" i="29"/>
  <c r="F43" i="29"/>
  <c r="F35" i="29"/>
  <c r="F53" i="29"/>
  <c r="F46" i="29"/>
  <c r="J37" i="29"/>
  <c r="F56" i="29"/>
  <c r="J53" i="29"/>
  <c r="F48" i="29"/>
  <c r="F41" i="29"/>
  <c r="F49" i="29"/>
  <c r="F50" i="29"/>
  <c r="J51" i="29"/>
  <c r="F47" i="29"/>
  <c r="F45" i="29"/>
  <c r="F44" i="29"/>
  <c r="F36" i="29"/>
  <c r="F42" i="29"/>
  <c r="F38" i="29"/>
  <c r="F52" i="29"/>
  <c r="J49" i="29"/>
  <c r="F39" i="29"/>
  <c r="F54" i="29"/>
  <c r="F40" i="29"/>
  <c r="J55" i="29"/>
  <c r="J39" i="29"/>
  <c r="J47" i="29"/>
  <c r="J52" i="29"/>
  <c r="J50" i="29"/>
  <c r="J45" i="29"/>
  <c r="J44" i="29"/>
  <c r="J35" i="29"/>
  <c r="J36" i="29"/>
  <c r="J43" i="29"/>
  <c r="J34" i="29"/>
  <c r="J42" i="29"/>
  <c r="J41" i="29"/>
  <c r="F37" i="29"/>
  <c r="J56" i="29"/>
  <c r="J48" i="29"/>
  <c r="J40" i="29"/>
  <c r="J54" i="29"/>
  <c r="J38" i="29"/>
  <c r="F55" i="29"/>
  <c r="F108" i="43"/>
  <c r="F100" i="43"/>
  <c r="F116" i="43"/>
  <c r="F106" i="43"/>
  <c r="F118" i="43"/>
  <c r="F114" i="43"/>
  <c r="F110" i="43"/>
  <c r="F98" i="43"/>
  <c r="F111" i="43"/>
  <c r="F103" i="43"/>
  <c r="F112" i="43"/>
  <c r="F104" i="43"/>
  <c r="F96" i="43"/>
  <c r="F102" i="43"/>
  <c r="F113" i="43"/>
  <c r="F105" i="43"/>
  <c r="F97" i="43"/>
  <c r="F115" i="43"/>
  <c r="F99" i="43"/>
  <c r="F117" i="43"/>
  <c r="F109" i="43"/>
  <c r="F101" i="43"/>
  <c r="F82" i="43"/>
  <c r="F66" i="43"/>
  <c r="F78" i="43"/>
  <c r="J72" i="43"/>
  <c r="F72" i="43"/>
  <c r="F80" i="43"/>
  <c r="F64" i="43"/>
  <c r="J64" i="43"/>
  <c r="F79" i="43"/>
  <c r="F71" i="43"/>
  <c r="J80" i="43"/>
  <c r="F63" i="43"/>
  <c r="J68" i="43"/>
  <c r="F73" i="43"/>
  <c r="F83" i="43"/>
  <c r="F75" i="43"/>
  <c r="F67" i="43"/>
  <c r="J84" i="43"/>
  <c r="J70" i="43"/>
  <c r="J69" i="43"/>
  <c r="J78" i="43"/>
  <c r="J81" i="43"/>
  <c r="J85" i="43"/>
  <c r="J77" i="43"/>
  <c r="F70" i="43"/>
  <c r="F81" i="43"/>
  <c r="J71" i="43"/>
  <c r="J63" i="43"/>
  <c r="J79" i="43"/>
  <c r="J73" i="43"/>
  <c r="J65" i="43"/>
  <c r="C74" i="43"/>
  <c r="C107" i="43" s="1"/>
  <c r="F44" i="43"/>
  <c r="J66" i="43"/>
  <c r="F65" i="43"/>
  <c r="J82" i="43"/>
  <c r="H75" i="43"/>
  <c r="J67" i="43"/>
  <c r="F85" i="43"/>
  <c r="F77" i="43"/>
  <c r="F69" i="43"/>
  <c r="J76" i="43"/>
  <c r="F84" i="43"/>
  <c r="F76" i="43"/>
  <c r="F68" i="43"/>
  <c r="J83" i="43"/>
  <c r="F42" i="43"/>
  <c r="F43" i="43"/>
  <c r="F45" i="43"/>
  <c r="F55" i="43"/>
  <c r="J33" i="43"/>
  <c r="J34" i="43"/>
  <c r="F35" i="43"/>
  <c r="F52" i="43"/>
  <c r="F48" i="43"/>
  <c r="F34" i="43"/>
  <c r="J36" i="43"/>
  <c r="F54" i="43"/>
  <c r="F46" i="43"/>
  <c r="F47" i="43"/>
  <c r="F53" i="43"/>
  <c r="F33" i="43"/>
  <c r="F49" i="43"/>
  <c r="J42" i="43"/>
  <c r="F50" i="43"/>
  <c r="F38" i="43"/>
  <c r="J41" i="43"/>
  <c r="J46" i="43"/>
  <c r="J45" i="43"/>
  <c r="F41" i="43"/>
  <c r="J38" i="43"/>
  <c r="J43" i="43"/>
  <c r="J37" i="43"/>
  <c r="J44" i="43"/>
  <c r="J39" i="43"/>
  <c r="J51" i="43"/>
  <c r="F36" i="43"/>
  <c r="J48" i="43"/>
  <c r="F39" i="43"/>
  <c r="F37" i="43"/>
  <c r="J40" i="43"/>
  <c r="J49" i="43"/>
  <c r="F40" i="43"/>
  <c r="F51" i="43"/>
  <c r="J35" i="43"/>
  <c r="J54" i="43"/>
  <c r="J53" i="43"/>
  <c r="J52" i="43"/>
  <c r="J55" i="43"/>
  <c r="J47" i="43"/>
  <c r="J50" i="43"/>
  <c r="J83" i="29" l="1"/>
  <c r="J75" i="29"/>
  <c r="J68" i="29"/>
  <c r="J69" i="29"/>
  <c r="J66" i="29"/>
  <c r="F81" i="29"/>
  <c r="J65" i="29"/>
  <c r="F68" i="29"/>
  <c r="J81" i="29"/>
  <c r="F65" i="29"/>
  <c r="F80" i="29"/>
  <c r="F74" i="29"/>
  <c r="J74" i="29"/>
  <c r="J84" i="29"/>
  <c r="J71" i="29"/>
  <c r="F84" i="29"/>
  <c r="J80" i="29"/>
  <c r="J82" i="29"/>
  <c r="F82" i="29"/>
  <c r="F85" i="29"/>
  <c r="J79" i="29"/>
  <c r="F69" i="29"/>
  <c r="F70" i="29"/>
  <c r="F76" i="29"/>
  <c r="F67" i="29"/>
  <c r="J73" i="29"/>
  <c r="F78" i="29"/>
  <c r="J86" i="29"/>
  <c r="J85" i="29"/>
  <c r="J67" i="29"/>
  <c r="F71" i="29"/>
  <c r="F72" i="29"/>
  <c r="F79" i="29"/>
  <c r="J72" i="29"/>
  <c r="F86" i="29"/>
  <c r="J78" i="29"/>
  <c r="F66" i="29"/>
  <c r="F75" i="29"/>
  <c r="F73" i="29"/>
  <c r="R17" i="46"/>
  <c r="E17" i="53" s="1"/>
  <c r="R7" i="46"/>
  <c r="E7" i="53" s="1"/>
  <c r="R23" i="46"/>
  <c r="E23" i="53" s="1"/>
  <c r="R10" i="46"/>
  <c r="E10" i="53" s="1"/>
  <c r="R18" i="46"/>
  <c r="E18" i="53" s="1"/>
  <c r="F227" i="16"/>
  <c r="L205" i="16"/>
  <c r="G235" i="16" s="1"/>
  <c r="E246" i="16"/>
  <c r="E232" i="16"/>
  <c r="E244" i="16"/>
  <c r="J205" i="16"/>
  <c r="K205" i="16"/>
  <c r="J207" i="16"/>
  <c r="K214" i="16"/>
  <c r="F244" i="16" s="1"/>
  <c r="K203" i="16"/>
  <c r="L203" i="16"/>
  <c r="G233" i="16" s="1"/>
  <c r="K199" i="16"/>
  <c r="F229" i="16" s="1"/>
  <c r="J198" i="16"/>
  <c r="K207" i="16"/>
  <c r="K208" i="16"/>
  <c r="K216" i="16"/>
  <c r="F246" i="16" s="1"/>
  <c r="J196" i="16"/>
  <c r="L216" i="16"/>
  <c r="G246" i="16" s="1"/>
  <c r="L198" i="16"/>
  <c r="J203" i="16"/>
  <c r="J212" i="16"/>
  <c r="L214" i="16"/>
  <c r="G244" i="16" s="1"/>
  <c r="L210" i="16"/>
  <c r="G240" i="16" s="1"/>
  <c r="J208" i="16"/>
  <c r="K212" i="16"/>
  <c r="F242" i="16" s="1"/>
  <c r="L197" i="16"/>
  <c r="G227" i="16" s="1"/>
  <c r="L211" i="16"/>
  <c r="G241" i="16" s="1"/>
  <c r="J199" i="16"/>
  <c r="K195" i="16"/>
  <c r="K200" i="16"/>
  <c r="F230" i="16" s="1"/>
  <c r="K210" i="16"/>
  <c r="F240" i="16" s="1"/>
  <c r="L199" i="16"/>
  <c r="G229" i="16" s="1"/>
  <c r="L196" i="16"/>
  <c r="G226" i="16" s="1"/>
  <c r="J195" i="16"/>
  <c r="E225" i="16" s="1"/>
  <c r="J204" i="16"/>
  <c r="J213" i="16"/>
  <c r="K196" i="16"/>
  <c r="F226" i="16" s="1"/>
  <c r="L204" i="16"/>
  <c r="G234" i="16" s="1"/>
  <c r="L195" i="16"/>
  <c r="G225" i="16" s="1"/>
  <c r="K204" i="16"/>
  <c r="F234" i="16" s="1"/>
  <c r="J197" i="16"/>
  <c r="K211" i="16"/>
  <c r="F241" i="16" s="1"/>
  <c r="J206" i="16"/>
  <c r="L201" i="16"/>
  <c r="G231" i="16" s="1"/>
  <c r="K202" i="16"/>
  <c r="L215" i="16"/>
  <c r="G245" i="16" s="1"/>
  <c r="J201" i="16"/>
  <c r="J200" i="16"/>
  <c r="K215" i="16"/>
  <c r="F245" i="16" s="1"/>
  <c r="K209" i="16"/>
  <c r="K213" i="16"/>
  <c r="F243" i="16" s="1"/>
  <c r="J209" i="16"/>
  <c r="J211" i="16"/>
  <c r="L209" i="16"/>
  <c r="G239" i="16" s="1"/>
  <c r="K206" i="16"/>
  <c r="F236" i="16" s="1"/>
  <c r="L202" i="16"/>
  <c r="J61" i="16"/>
  <c r="F105" i="29"/>
  <c r="F107" i="43"/>
  <c r="J75" i="43"/>
  <c r="J74" i="43"/>
  <c r="F74" i="43"/>
  <c r="M214" i="16" l="1"/>
  <c r="H244" i="16" s="1"/>
  <c r="M202" i="16"/>
  <c r="H232" i="16" s="1"/>
  <c r="M215" i="16"/>
  <c r="H245" i="16" s="1"/>
  <c r="M210" i="16"/>
  <c r="H240" i="16" s="1"/>
  <c r="M216" i="16"/>
  <c r="H246" i="16" s="1"/>
  <c r="M205" i="16"/>
  <c r="H235" i="16" s="1"/>
  <c r="F225" i="16"/>
  <c r="M211" i="16"/>
  <c r="H241" i="16" s="1"/>
  <c r="E241" i="16"/>
  <c r="M206" i="16"/>
  <c r="H236" i="16" s="1"/>
  <c r="E236" i="16"/>
  <c r="F238" i="16"/>
  <c r="M199" i="16"/>
  <c r="H229" i="16" s="1"/>
  <c r="E229" i="16"/>
  <c r="M200" i="16"/>
  <c r="H230" i="16" s="1"/>
  <c r="E230" i="16"/>
  <c r="G228" i="16"/>
  <c r="F237" i="16"/>
  <c r="E237" i="16"/>
  <c r="G232" i="16"/>
  <c r="F232" i="16"/>
  <c r="E228" i="16"/>
  <c r="F235" i="16"/>
  <c r="F239" i="16"/>
  <c r="M213" i="16"/>
  <c r="H243" i="16" s="1"/>
  <c r="E243" i="16"/>
  <c r="E234" i="16"/>
  <c r="F233" i="16"/>
  <c r="M209" i="16"/>
  <c r="H239" i="16" s="1"/>
  <c r="E239" i="16"/>
  <c r="M197" i="16"/>
  <c r="H227" i="16" s="1"/>
  <c r="E227" i="16"/>
  <c r="M212" i="16"/>
  <c r="H242" i="16" s="1"/>
  <c r="E242" i="16"/>
  <c r="M201" i="16"/>
  <c r="H231" i="16" s="1"/>
  <c r="E231" i="16"/>
  <c r="M203" i="16"/>
  <c r="H233" i="16" s="1"/>
  <c r="E233" i="16"/>
  <c r="M208" i="16"/>
  <c r="H238" i="16" s="1"/>
  <c r="E238" i="16"/>
  <c r="E226" i="16"/>
  <c r="E235" i="16"/>
  <c r="M207" i="16"/>
  <c r="H237" i="16" s="1"/>
  <c r="M198" i="16"/>
  <c r="H228" i="16" s="1"/>
  <c r="M196" i="16"/>
  <c r="H226" i="16" s="1"/>
  <c r="M204" i="16"/>
  <c r="H234" i="16" s="1"/>
  <c r="M195" i="16"/>
  <c r="H225" i="16" s="1"/>
  <c r="C13" i="47" l="1"/>
  <c r="C18" i="47" s="1"/>
  <c r="C10" i="47"/>
  <c r="C16" i="54"/>
  <c r="B14" i="54"/>
  <c r="D6" i="54"/>
  <c r="D4" i="54"/>
  <c r="D5" i="54" s="1"/>
  <c r="D8" i="54" s="1"/>
  <c r="D9" i="54" s="1"/>
  <c r="B15" i="54" s="1"/>
  <c r="D15" i="54" s="1"/>
  <c r="D3" i="54"/>
  <c r="D13" i="47" l="1"/>
  <c r="G51" i="46"/>
  <c r="T7" i="46" l="1"/>
  <c r="V8" i="46"/>
  <c r="W11" i="46"/>
  <c r="W12" i="46"/>
  <c r="W13" i="46"/>
  <c r="T16" i="46"/>
  <c r="T17" i="46"/>
  <c r="Y19" i="46"/>
  <c r="U20" i="46"/>
  <c r="V21" i="46"/>
  <c r="U24" i="46"/>
  <c r="W25" i="46"/>
  <c r="T27" i="46"/>
  <c r="U6" i="46"/>
  <c r="W23" i="46"/>
  <c r="Y8" i="46"/>
  <c r="U17" i="46"/>
  <c r="T8" i="46"/>
  <c r="U22" i="46"/>
  <c r="T20" i="46"/>
  <c r="Y27" i="46"/>
  <c r="Y6" i="46"/>
  <c r="V7" i="46"/>
  <c r="W8" i="46"/>
  <c r="S10" i="46"/>
  <c r="T11" i="46"/>
  <c r="Y12" i="46"/>
  <c r="X13" i="46"/>
  <c r="Y15" i="46"/>
  <c r="U16" i="46"/>
  <c r="T19" i="46"/>
  <c r="V20" i="46"/>
  <c r="T23" i="46"/>
  <c r="V24" i="46"/>
  <c r="U27" i="46"/>
  <c r="U7" i="46"/>
  <c r="Y9" i="46"/>
  <c r="V11" i="46"/>
  <c r="U15" i="46"/>
  <c r="T18" i="46"/>
  <c r="V23" i="46"/>
  <c r="W27" i="46"/>
  <c r="W5" i="46"/>
  <c r="V10" i="46"/>
  <c r="Y13" i="46"/>
  <c r="V15" i="46"/>
  <c r="U18" i="46"/>
  <c r="Y21" i="46"/>
  <c r="V26" i="46"/>
  <c r="X6" i="46"/>
  <c r="W10" i="46"/>
  <c r="T13" i="46"/>
  <c r="W15" i="46"/>
  <c r="X22" i="46"/>
  <c r="W26" i="46"/>
  <c r="S5" i="46"/>
  <c r="U13" i="46"/>
  <c r="W18" i="46"/>
  <c r="U21" i="46"/>
  <c r="U25" i="46"/>
  <c r="T5" i="46"/>
  <c r="Y11" i="46"/>
  <c r="V13" i="46"/>
  <c r="Y16" i="46"/>
  <c r="W22" i="46"/>
  <c r="V25" i="46"/>
  <c r="U5" i="46"/>
  <c r="T6" i="46"/>
  <c r="W7" i="46"/>
  <c r="T10" i="46"/>
  <c r="U11" i="46"/>
  <c r="S12" i="46"/>
  <c r="T15" i="46"/>
  <c r="V16" i="46"/>
  <c r="S18" i="46"/>
  <c r="U19" i="46"/>
  <c r="W20" i="46"/>
  <c r="Y22" i="46"/>
  <c r="U23" i="46"/>
  <c r="W24" i="46"/>
  <c r="T26" i="46"/>
  <c r="V27" i="46"/>
  <c r="V5" i="46"/>
  <c r="U10" i="46"/>
  <c r="Y14" i="46"/>
  <c r="W16" i="46"/>
  <c r="V19" i="46"/>
  <c r="T22" i="46"/>
  <c r="U26" i="46"/>
  <c r="V6" i="46"/>
  <c r="T9" i="46"/>
  <c r="T14" i="46"/>
  <c r="W19" i="46"/>
  <c r="V22" i="46"/>
  <c r="Y25" i="46"/>
  <c r="Y5" i="46"/>
  <c r="U9" i="46"/>
  <c r="T12" i="46"/>
  <c r="U14" i="46"/>
  <c r="V18" i="46"/>
  <c r="T21" i="46"/>
  <c r="T25" i="46"/>
  <c r="W6" i="46"/>
  <c r="W9" i="46"/>
  <c r="U12" i="46"/>
  <c r="V14" i="46"/>
  <c r="V17" i="46"/>
  <c r="Y20" i="46"/>
  <c r="Y24" i="46"/>
  <c r="U8" i="46"/>
  <c r="V9" i="46"/>
  <c r="V12" i="46"/>
  <c r="W14" i="46"/>
  <c r="W17" i="46"/>
  <c r="W21" i="46"/>
  <c r="T24" i="46"/>
  <c r="X27" i="46"/>
  <c r="X26" i="46"/>
  <c r="X25" i="46"/>
  <c r="S14" i="46"/>
  <c r="Z14" i="46" s="1"/>
  <c r="S26" i="46"/>
  <c r="S8" i="46"/>
  <c r="Y7" i="46"/>
  <c r="S25" i="46"/>
  <c r="X9" i="46"/>
  <c r="S6" i="46"/>
  <c r="X16" i="46"/>
  <c r="S21" i="46"/>
  <c r="Z21" i="46" s="1"/>
  <c r="X24" i="46"/>
  <c r="S7" i="46"/>
  <c r="X17" i="46"/>
  <c r="Y10" i="46"/>
  <c r="X8" i="46"/>
  <c r="X12" i="46"/>
  <c r="X18" i="46"/>
  <c r="X23" i="46"/>
  <c r="S9" i="46"/>
  <c r="S23" i="46"/>
  <c r="X7" i="46"/>
  <c r="X10" i="46"/>
  <c r="S16" i="46"/>
  <c r="X19" i="46"/>
  <c r="S19" i="46"/>
  <c r="S15" i="46"/>
  <c r="Z15" i="46" s="1"/>
  <c r="S11" i="46"/>
  <c r="S17" i="46"/>
  <c r="X20" i="46"/>
  <c r="S13" i="46"/>
  <c r="X21" i="46"/>
  <c r="S24" i="46"/>
  <c r="X14" i="46"/>
  <c r="X5" i="46"/>
  <c r="X15" i="46"/>
  <c r="S20" i="46"/>
  <c r="Y18" i="46"/>
  <c r="Y17" i="46"/>
  <c r="X11" i="46"/>
  <c r="S27" i="46"/>
  <c r="Z27" i="46" s="1"/>
  <c r="Y26" i="46"/>
  <c r="Y23" i="46"/>
  <c r="S22" i="46"/>
  <c r="T4" i="46"/>
  <c r="U4" i="46"/>
  <c r="V4" i="46"/>
  <c r="W4" i="46"/>
  <c r="S136" i="25"/>
  <c r="S137" i="25"/>
  <c r="S138" i="25"/>
  <c r="S139" i="25"/>
  <c r="S140" i="25"/>
  <c r="S141" i="25"/>
  <c r="S142" i="25"/>
  <c r="S143" i="25"/>
  <c r="S144" i="25"/>
  <c r="S145" i="25"/>
  <c r="S146" i="25"/>
  <c r="S147" i="25"/>
  <c r="S148" i="25"/>
  <c r="S149" i="25"/>
  <c r="S150" i="25"/>
  <c r="S151" i="25"/>
  <c r="S152" i="25"/>
  <c r="S153" i="25"/>
  <c r="S154" i="25"/>
  <c r="S155" i="25"/>
  <c r="S156" i="25"/>
  <c r="S157" i="25"/>
  <c r="S158" i="25"/>
  <c r="N114" i="25"/>
  <c r="C212" i="25" s="1"/>
  <c r="N115" i="25"/>
  <c r="C213" i="25" s="1"/>
  <c r="N116" i="25"/>
  <c r="C214" i="25" s="1"/>
  <c r="N117" i="25"/>
  <c r="C215" i="25" s="1"/>
  <c r="N118" i="25"/>
  <c r="C216" i="25" s="1"/>
  <c r="N119" i="25"/>
  <c r="C217" i="25" s="1"/>
  <c r="N120" i="25"/>
  <c r="C218" i="25" s="1"/>
  <c r="N121" i="25"/>
  <c r="C219" i="25" s="1"/>
  <c r="N122" i="25"/>
  <c r="C220" i="25" s="1"/>
  <c r="N123" i="25"/>
  <c r="C221" i="25" s="1"/>
  <c r="C38" i="25"/>
  <c r="C68" i="25" s="1"/>
  <c r="C101" i="25" s="1"/>
  <c r="D38" i="25"/>
  <c r="D68" i="25" s="1"/>
  <c r="D101" i="25" s="1"/>
  <c r="E38" i="25"/>
  <c r="E68" i="25" s="1"/>
  <c r="E101" i="25" s="1"/>
  <c r="G38" i="25"/>
  <c r="G68" i="25" s="1"/>
  <c r="H38" i="25"/>
  <c r="H68" i="25" s="1"/>
  <c r="I38" i="25"/>
  <c r="I68" i="25" s="1"/>
  <c r="C39" i="25"/>
  <c r="C69" i="25" s="1"/>
  <c r="C102" i="25" s="1"/>
  <c r="D39" i="25"/>
  <c r="D69" i="25" s="1"/>
  <c r="D102" i="25" s="1"/>
  <c r="E39" i="25"/>
  <c r="E69" i="25" s="1"/>
  <c r="E102" i="25" s="1"/>
  <c r="G39" i="25"/>
  <c r="G69" i="25" s="1"/>
  <c r="H39" i="25"/>
  <c r="H69" i="25" s="1"/>
  <c r="I39" i="25"/>
  <c r="I69" i="25" s="1"/>
  <c r="C40" i="25"/>
  <c r="C70" i="25" s="1"/>
  <c r="C103" i="25" s="1"/>
  <c r="D40" i="25"/>
  <c r="D70" i="25" s="1"/>
  <c r="D103" i="25" s="1"/>
  <c r="E40" i="25"/>
  <c r="E70" i="25" s="1"/>
  <c r="E103" i="25" s="1"/>
  <c r="G40" i="25"/>
  <c r="G70" i="25" s="1"/>
  <c r="H40" i="25"/>
  <c r="H70" i="25" s="1"/>
  <c r="I40" i="25"/>
  <c r="I70" i="25" s="1"/>
  <c r="C41" i="25"/>
  <c r="D41" i="25"/>
  <c r="D71" i="25" s="1"/>
  <c r="D104" i="25" s="1"/>
  <c r="E41" i="25"/>
  <c r="E71" i="25" s="1"/>
  <c r="E104" i="25" s="1"/>
  <c r="G41" i="25"/>
  <c r="G71" i="25" s="1"/>
  <c r="H41" i="25"/>
  <c r="H71" i="25" s="1"/>
  <c r="I41" i="25"/>
  <c r="I71" i="25" s="1"/>
  <c r="C42" i="25"/>
  <c r="C72" i="25" s="1"/>
  <c r="C105" i="25" s="1"/>
  <c r="D42" i="25"/>
  <c r="D72" i="25" s="1"/>
  <c r="D105" i="25" s="1"/>
  <c r="E42" i="25"/>
  <c r="E72" i="25" s="1"/>
  <c r="E105" i="25" s="1"/>
  <c r="G42" i="25"/>
  <c r="G72" i="25" s="1"/>
  <c r="H42" i="25"/>
  <c r="H72" i="25" s="1"/>
  <c r="I42" i="25"/>
  <c r="I72" i="25" s="1"/>
  <c r="C43" i="25"/>
  <c r="C73" i="25" s="1"/>
  <c r="C106" i="25" s="1"/>
  <c r="D43" i="25"/>
  <c r="D73" i="25" s="1"/>
  <c r="D106" i="25" s="1"/>
  <c r="E43" i="25"/>
  <c r="E73" i="25" s="1"/>
  <c r="E106" i="25" s="1"/>
  <c r="G43" i="25"/>
  <c r="G73" i="25" s="1"/>
  <c r="H43" i="25"/>
  <c r="H73" i="25" s="1"/>
  <c r="I43" i="25"/>
  <c r="I73" i="25" s="1"/>
  <c r="C44" i="25"/>
  <c r="C74" i="25" s="1"/>
  <c r="C107" i="25" s="1"/>
  <c r="D44" i="25"/>
  <c r="D74" i="25" s="1"/>
  <c r="D107" i="25" s="1"/>
  <c r="E44" i="25"/>
  <c r="E74" i="25" s="1"/>
  <c r="E107" i="25" s="1"/>
  <c r="G44" i="25"/>
  <c r="G74" i="25" s="1"/>
  <c r="H44" i="25"/>
  <c r="H74" i="25" s="1"/>
  <c r="I44" i="25"/>
  <c r="I74" i="25" s="1"/>
  <c r="C45" i="25"/>
  <c r="C75" i="25" s="1"/>
  <c r="C108" i="25" s="1"/>
  <c r="D45" i="25"/>
  <c r="D75" i="25" s="1"/>
  <c r="D108" i="25" s="1"/>
  <c r="E45" i="25"/>
  <c r="E75" i="25" s="1"/>
  <c r="E108" i="25" s="1"/>
  <c r="G45" i="25"/>
  <c r="G75" i="25" s="1"/>
  <c r="H45" i="25"/>
  <c r="H75" i="25" s="1"/>
  <c r="I45" i="25"/>
  <c r="I75" i="25" s="1"/>
  <c r="C46" i="25"/>
  <c r="C76" i="25" s="1"/>
  <c r="C109" i="25" s="1"/>
  <c r="D46" i="25"/>
  <c r="D76" i="25" s="1"/>
  <c r="D109" i="25" s="1"/>
  <c r="E46" i="25"/>
  <c r="E76" i="25" s="1"/>
  <c r="E109" i="25" s="1"/>
  <c r="G46" i="25"/>
  <c r="G76" i="25" s="1"/>
  <c r="H46" i="25"/>
  <c r="H76" i="25" s="1"/>
  <c r="I46" i="25"/>
  <c r="I76" i="25" s="1"/>
  <c r="C47" i="25"/>
  <c r="C77" i="25" s="1"/>
  <c r="C110" i="25" s="1"/>
  <c r="D47" i="25"/>
  <c r="D77" i="25" s="1"/>
  <c r="D110" i="25" s="1"/>
  <c r="E47" i="25"/>
  <c r="E77" i="25" s="1"/>
  <c r="E110" i="25" s="1"/>
  <c r="G47" i="25"/>
  <c r="G77" i="25" s="1"/>
  <c r="H47" i="25"/>
  <c r="H77" i="25" s="1"/>
  <c r="I47" i="25"/>
  <c r="I77" i="25" s="1"/>
  <c r="C48" i="25"/>
  <c r="C78" i="25" s="1"/>
  <c r="C111" i="25" s="1"/>
  <c r="D48" i="25"/>
  <c r="D78" i="25" s="1"/>
  <c r="D111" i="25" s="1"/>
  <c r="E48" i="25"/>
  <c r="E78" i="25" s="1"/>
  <c r="E111" i="25" s="1"/>
  <c r="G48" i="25"/>
  <c r="G78" i="25" s="1"/>
  <c r="H48" i="25"/>
  <c r="H78" i="25" s="1"/>
  <c r="I48" i="25"/>
  <c r="I78" i="25" s="1"/>
  <c r="C49" i="25"/>
  <c r="C79" i="25" s="1"/>
  <c r="C112" i="25" s="1"/>
  <c r="D49" i="25"/>
  <c r="D79" i="25" s="1"/>
  <c r="D112" i="25" s="1"/>
  <c r="E49" i="25"/>
  <c r="E79" i="25" s="1"/>
  <c r="E112" i="25" s="1"/>
  <c r="G49" i="25"/>
  <c r="G79" i="25" s="1"/>
  <c r="H49" i="25"/>
  <c r="H79" i="25" s="1"/>
  <c r="I49" i="25"/>
  <c r="I79" i="25" s="1"/>
  <c r="C50" i="25"/>
  <c r="C80" i="25" s="1"/>
  <c r="C113" i="25" s="1"/>
  <c r="D50" i="25"/>
  <c r="D80" i="25" s="1"/>
  <c r="D113" i="25" s="1"/>
  <c r="E50" i="25"/>
  <c r="E80" i="25" s="1"/>
  <c r="E113" i="25" s="1"/>
  <c r="G50" i="25"/>
  <c r="G80" i="25" s="1"/>
  <c r="H50" i="25"/>
  <c r="H80" i="25" s="1"/>
  <c r="I50" i="25"/>
  <c r="I80" i="25" s="1"/>
  <c r="C51" i="25"/>
  <c r="C81" i="25" s="1"/>
  <c r="C114" i="25" s="1"/>
  <c r="D51" i="25"/>
  <c r="D81" i="25" s="1"/>
  <c r="D114" i="25" s="1"/>
  <c r="E51" i="25"/>
  <c r="E81" i="25" s="1"/>
  <c r="E114" i="25" s="1"/>
  <c r="G51" i="25"/>
  <c r="G81" i="25" s="1"/>
  <c r="H51" i="25"/>
  <c r="H81" i="25" s="1"/>
  <c r="I51" i="25"/>
  <c r="I81" i="25" s="1"/>
  <c r="C52" i="25"/>
  <c r="C82" i="25" s="1"/>
  <c r="C115" i="25" s="1"/>
  <c r="D52" i="25"/>
  <c r="D82" i="25" s="1"/>
  <c r="D115" i="25" s="1"/>
  <c r="E52" i="25"/>
  <c r="E82" i="25" s="1"/>
  <c r="E115" i="25" s="1"/>
  <c r="G52" i="25"/>
  <c r="G82" i="25" s="1"/>
  <c r="H52" i="25"/>
  <c r="H82" i="25" s="1"/>
  <c r="I52" i="25"/>
  <c r="I82" i="25" s="1"/>
  <c r="C53" i="25"/>
  <c r="C83" i="25" s="1"/>
  <c r="C116" i="25" s="1"/>
  <c r="D53" i="25"/>
  <c r="D83" i="25" s="1"/>
  <c r="D116" i="25" s="1"/>
  <c r="E53" i="25"/>
  <c r="E83" i="25" s="1"/>
  <c r="E116" i="25" s="1"/>
  <c r="G53" i="25"/>
  <c r="G83" i="25" s="1"/>
  <c r="H53" i="25"/>
  <c r="H83" i="25" s="1"/>
  <c r="I53" i="25"/>
  <c r="I83" i="25" s="1"/>
  <c r="C54" i="25"/>
  <c r="C84" i="25" s="1"/>
  <c r="C117" i="25" s="1"/>
  <c r="D54" i="25"/>
  <c r="D84" i="25" s="1"/>
  <c r="D117" i="25" s="1"/>
  <c r="E54" i="25"/>
  <c r="E84" i="25" s="1"/>
  <c r="E117" i="25" s="1"/>
  <c r="G54" i="25"/>
  <c r="G84" i="25" s="1"/>
  <c r="H54" i="25"/>
  <c r="H84" i="25" s="1"/>
  <c r="I54" i="25"/>
  <c r="I84" i="25" s="1"/>
  <c r="C55" i="25"/>
  <c r="C85" i="25" s="1"/>
  <c r="C118" i="25" s="1"/>
  <c r="D55" i="25"/>
  <c r="D85" i="25" s="1"/>
  <c r="D118" i="25" s="1"/>
  <c r="E55" i="25"/>
  <c r="E85" i="25" s="1"/>
  <c r="E118" i="25" s="1"/>
  <c r="G55" i="25"/>
  <c r="G85" i="25" s="1"/>
  <c r="H55" i="25"/>
  <c r="H85" i="25" s="1"/>
  <c r="I55" i="25"/>
  <c r="I85" i="25" s="1"/>
  <c r="C56" i="25"/>
  <c r="C86" i="25" s="1"/>
  <c r="C119" i="25" s="1"/>
  <c r="D56" i="25"/>
  <c r="D86" i="25" s="1"/>
  <c r="D119" i="25" s="1"/>
  <c r="E56" i="25"/>
  <c r="E86" i="25" s="1"/>
  <c r="E119" i="25" s="1"/>
  <c r="G56" i="25"/>
  <c r="G86" i="25" s="1"/>
  <c r="H56" i="25"/>
  <c r="H86" i="25" s="1"/>
  <c r="I56" i="25"/>
  <c r="I86" i="25" s="1"/>
  <c r="C57" i="25"/>
  <c r="C87" i="25" s="1"/>
  <c r="C120" i="25" s="1"/>
  <c r="D57" i="25"/>
  <c r="D87" i="25" s="1"/>
  <c r="D120" i="25" s="1"/>
  <c r="E57" i="25"/>
  <c r="E87" i="25" s="1"/>
  <c r="E120" i="25" s="1"/>
  <c r="G57" i="25"/>
  <c r="G87" i="25" s="1"/>
  <c r="H57" i="25"/>
  <c r="H87" i="25" s="1"/>
  <c r="I57" i="25"/>
  <c r="I87" i="25" s="1"/>
  <c r="C58" i="25"/>
  <c r="C88" i="25" s="1"/>
  <c r="C121" i="25" s="1"/>
  <c r="D58" i="25"/>
  <c r="D88" i="25" s="1"/>
  <c r="D121" i="25" s="1"/>
  <c r="E58" i="25"/>
  <c r="E88" i="25" s="1"/>
  <c r="E121" i="25" s="1"/>
  <c r="G58" i="25"/>
  <c r="G88" i="25" s="1"/>
  <c r="H58" i="25"/>
  <c r="H88" i="25" s="1"/>
  <c r="I58" i="25"/>
  <c r="I88" i="25" s="1"/>
  <c r="C59" i="25"/>
  <c r="C89" i="25" s="1"/>
  <c r="C122" i="25" s="1"/>
  <c r="D59" i="25"/>
  <c r="D89" i="25" s="1"/>
  <c r="D122" i="25" s="1"/>
  <c r="E59" i="25"/>
  <c r="E89" i="25" s="1"/>
  <c r="E122" i="25" s="1"/>
  <c r="G59" i="25"/>
  <c r="G89" i="25" s="1"/>
  <c r="H59" i="25"/>
  <c r="H89" i="25" s="1"/>
  <c r="I59" i="25"/>
  <c r="I89" i="25" s="1"/>
  <c r="C60" i="25"/>
  <c r="C90" i="25" s="1"/>
  <c r="C123" i="25" s="1"/>
  <c r="D60" i="25"/>
  <c r="D90" i="25" s="1"/>
  <c r="D123" i="25" s="1"/>
  <c r="E60" i="25"/>
  <c r="E90" i="25" s="1"/>
  <c r="E123" i="25" s="1"/>
  <c r="G60" i="25"/>
  <c r="G90" i="25" s="1"/>
  <c r="H60" i="25"/>
  <c r="H90" i="25" s="1"/>
  <c r="I60" i="25"/>
  <c r="I90" i="25" s="1"/>
  <c r="D37" i="25"/>
  <c r="E37" i="25"/>
  <c r="C37" i="25"/>
  <c r="F13" i="25"/>
  <c r="K1" i="25"/>
  <c r="D13" i="25"/>
  <c r="S136" i="9"/>
  <c r="S137" i="9"/>
  <c r="S138" i="9"/>
  <c r="S139" i="9"/>
  <c r="S140" i="9"/>
  <c r="S141" i="9"/>
  <c r="S142" i="9"/>
  <c r="S143" i="9"/>
  <c r="S144" i="9"/>
  <c r="S145" i="9"/>
  <c r="S146" i="9"/>
  <c r="S147" i="9"/>
  <c r="S148" i="9"/>
  <c r="S149" i="9"/>
  <c r="S150" i="9"/>
  <c r="S151" i="9"/>
  <c r="S152" i="9"/>
  <c r="S153" i="9"/>
  <c r="S154" i="9"/>
  <c r="S155" i="9"/>
  <c r="S156" i="9"/>
  <c r="S157" i="9"/>
  <c r="S158" i="9"/>
  <c r="N114" i="9"/>
  <c r="C212" i="9" s="1"/>
  <c r="N115" i="9"/>
  <c r="C213" i="9" s="1"/>
  <c r="N116" i="9"/>
  <c r="C214" i="9" s="1"/>
  <c r="N117" i="9"/>
  <c r="C215" i="9" s="1"/>
  <c r="N118" i="9"/>
  <c r="C216" i="9" s="1"/>
  <c r="N119" i="9"/>
  <c r="C217" i="9" s="1"/>
  <c r="N120" i="9"/>
  <c r="C218" i="9" s="1"/>
  <c r="N121" i="9"/>
  <c r="C219" i="9" s="1"/>
  <c r="N122" i="9"/>
  <c r="C220" i="9" s="1"/>
  <c r="N123" i="9"/>
  <c r="C221" i="9" s="1"/>
  <c r="C38" i="9"/>
  <c r="D38" i="9"/>
  <c r="D68" i="9" s="1"/>
  <c r="D101" i="9" s="1"/>
  <c r="E38" i="9"/>
  <c r="E68" i="9" s="1"/>
  <c r="E101" i="9" s="1"/>
  <c r="G38" i="9"/>
  <c r="G68" i="9" s="1"/>
  <c r="H38" i="9"/>
  <c r="H68" i="9" s="1"/>
  <c r="I38" i="9"/>
  <c r="I68" i="9" s="1"/>
  <c r="C39" i="9"/>
  <c r="D39" i="9"/>
  <c r="D69" i="9" s="1"/>
  <c r="D102" i="9" s="1"/>
  <c r="E39" i="9"/>
  <c r="E69" i="9" s="1"/>
  <c r="E102" i="9" s="1"/>
  <c r="G39" i="9"/>
  <c r="G69" i="9" s="1"/>
  <c r="H39" i="9"/>
  <c r="H69" i="9" s="1"/>
  <c r="I39" i="9"/>
  <c r="I69" i="9" s="1"/>
  <c r="C40" i="9"/>
  <c r="C70" i="9" s="1"/>
  <c r="C103" i="9" s="1"/>
  <c r="D40" i="9"/>
  <c r="D70" i="9" s="1"/>
  <c r="D103" i="9" s="1"/>
  <c r="E40" i="9"/>
  <c r="E70" i="9" s="1"/>
  <c r="E103" i="9" s="1"/>
  <c r="G40" i="9"/>
  <c r="G70" i="9" s="1"/>
  <c r="H40" i="9"/>
  <c r="H70" i="9" s="1"/>
  <c r="I40" i="9"/>
  <c r="I70" i="9" s="1"/>
  <c r="C41" i="9"/>
  <c r="C71" i="9" s="1"/>
  <c r="C104" i="9" s="1"/>
  <c r="D41" i="9"/>
  <c r="D71" i="9" s="1"/>
  <c r="D104" i="9" s="1"/>
  <c r="E41" i="9"/>
  <c r="E71" i="9" s="1"/>
  <c r="E104" i="9" s="1"/>
  <c r="G41" i="9"/>
  <c r="G71" i="9" s="1"/>
  <c r="H41" i="9"/>
  <c r="H71" i="9" s="1"/>
  <c r="I41" i="9"/>
  <c r="I71" i="9" s="1"/>
  <c r="C42" i="9"/>
  <c r="C72" i="9" s="1"/>
  <c r="C105" i="9" s="1"/>
  <c r="D42" i="9"/>
  <c r="D72" i="9" s="1"/>
  <c r="D105" i="9" s="1"/>
  <c r="E42" i="9"/>
  <c r="E72" i="9" s="1"/>
  <c r="E105" i="9" s="1"/>
  <c r="G42" i="9"/>
  <c r="G72" i="9" s="1"/>
  <c r="H42" i="9"/>
  <c r="H72" i="9" s="1"/>
  <c r="I42" i="9"/>
  <c r="I72" i="9" s="1"/>
  <c r="C43" i="9"/>
  <c r="C73" i="9" s="1"/>
  <c r="C106" i="9" s="1"/>
  <c r="D43" i="9"/>
  <c r="D73" i="9" s="1"/>
  <c r="D106" i="9" s="1"/>
  <c r="E43" i="9"/>
  <c r="E73" i="9" s="1"/>
  <c r="E106" i="9" s="1"/>
  <c r="G43" i="9"/>
  <c r="G73" i="9" s="1"/>
  <c r="H43" i="9"/>
  <c r="H73" i="9" s="1"/>
  <c r="I43" i="9"/>
  <c r="I73" i="9" s="1"/>
  <c r="C44" i="9"/>
  <c r="C74" i="9" s="1"/>
  <c r="C107" i="9" s="1"/>
  <c r="D44" i="9"/>
  <c r="D74" i="9" s="1"/>
  <c r="D107" i="9" s="1"/>
  <c r="E44" i="9"/>
  <c r="E74" i="9" s="1"/>
  <c r="E107" i="9" s="1"/>
  <c r="G44" i="9"/>
  <c r="G74" i="9" s="1"/>
  <c r="H44" i="9"/>
  <c r="H74" i="9" s="1"/>
  <c r="I44" i="9"/>
  <c r="I74" i="9" s="1"/>
  <c r="C45" i="9"/>
  <c r="C75" i="9" s="1"/>
  <c r="C108" i="9" s="1"/>
  <c r="D45" i="9"/>
  <c r="D75" i="9" s="1"/>
  <c r="D108" i="9" s="1"/>
  <c r="E45" i="9"/>
  <c r="E75" i="9" s="1"/>
  <c r="E108" i="9" s="1"/>
  <c r="G45" i="9"/>
  <c r="G75" i="9" s="1"/>
  <c r="H45" i="9"/>
  <c r="H75" i="9" s="1"/>
  <c r="I45" i="9"/>
  <c r="I75" i="9" s="1"/>
  <c r="C46" i="9"/>
  <c r="C76" i="9" s="1"/>
  <c r="C109" i="9" s="1"/>
  <c r="D46" i="9"/>
  <c r="D76" i="9" s="1"/>
  <c r="D109" i="9" s="1"/>
  <c r="E46" i="9"/>
  <c r="E76" i="9" s="1"/>
  <c r="E109" i="9" s="1"/>
  <c r="G46" i="9"/>
  <c r="G76" i="9" s="1"/>
  <c r="H46" i="9"/>
  <c r="H76" i="9" s="1"/>
  <c r="I46" i="9"/>
  <c r="I76" i="9" s="1"/>
  <c r="C47" i="9"/>
  <c r="C77" i="9" s="1"/>
  <c r="C110" i="9" s="1"/>
  <c r="D47" i="9"/>
  <c r="D77" i="9" s="1"/>
  <c r="D110" i="9" s="1"/>
  <c r="E47" i="9"/>
  <c r="E77" i="9" s="1"/>
  <c r="E110" i="9" s="1"/>
  <c r="G47" i="9"/>
  <c r="G77" i="9" s="1"/>
  <c r="H47" i="9"/>
  <c r="H77" i="9" s="1"/>
  <c r="I47" i="9"/>
  <c r="I77" i="9" s="1"/>
  <c r="C48" i="9"/>
  <c r="C78" i="9" s="1"/>
  <c r="C111" i="9" s="1"/>
  <c r="D48" i="9"/>
  <c r="D78" i="9" s="1"/>
  <c r="D111" i="9" s="1"/>
  <c r="E48" i="9"/>
  <c r="E78" i="9" s="1"/>
  <c r="E111" i="9" s="1"/>
  <c r="G48" i="9"/>
  <c r="G78" i="9" s="1"/>
  <c r="H48" i="9"/>
  <c r="H78" i="9" s="1"/>
  <c r="I48" i="9"/>
  <c r="I78" i="9" s="1"/>
  <c r="C49" i="9"/>
  <c r="C79" i="9" s="1"/>
  <c r="C112" i="9" s="1"/>
  <c r="D49" i="9"/>
  <c r="D79" i="9" s="1"/>
  <c r="D112" i="9" s="1"/>
  <c r="E49" i="9"/>
  <c r="E79" i="9" s="1"/>
  <c r="E112" i="9" s="1"/>
  <c r="G49" i="9"/>
  <c r="G79" i="9" s="1"/>
  <c r="H49" i="9"/>
  <c r="H79" i="9" s="1"/>
  <c r="I49" i="9"/>
  <c r="I79" i="9" s="1"/>
  <c r="C50" i="9"/>
  <c r="C80" i="9" s="1"/>
  <c r="C113" i="9" s="1"/>
  <c r="D50" i="9"/>
  <c r="D80" i="9" s="1"/>
  <c r="D113" i="9" s="1"/>
  <c r="E50" i="9"/>
  <c r="E80" i="9" s="1"/>
  <c r="E113" i="9" s="1"/>
  <c r="G50" i="9"/>
  <c r="G80" i="9" s="1"/>
  <c r="H50" i="9"/>
  <c r="H80" i="9" s="1"/>
  <c r="I50" i="9"/>
  <c r="I80" i="9" s="1"/>
  <c r="C51" i="9"/>
  <c r="C81" i="9" s="1"/>
  <c r="C114" i="9" s="1"/>
  <c r="D51" i="9"/>
  <c r="D81" i="9" s="1"/>
  <c r="D114" i="9" s="1"/>
  <c r="E51" i="9"/>
  <c r="E81" i="9" s="1"/>
  <c r="E114" i="9" s="1"/>
  <c r="G51" i="9"/>
  <c r="G81" i="9" s="1"/>
  <c r="H51" i="9"/>
  <c r="H81" i="9" s="1"/>
  <c r="I51" i="9"/>
  <c r="I81" i="9" s="1"/>
  <c r="C52" i="9"/>
  <c r="C82" i="9" s="1"/>
  <c r="C115" i="9" s="1"/>
  <c r="D52" i="9"/>
  <c r="D82" i="9" s="1"/>
  <c r="D115" i="9" s="1"/>
  <c r="E52" i="9"/>
  <c r="E82" i="9" s="1"/>
  <c r="E115" i="9" s="1"/>
  <c r="G52" i="9"/>
  <c r="G82" i="9" s="1"/>
  <c r="H52" i="9"/>
  <c r="H82" i="9" s="1"/>
  <c r="I52" i="9"/>
  <c r="I82" i="9" s="1"/>
  <c r="C53" i="9"/>
  <c r="C83" i="9" s="1"/>
  <c r="C116" i="9" s="1"/>
  <c r="D53" i="9"/>
  <c r="D83" i="9" s="1"/>
  <c r="D116" i="9" s="1"/>
  <c r="E53" i="9"/>
  <c r="E83" i="9" s="1"/>
  <c r="E116" i="9" s="1"/>
  <c r="G53" i="9"/>
  <c r="G83" i="9" s="1"/>
  <c r="H53" i="9"/>
  <c r="H83" i="9" s="1"/>
  <c r="I53" i="9"/>
  <c r="I83" i="9" s="1"/>
  <c r="C54" i="9"/>
  <c r="C84" i="9" s="1"/>
  <c r="C117" i="9" s="1"/>
  <c r="D54" i="9"/>
  <c r="D84" i="9" s="1"/>
  <c r="D117" i="9" s="1"/>
  <c r="E54" i="9"/>
  <c r="E84" i="9" s="1"/>
  <c r="E117" i="9" s="1"/>
  <c r="G54" i="9"/>
  <c r="G84" i="9" s="1"/>
  <c r="H54" i="9"/>
  <c r="H84" i="9" s="1"/>
  <c r="I54" i="9"/>
  <c r="I84" i="9" s="1"/>
  <c r="C55" i="9"/>
  <c r="C85" i="9" s="1"/>
  <c r="C118" i="9" s="1"/>
  <c r="D55" i="9"/>
  <c r="D85" i="9" s="1"/>
  <c r="D118" i="9" s="1"/>
  <c r="E55" i="9"/>
  <c r="E85" i="9" s="1"/>
  <c r="E118" i="9" s="1"/>
  <c r="G55" i="9"/>
  <c r="G85" i="9" s="1"/>
  <c r="H55" i="9"/>
  <c r="H85" i="9" s="1"/>
  <c r="I55" i="9"/>
  <c r="I85" i="9" s="1"/>
  <c r="C56" i="9"/>
  <c r="C86" i="9" s="1"/>
  <c r="C119" i="9" s="1"/>
  <c r="D56" i="9"/>
  <c r="D86" i="9" s="1"/>
  <c r="D119" i="9" s="1"/>
  <c r="E56" i="9"/>
  <c r="E86" i="9" s="1"/>
  <c r="E119" i="9" s="1"/>
  <c r="G56" i="9"/>
  <c r="G86" i="9" s="1"/>
  <c r="H56" i="9"/>
  <c r="H86" i="9" s="1"/>
  <c r="I56" i="9"/>
  <c r="I86" i="9" s="1"/>
  <c r="C57" i="9"/>
  <c r="C87" i="9" s="1"/>
  <c r="C120" i="9" s="1"/>
  <c r="D57" i="9"/>
  <c r="D87" i="9" s="1"/>
  <c r="D120" i="9" s="1"/>
  <c r="E57" i="9"/>
  <c r="E87" i="9" s="1"/>
  <c r="E120" i="9" s="1"/>
  <c r="G57" i="9"/>
  <c r="G87" i="9" s="1"/>
  <c r="H57" i="9"/>
  <c r="H87" i="9" s="1"/>
  <c r="I57" i="9"/>
  <c r="I87" i="9" s="1"/>
  <c r="C58" i="9"/>
  <c r="C88" i="9" s="1"/>
  <c r="C121" i="9" s="1"/>
  <c r="D58" i="9"/>
  <c r="D88" i="9" s="1"/>
  <c r="D121" i="9" s="1"/>
  <c r="E58" i="9"/>
  <c r="E88" i="9" s="1"/>
  <c r="E121" i="9" s="1"/>
  <c r="G58" i="9"/>
  <c r="G88" i="9" s="1"/>
  <c r="H58" i="9"/>
  <c r="H88" i="9" s="1"/>
  <c r="I58" i="9"/>
  <c r="I88" i="9" s="1"/>
  <c r="C59" i="9"/>
  <c r="C89" i="9" s="1"/>
  <c r="C122" i="9" s="1"/>
  <c r="D59" i="9"/>
  <c r="D89" i="9" s="1"/>
  <c r="D122" i="9" s="1"/>
  <c r="E59" i="9"/>
  <c r="E89" i="9" s="1"/>
  <c r="E122" i="9" s="1"/>
  <c r="G59" i="9"/>
  <c r="G89" i="9" s="1"/>
  <c r="H59" i="9"/>
  <c r="H89" i="9" s="1"/>
  <c r="I59" i="9"/>
  <c r="I89" i="9" s="1"/>
  <c r="C60" i="9"/>
  <c r="C90" i="9" s="1"/>
  <c r="C123" i="9" s="1"/>
  <c r="D60" i="9"/>
  <c r="D90" i="9" s="1"/>
  <c r="D123" i="9" s="1"/>
  <c r="E60" i="9"/>
  <c r="E90" i="9" s="1"/>
  <c r="E123" i="9" s="1"/>
  <c r="G60" i="9"/>
  <c r="G90" i="9" s="1"/>
  <c r="H60" i="9"/>
  <c r="H90" i="9" s="1"/>
  <c r="I60" i="9"/>
  <c r="I90" i="9" s="1"/>
  <c r="Z19" i="46" l="1"/>
  <c r="Z25" i="46"/>
  <c r="Z18" i="46"/>
  <c r="Z5" i="46"/>
  <c r="Z6" i="46"/>
  <c r="Z16" i="46"/>
  <c r="Z13" i="46"/>
  <c r="Z10" i="46"/>
  <c r="Z20" i="46"/>
  <c r="Z17" i="46"/>
  <c r="Z23" i="46"/>
  <c r="Z7" i="46"/>
  <c r="Z8" i="46"/>
  <c r="Z12" i="46"/>
  <c r="Z24" i="46"/>
  <c r="Z22" i="46"/>
  <c r="Z11" i="46"/>
  <c r="Z9" i="46"/>
  <c r="Z26" i="46"/>
  <c r="N104" i="29"/>
  <c r="C202" i="29" s="1"/>
  <c r="N99" i="43"/>
  <c r="C197" i="43" s="1"/>
  <c r="N100" i="29"/>
  <c r="C198" i="29" s="1"/>
  <c r="N102" i="29"/>
  <c r="C200" i="29" s="1"/>
  <c r="N101" i="43"/>
  <c r="C199" i="43" s="1"/>
  <c r="N99" i="29"/>
  <c r="C197" i="29" s="1"/>
  <c r="N98" i="43"/>
  <c r="C196" i="43" s="1"/>
  <c r="N107" i="43"/>
  <c r="C205" i="43" s="1"/>
  <c r="N108" i="29"/>
  <c r="C206" i="29" s="1"/>
  <c r="N101" i="29"/>
  <c r="C199" i="29" s="1"/>
  <c r="N100" i="43"/>
  <c r="C198" i="43" s="1"/>
  <c r="N103" i="29"/>
  <c r="C201" i="29" s="1"/>
  <c r="N102" i="43"/>
  <c r="C200" i="43" s="1"/>
  <c r="N96" i="43"/>
  <c r="C194" i="43" s="1"/>
  <c r="N97" i="29"/>
  <c r="C195" i="29" s="1"/>
  <c r="N107" i="29"/>
  <c r="C205" i="29" s="1"/>
  <c r="N106" i="43"/>
  <c r="C204" i="43" s="1"/>
  <c r="N106" i="29"/>
  <c r="C204" i="29" s="1"/>
  <c r="N105" i="43"/>
  <c r="C203" i="43" s="1"/>
  <c r="N98" i="29"/>
  <c r="C196" i="29" s="1"/>
  <c r="N97" i="43"/>
  <c r="C195" i="43" s="1"/>
  <c r="F108" i="25"/>
  <c r="F101" i="25"/>
  <c r="F102" i="25"/>
  <c r="F111" i="25"/>
  <c r="F112" i="25"/>
  <c r="F121" i="25"/>
  <c r="F113" i="25"/>
  <c r="F105" i="25"/>
  <c r="F122" i="25"/>
  <c r="F114" i="25"/>
  <c r="F116" i="25"/>
  <c r="F110" i="25"/>
  <c r="F119" i="25"/>
  <c r="F103" i="25"/>
  <c r="F120" i="25"/>
  <c r="F123" i="25"/>
  <c r="F115" i="25"/>
  <c r="F107" i="25"/>
  <c r="F117" i="25"/>
  <c r="F118" i="25"/>
  <c r="F109" i="25"/>
  <c r="F106" i="25"/>
  <c r="F78" i="25"/>
  <c r="F41" i="25"/>
  <c r="F85" i="25"/>
  <c r="F77" i="25"/>
  <c r="J69" i="25"/>
  <c r="J87" i="25"/>
  <c r="F87" i="25"/>
  <c r="J79" i="25"/>
  <c r="F79" i="25"/>
  <c r="F88" i="25"/>
  <c r="F72" i="25"/>
  <c r="J81" i="25"/>
  <c r="F73" i="25"/>
  <c r="J82" i="25"/>
  <c r="F74" i="25"/>
  <c r="J83" i="25"/>
  <c r="F83" i="25"/>
  <c r="J75" i="25"/>
  <c r="F75" i="25"/>
  <c r="F69" i="25"/>
  <c r="F84" i="25"/>
  <c r="F76" i="25"/>
  <c r="F68" i="25"/>
  <c r="J86" i="25"/>
  <c r="F86" i="25"/>
  <c r="J70" i="25"/>
  <c r="F70" i="25"/>
  <c r="F89" i="25"/>
  <c r="J84" i="25"/>
  <c r="J77" i="25"/>
  <c r="C71" i="25"/>
  <c r="F80" i="25"/>
  <c r="J68" i="25"/>
  <c r="F40" i="25"/>
  <c r="F39" i="25"/>
  <c r="F38" i="25"/>
  <c r="J90" i="25"/>
  <c r="J76" i="25"/>
  <c r="J85" i="25"/>
  <c r="J78" i="25"/>
  <c r="J74" i="25"/>
  <c r="F90" i="25"/>
  <c r="F82" i="25"/>
  <c r="J89" i="25"/>
  <c r="J73" i="25"/>
  <c r="J88" i="25"/>
  <c r="F81" i="25"/>
  <c r="J80" i="25"/>
  <c r="J72" i="25"/>
  <c r="F54" i="25"/>
  <c r="F56" i="25"/>
  <c r="F57" i="25"/>
  <c r="F55" i="25"/>
  <c r="F46" i="25"/>
  <c r="J53" i="25"/>
  <c r="F47" i="25"/>
  <c r="F48" i="25"/>
  <c r="J49" i="25"/>
  <c r="F42" i="25"/>
  <c r="F45" i="25"/>
  <c r="F43" i="25"/>
  <c r="J56" i="25"/>
  <c r="J52" i="25"/>
  <c r="F49" i="25"/>
  <c r="J45" i="25"/>
  <c r="F58" i="25"/>
  <c r="J38" i="25"/>
  <c r="J54" i="25"/>
  <c r="J41" i="25"/>
  <c r="J60" i="25"/>
  <c r="F53" i="25"/>
  <c r="F51" i="25"/>
  <c r="F50" i="25"/>
  <c r="J48" i="25"/>
  <c r="J39" i="25"/>
  <c r="J55" i="25"/>
  <c r="F44" i="25"/>
  <c r="J40" i="25"/>
  <c r="J59" i="25"/>
  <c r="J47" i="25"/>
  <c r="J46" i="25"/>
  <c r="J44" i="25"/>
  <c r="J51" i="25"/>
  <c r="J50" i="25"/>
  <c r="J42" i="25"/>
  <c r="J57" i="25"/>
  <c r="J58" i="25"/>
  <c r="F60" i="25"/>
  <c r="F52" i="25"/>
  <c r="J43" i="25"/>
  <c r="F59" i="25"/>
  <c r="F122" i="9"/>
  <c r="F114" i="9"/>
  <c r="F106" i="9"/>
  <c r="F117" i="9"/>
  <c r="F116" i="9"/>
  <c r="F108" i="9"/>
  <c r="F118" i="9"/>
  <c r="F111" i="9"/>
  <c r="F121" i="9"/>
  <c r="F113" i="9"/>
  <c r="F112" i="9"/>
  <c r="F123" i="9"/>
  <c r="F115" i="9"/>
  <c r="F107" i="9"/>
  <c r="F105" i="9"/>
  <c r="F103" i="9"/>
  <c r="F120" i="9"/>
  <c r="F119" i="9"/>
  <c r="F109" i="9"/>
  <c r="F110" i="9"/>
  <c r="F104" i="9"/>
  <c r="F77" i="9"/>
  <c r="F76" i="9"/>
  <c r="J76" i="9"/>
  <c r="J82" i="9"/>
  <c r="F78" i="9"/>
  <c r="F83" i="9"/>
  <c r="J78" i="9"/>
  <c r="F84" i="9"/>
  <c r="C68" i="9"/>
  <c r="F38" i="9"/>
  <c r="F85" i="9"/>
  <c r="C69" i="9"/>
  <c r="F39" i="9"/>
  <c r="F86" i="9"/>
  <c r="F70" i="9"/>
  <c r="J79" i="9"/>
  <c r="F79" i="9"/>
  <c r="J87" i="9"/>
  <c r="F87" i="9"/>
  <c r="J71" i="9"/>
  <c r="F71" i="9"/>
  <c r="J83" i="9"/>
  <c r="J75" i="9"/>
  <c r="F88" i="9"/>
  <c r="F80" i="9"/>
  <c r="F72" i="9"/>
  <c r="J81" i="9"/>
  <c r="F73" i="9"/>
  <c r="F89" i="9"/>
  <c r="J77" i="9"/>
  <c r="J86" i="9"/>
  <c r="J84" i="9"/>
  <c r="J70" i="9"/>
  <c r="J74" i="9"/>
  <c r="J85" i="9"/>
  <c r="J90" i="9"/>
  <c r="F75" i="9"/>
  <c r="J73" i="9"/>
  <c r="J89" i="9"/>
  <c r="J88" i="9"/>
  <c r="J72" i="9"/>
  <c r="F90" i="9"/>
  <c r="F82" i="9"/>
  <c r="F74" i="9"/>
  <c r="F81" i="9"/>
  <c r="J80" i="9"/>
  <c r="J45" i="9"/>
  <c r="F54" i="9"/>
  <c r="F55" i="9"/>
  <c r="F57" i="9"/>
  <c r="F56" i="9"/>
  <c r="F48" i="9"/>
  <c r="F47" i="9"/>
  <c r="F46" i="9"/>
  <c r="F45" i="9"/>
  <c r="F52" i="9"/>
  <c r="F53" i="9"/>
  <c r="J53" i="9"/>
  <c r="F50" i="9"/>
  <c r="J49" i="9"/>
  <c r="J54" i="9"/>
  <c r="F44" i="9"/>
  <c r="J57" i="9"/>
  <c r="F42" i="9"/>
  <c r="J55" i="9"/>
  <c r="J48" i="9"/>
  <c r="J56" i="9"/>
  <c r="F41" i="9"/>
  <c r="F51" i="9"/>
  <c r="F43" i="9"/>
  <c r="F58" i="9"/>
  <c r="J60" i="9"/>
  <c r="F49" i="9"/>
  <c r="J47" i="9"/>
  <c r="J46" i="9"/>
  <c r="F40" i="9"/>
  <c r="J39" i="9"/>
  <c r="J38" i="9"/>
  <c r="J52" i="9"/>
  <c r="J44" i="9"/>
  <c r="J51" i="9"/>
  <c r="J50" i="9"/>
  <c r="J41" i="9"/>
  <c r="F60" i="9"/>
  <c r="J40" i="9"/>
  <c r="J59" i="9"/>
  <c r="J43" i="9"/>
  <c r="J58" i="9"/>
  <c r="J42" i="9"/>
  <c r="F59" i="9"/>
  <c r="I37" i="9"/>
  <c r="H37" i="9"/>
  <c r="G37" i="9"/>
  <c r="E37" i="9"/>
  <c r="D37" i="9"/>
  <c r="C37" i="9"/>
  <c r="C41" i="12"/>
  <c r="D41" i="12"/>
  <c r="E41" i="12"/>
  <c r="G41" i="12"/>
  <c r="H41" i="12"/>
  <c r="I41" i="12"/>
  <c r="C42" i="12"/>
  <c r="D42" i="12"/>
  <c r="E42" i="12"/>
  <c r="G42" i="12"/>
  <c r="H42" i="12"/>
  <c r="I42" i="12"/>
  <c r="C43" i="12"/>
  <c r="D43" i="12"/>
  <c r="E43" i="12"/>
  <c r="G43" i="12"/>
  <c r="H43" i="12"/>
  <c r="I43" i="12"/>
  <c r="C44" i="12"/>
  <c r="D44" i="12"/>
  <c r="E44" i="12"/>
  <c r="G44" i="12"/>
  <c r="H44" i="12"/>
  <c r="I44" i="12"/>
  <c r="C45" i="12"/>
  <c r="D45" i="12"/>
  <c r="E45" i="12"/>
  <c r="G45" i="12"/>
  <c r="H45" i="12"/>
  <c r="I45" i="12"/>
  <c r="C46" i="12"/>
  <c r="D46" i="12"/>
  <c r="E46" i="12"/>
  <c r="G46" i="12"/>
  <c r="H46" i="12"/>
  <c r="I46" i="12"/>
  <c r="C47" i="12"/>
  <c r="D47" i="12"/>
  <c r="E47" i="12"/>
  <c r="G47" i="12"/>
  <c r="H47" i="12"/>
  <c r="I47" i="12"/>
  <c r="C48" i="12"/>
  <c r="D48" i="12"/>
  <c r="E48" i="12"/>
  <c r="G48" i="12"/>
  <c r="H48" i="12"/>
  <c r="I48" i="12"/>
  <c r="C49" i="12"/>
  <c r="D49" i="12"/>
  <c r="E49" i="12"/>
  <c r="G49" i="12"/>
  <c r="H49" i="12"/>
  <c r="I49" i="12"/>
  <c r="C50" i="12"/>
  <c r="D50" i="12"/>
  <c r="E50" i="12"/>
  <c r="G50" i="12"/>
  <c r="H50" i="12"/>
  <c r="I50" i="12"/>
  <c r="C51" i="12"/>
  <c r="D51" i="12"/>
  <c r="E51" i="12"/>
  <c r="G51" i="12"/>
  <c r="H51" i="12"/>
  <c r="I51" i="12"/>
  <c r="C52" i="12"/>
  <c r="D52" i="12"/>
  <c r="E52" i="12"/>
  <c r="G52" i="12"/>
  <c r="H52" i="12"/>
  <c r="I52" i="12"/>
  <c r="C53" i="12"/>
  <c r="D53" i="12"/>
  <c r="E53" i="12"/>
  <c r="G53" i="12"/>
  <c r="H53" i="12"/>
  <c r="I53" i="12"/>
  <c r="C54" i="12"/>
  <c r="D54" i="12"/>
  <c r="E54" i="12"/>
  <c r="G54" i="12"/>
  <c r="H54" i="12"/>
  <c r="I54" i="12"/>
  <c r="C55" i="12"/>
  <c r="D55" i="12"/>
  <c r="E55" i="12"/>
  <c r="G55" i="12"/>
  <c r="H55" i="12"/>
  <c r="I55" i="12"/>
  <c r="C56" i="12"/>
  <c r="D56" i="12"/>
  <c r="E56" i="12"/>
  <c r="G56" i="12"/>
  <c r="H56" i="12"/>
  <c r="I56" i="12"/>
  <c r="C57" i="12"/>
  <c r="D57" i="12"/>
  <c r="E57" i="12"/>
  <c r="G57" i="12"/>
  <c r="H57" i="12"/>
  <c r="I57" i="12"/>
  <c r="C58" i="12"/>
  <c r="D58" i="12"/>
  <c r="E58" i="12"/>
  <c r="G58" i="12"/>
  <c r="H58" i="12"/>
  <c r="I58" i="12"/>
  <c r="C59" i="12"/>
  <c r="D59" i="12"/>
  <c r="E59" i="12"/>
  <c r="G59" i="12"/>
  <c r="H59" i="12"/>
  <c r="I59" i="12"/>
  <c r="C60" i="12"/>
  <c r="D60" i="12"/>
  <c r="E60" i="12"/>
  <c r="G60" i="12"/>
  <c r="H60" i="12"/>
  <c r="I60" i="12"/>
  <c r="C61" i="12"/>
  <c r="D61" i="12"/>
  <c r="E61" i="12"/>
  <c r="G61" i="12"/>
  <c r="H61" i="12"/>
  <c r="I61" i="12"/>
  <c r="C62" i="12"/>
  <c r="D62" i="12"/>
  <c r="E62" i="12"/>
  <c r="G62" i="12"/>
  <c r="H62" i="12"/>
  <c r="I62" i="12"/>
  <c r="C63" i="12"/>
  <c r="D63" i="12"/>
  <c r="E63" i="12"/>
  <c r="G63" i="12"/>
  <c r="H63" i="12"/>
  <c r="I63" i="12"/>
  <c r="C38" i="10"/>
  <c r="D38" i="10"/>
  <c r="E38" i="10"/>
  <c r="G38" i="10"/>
  <c r="H38" i="10"/>
  <c r="I38" i="10"/>
  <c r="C39" i="10"/>
  <c r="D39" i="10"/>
  <c r="E39" i="10"/>
  <c r="G39" i="10"/>
  <c r="H39" i="10"/>
  <c r="I39" i="10"/>
  <c r="C40" i="10"/>
  <c r="D40" i="10"/>
  <c r="E40" i="10"/>
  <c r="G40" i="10"/>
  <c r="H40" i="10"/>
  <c r="I40" i="10"/>
  <c r="C41" i="10"/>
  <c r="D41" i="10"/>
  <c r="E41" i="10"/>
  <c r="G41" i="10"/>
  <c r="H41" i="10"/>
  <c r="I41" i="10"/>
  <c r="C42" i="10"/>
  <c r="D42" i="10"/>
  <c r="E42" i="10"/>
  <c r="G42" i="10"/>
  <c r="H42" i="10"/>
  <c r="I42" i="10"/>
  <c r="C43" i="10"/>
  <c r="D43" i="10"/>
  <c r="E43" i="10"/>
  <c r="G43" i="10"/>
  <c r="H43" i="10"/>
  <c r="I43" i="10"/>
  <c r="C44" i="10"/>
  <c r="D44" i="10"/>
  <c r="E44" i="10"/>
  <c r="G44" i="10"/>
  <c r="H44" i="10"/>
  <c r="I44" i="10"/>
  <c r="C45" i="10"/>
  <c r="D45" i="10"/>
  <c r="E45" i="10"/>
  <c r="G45" i="10"/>
  <c r="H45" i="10"/>
  <c r="I45" i="10"/>
  <c r="C46" i="10"/>
  <c r="D46" i="10"/>
  <c r="E46" i="10"/>
  <c r="G46" i="10"/>
  <c r="H46" i="10"/>
  <c r="I46" i="10"/>
  <c r="C47" i="10"/>
  <c r="D47" i="10"/>
  <c r="E47" i="10"/>
  <c r="G47" i="10"/>
  <c r="H47" i="10"/>
  <c r="I47" i="10"/>
  <c r="C48" i="10"/>
  <c r="D48" i="10"/>
  <c r="E48" i="10"/>
  <c r="G48" i="10"/>
  <c r="H48" i="10"/>
  <c r="I48" i="10"/>
  <c r="C49" i="10"/>
  <c r="D49" i="10"/>
  <c r="E49" i="10"/>
  <c r="G49" i="10"/>
  <c r="H49" i="10"/>
  <c r="I49" i="10"/>
  <c r="C50" i="10"/>
  <c r="D50" i="10"/>
  <c r="E50" i="10"/>
  <c r="G50" i="10"/>
  <c r="H50" i="10"/>
  <c r="I50" i="10"/>
  <c r="C51" i="10"/>
  <c r="D51" i="10"/>
  <c r="E51" i="10"/>
  <c r="G51" i="10"/>
  <c r="H51" i="10"/>
  <c r="I51" i="10"/>
  <c r="C52" i="10"/>
  <c r="D52" i="10"/>
  <c r="E52" i="10"/>
  <c r="G52" i="10"/>
  <c r="H52" i="10"/>
  <c r="I52" i="10"/>
  <c r="C53" i="10"/>
  <c r="D53" i="10"/>
  <c r="E53" i="10"/>
  <c r="G53" i="10"/>
  <c r="H53" i="10"/>
  <c r="I53" i="10"/>
  <c r="C54" i="10"/>
  <c r="D54" i="10"/>
  <c r="E54" i="10"/>
  <c r="G54" i="10"/>
  <c r="H54" i="10"/>
  <c r="I54" i="10"/>
  <c r="C55" i="10"/>
  <c r="D55" i="10"/>
  <c r="E55" i="10"/>
  <c r="G55" i="10"/>
  <c r="H55" i="10"/>
  <c r="I55" i="10"/>
  <c r="C56" i="10"/>
  <c r="D56" i="10"/>
  <c r="E56" i="10"/>
  <c r="G56" i="10"/>
  <c r="H56" i="10"/>
  <c r="I56" i="10"/>
  <c r="C57" i="10"/>
  <c r="D57" i="10"/>
  <c r="E57" i="10"/>
  <c r="G57" i="10"/>
  <c r="H57" i="10"/>
  <c r="I57" i="10"/>
  <c r="C58" i="10"/>
  <c r="D58" i="10"/>
  <c r="E58" i="10"/>
  <c r="G58" i="10"/>
  <c r="H58" i="10"/>
  <c r="I58" i="10"/>
  <c r="C59" i="10"/>
  <c r="D59" i="10"/>
  <c r="E59" i="10"/>
  <c r="G59" i="10"/>
  <c r="H59" i="10"/>
  <c r="I59" i="10"/>
  <c r="C60" i="10"/>
  <c r="D60" i="10"/>
  <c r="E60" i="10"/>
  <c r="G60" i="10"/>
  <c r="H60" i="10"/>
  <c r="I60" i="10"/>
  <c r="G38" i="24"/>
  <c r="H38" i="24"/>
  <c r="I38" i="24"/>
  <c r="G39" i="24"/>
  <c r="H39" i="24"/>
  <c r="I39" i="24"/>
  <c r="G40" i="24"/>
  <c r="H40" i="24"/>
  <c r="I40" i="24"/>
  <c r="G41" i="24"/>
  <c r="H41" i="24"/>
  <c r="I41" i="24"/>
  <c r="G42" i="24"/>
  <c r="H42" i="24"/>
  <c r="I42" i="24"/>
  <c r="G43" i="24"/>
  <c r="H43" i="24"/>
  <c r="I43" i="24"/>
  <c r="G44" i="24"/>
  <c r="H44" i="24"/>
  <c r="I44" i="24"/>
  <c r="G45" i="24"/>
  <c r="H45" i="24"/>
  <c r="I45" i="24"/>
  <c r="G46" i="24"/>
  <c r="H46" i="24"/>
  <c r="I46" i="24"/>
  <c r="G47" i="24"/>
  <c r="H47" i="24"/>
  <c r="I47" i="24"/>
  <c r="G48" i="24"/>
  <c r="H48" i="24"/>
  <c r="I48" i="24"/>
  <c r="G49" i="24"/>
  <c r="H49" i="24"/>
  <c r="I49" i="24"/>
  <c r="G50" i="24"/>
  <c r="H50" i="24"/>
  <c r="I50" i="24"/>
  <c r="G51" i="24"/>
  <c r="H51" i="24"/>
  <c r="I51" i="24"/>
  <c r="G52" i="24"/>
  <c r="H52" i="24"/>
  <c r="I52" i="24"/>
  <c r="G53" i="24"/>
  <c r="H53" i="24"/>
  <c r="I53" i="24"/>
  <c r="G54" i="24"/>
  <c r="H54" i="24"/>
  <c r="I54" i="24"/>
  <c r="G55" i="24"/>
  <c r="H55" i="24"/>
  <c r="I55" i="24"/>
  <c r="G56" i="24"/>
  <c r="H56" i="24"/>
  <c r="I56" i="24"/>
  <c r="G57" i="24"/>
  <c r="H57" i="24"/>
  <c r="I57" i="24"/>
  <c r="G58" i="24"/>
  <c r="H58" i="24"/>
  <c r="I58" i="24"/>
  <c r="G59" i="24"/>
  <c r="H59" i="24"/>
  <c r="I59" i="24"/>
  <c r="G60" i="24"/>
  <c r="H60" i="24"/>
  <c r="I60" i="24"/>
  <c r="F13" i="9"/>
  <c r="M11" i="33"/>
  <c r="D13" i="9" s="1"/>
  <c r="J56" i="12" l="1"/>
  <c r="F59" i="12"/>
  <c r="F38" i="10"/>
  <c r="F42" i="12"/>
  <c r="F62" i="12"/>
  <c r="F51" i="12"/>
  <c r="F58" i="12"/>
  <c r="J45" i="10"/>
  <c r="J50" i="12"/>
  <c r="J43" i="12"/>
  <c r="F48" i="10"/>
  <c r="F54" i="10"/>
  <c r="J49" i="10"/>
  <c r="F56" i="12"/>
  <c r="J52" i="12"/>
  <c r="F53" i="10"/>
  <c r="F48" i="12"/>
  <c r="J53" i="10"/>
  <c r="F60" i="10"/>
  <c r="F50" i="12"/>
  <c r="F57" i="10"/>
  <c r="J60" i="12"/>
  <c r="J55" i="10"/>
  <c r="F41" i="10"/>
  <c r="F49" i="12"/>
  <c r="F46" i="12"/>
  <c r="F47" i="10"/>
  <c r="J39" i="10"/>
  <c r="F43" i="12"/>
  <c r="F45" i="10"/>
  <c r="F41" i="12"/>
  <c r="F46" i="10"/>
  <c r="F42" i="10"/>
  <c r="J48" i="10"/>
  <c r="F40" i="10"/>
  <c r="F57" i="12"/>
  <c r="F44" i="12"/>
  <c r="J56" i="10"/>
  <c r="F50" i="10"/>
  <c r="J46" i="10"/>
  <c r="J43" i="10"/>
  <c r="F39" i="10"/>
  <c r="F63" i="12"/>
  <c r="F60" i="12"/>
  <c r="F53" i="12"/>
  <c r="J49" i="12"/>
  <c r="J57" i="10"/>
  <c r="F47" i="12"/>
  <c r="F58" i="10"/>
  <c r="J54" i="10"/>
  <c r="F51" i="10"/>
  <c r="J44" i="10"/>
  <c r="F54" i="12"/>
  <c r="J51" i="12"/>
  <c r="F59" i="10"/>
  <c r="F55" i="10"/>
  <c r="F52" i="10"/>
  <c r="F49" i="10"/>
  <c r="J40" i="10"/>
  <c r="F61" i="12"/>
  <c r="J57" i="12"/>
  <c r="J55" i="12"/>
  <c r="F52" i="12"/>
  <c r="J44" i="12"/>
  <c r="F56" i="10"/>
  <c r="J47" i="10"/>
  <c r="J41" i="10"/>
  <c r="J58" i="12"/>
  <c r="J48" i="12"/>
  <c r="F45" i="12"/>
  <c r="J41" i="12"/>
  <c r="J38" i="10"/>
  <c r="J59" i="12"/>
  <c r="J42" i="12"/>
  <c r="N103" i="43"/>
  <c r="C201" i="43" s="1"/>
  <c r="N105" i="29"/>
  <c r="C203" i="29" s="1"/>
  <c r="N104" i="43"/>
  <c r="C202" i="43" s="1"/>
  <c r="C104" i="25"/>
  <c r="J71" i="25"/>
  <c r="F71" i="25"/>
  <c r="F68" i="9"/>
  <c r="C101" i="9"/>
  <c r="C102" i="9"/>
  <c r="F69" i="9"/>
  <c r="J69" i="9"/>
  <c r="J68" i="9"/>
  <c r="F37" i="9"/>
  <c r="J37" i="9"/>
  <c r="J62" i="12"/>
  <c r="J46" i="12"/>
  <c r="J45" i="12"/>
  <c r="J63" i="12"/>
  <c r="J47" i="12"/>
  <c r="J54" i="12"/>
  <c r="J61" i="12"/>
  <c r="J53" i="12"/>
  <c r="F55" i="12"/>
  <c r="J52" i="10"/>
  <c r="J51" i="10"/>
  <c r="J58" i="10"/>
  <c r="J42" i="10"/>
  <c r="F44" i="10"/>
  <c r="J59" i="10"/>
  <c r="F43" i="10"/>
  <c r="J60" i="10"/>
  <c r="J50" i="10"/>
  <c r="F104" i="25" l="1"/>
  <c r="F102" i="9"/>
  <c r="F101" i="9"/>
  <c r="K1" i="9" l="1"/>
  <c r="U139" i="12"/>
  <c r="U140" i="12"/>
  <c r="U141" i="12"/>
  <c r="U142" i="12"/>
  <c r="U143" i="12"/>
  <c r="U144" i="12"/>
  <c r="U145" i="12"/>
  <c r="U146" i="12"/>
  <c r="U147" i="12"/>
  <c r="U148" i="12"/>
  <c r="U149" i="12"/>
  <c r="U150" i="12"/>
  <c r="U151" i="12"/>
  <c r="U152" i="12"/>
  <c r="U153" i="12"/>
  <c r="U154" i="12"/>
  <c r="U155" i="12"/>
  <c r="U156" i="12"/>
  <c r="U157" i="12"/>
  <c r="U158" i="12"/>
  <c r="U159" i="12"/>
  <c r="U160" i="12"/>
  <c r="U161" i="12"/>
  <c r="C71" i="12"/>
  <c r="D71" i="12"/>
  <c r="D104" i="12" s="1"/>
  <c r="E71" i="12"/>
  <c r="E104" i="12" s="1"/>
  <c r="G71" i="12"/>
  <c r="H71" i="12"/>
  <c r="I71" i="12"/>
  <c r="C72" i="12"/>
  <c r="C105" i="12" s="1"/>
  <c r="D72" i="12"/>
  <c r="D105" i="12" s="1"/>
  <c r="E72" i="12"/>
  <c r="E105" i="12" s="1"/>
  <c r="G72" i="12"/>
  <c r="H72" i="12"/>
  <c r="I72" i="12"/>
  <c r="C73" i="12"/>
  <c r="D73" i="12"/>
  <c r="D106" i="12" s="1"/>
  <c r="E73" i="12"/>
  <c r="E106" i="12" s="1"/>
  <c r="G73" i="12"/>
  <c r="H73" i="12"/>
  <c r="I73" i="12"/>
  <c r="C74" i="12"/>
  <c r="D74" i="12"/>
  <c r="D107" i="12" s="1"/>
  <c r="E74" i="12"/>
  <c r="E107" i="12" s="1"/>
  <c r="G74" i="12"/>
  <c r="H74" i="12"/>
  <c r="I74" i="12"/>
  <c r="C75" i="12"/>
  <c r="C108" i="12" s="1"/>
  <c r="D75" i="12"/>
  <c r="D108" i="12" s="1"/>
  <c r="E75" i="12"/>
  <c r="E108" i="12" s="1"/>
  <c r="G75" i="12"/>
  <c r="H75" i="12"/>
  <c r="I75" i="12"/>
  <c r="C76" i="12"/>
  <c r="C109" i="12" s="1"/>
  <c r="D76" i="12"/>
  <c r="E76" i="12"/>
  <c r="E109" i="12" s="1"/>
  <c r="G76" i="12"/>
  <c r="H76" i="12"/>
  <c r="I76" i="12"/>
  <c r="C77" i="12"/>
  <c r="D77" i="12"/>
  <c r="D110" i="12" s="1"/>
  <c r="E77" i="12"/>
  <c r="E110" i="12" s="1"/>
  <c r="G77" i="12"/>
  <c r="H77" i="12"/>
  <c r="I77" i="12"/>
  <c r="C78" i="12"/>
  <c r="C111" i="12" s="1"/>
  <c r="D78" i="12"/>
  <c r="D111" i="12" s="1"/>
  <c r="E78" i="12"/>
  <c r="E111" i="12" s="1"/>
  <c r="G78" i="12"/>
  <c r="H78" i="12"/>
  <c r="I78" i="12"/>
  <c r="C79" i="12"/>
  <c r="D79" i="12"/>
  <c r="D112" i="12" s="1"/>
  <c r="E79" i="12"/>
  <c r="E112" i="12" s="1"/>
  <c r="G79" i="12"/>
  <c r="H79" i="12"/>
  <c r="I79" i="12"/>
  <c r="C80" i="12"/>
  <c r="D80" i="12"/>
  <c r="D113" i="12" s="1"/>
  <c r="E80" i="12"/>
  <c r="E113" i="12" s="1"/>
  <c r="G80" i="12"/>
  <c r="H80" i="12"/>
  <c r="I80" i="12"/>
  <c r="C81" i="12"/>
  <c r="D81" i="12"/>
  <c r="D114" i="12" s="1"/>
  <c r="E81" i="12"/>
  <c r="E114" i="12" s="1"/>
  <c r="G81" i="12"/>
  <c r="H81" i="12"/>
  <c r="I81" i="12"/>
  <c r="C82" i="12"/>
  <c r="C115" i="12" s="1"/>
  <c r="D82" i="12"/>
  <c r="D115" i="12" s="1"/>
  <c r="E82" i="12"/>
  <c r="E115" i="12" s="1"/>
  <c r="G82" i="12"/>
  <c r="H82" i="12"/>
  <c r="I82" i="12"/>
  <c r="C83" i="12"/>
  <c r="C116" i="12" s="1"/>
  <c r="D83" i="12"/>
  <c r="D116" i="12" s="1"/>
  <c r="E83" i="12"/>
  <c r="E116" i="12" s="1"/>
  <c r="G83" i="12"/>
  <c r="H83" i="12"/>
  <c r="I83" i="12"/>
  <c r="C84" i="12"/>
  <c r="C117" i="12" s="1"/>
  <c r="D84" i="12"/>
  <c r="E84" i="12"/>
  <c r="E117" i="12" s="1"/>
  <c r="G84" i="12"/>
  <c r="H84" i="12"/>
  <c r="I84" i="12"/>
  <c r="C85" i="12"/>
  <c r="C118" i="12" s="1"/>
  <c r="D85" i="12"/>
  <c r="D118" i="12" s="1"/>
  <c r="E85" i="12"/>
  <c r="E118" i="12" s="1"/>
  <c r="G85" i="12"/>
  <c r="H85" i="12"/>
  <c r="I85" i="12"/>
  <c r="C86" i="12"/>
  <c r="C119" i="12" s="1"/>
  <c r="D86" i="12"/>
  <c r="D119" i="12" s="1"/>
  <c r="E86" i="12"/>
  <c r="E119" i="12" s="1"/>
  <c r="G86" i="12"/>
  <c r="H86" i="12"/>
  <c r="I86" i="12"/>
  <c r="C87" i="12"/>
  <c r="D87" i="12"/>
  <c r="D120" i="12" s="1"/>
  <c r="E87" i="12"/>
  <c r="E120" i="12" s="1"/>
  <c r="G87" i="12"/>
  <c r="H87" i="12"/>
  <c r="I87" i="12"/>
  <c r="C88" i="12"/>
  <c r="C121" i="12" s="1"/>
  <c r="D88" i="12"/>
  <c r="D121" i="12" s="1"/>
  <c r="E88" i="12"/>
  <c r="E121" i="12" s="1"/>
  <c r="G88" i="12"/>
  <c r="H88" i="12"/>
  <c r="I88" i="12"/>
  <c r="C89" i="12"/>
  <c r="D89" i="12"/>
  <c r="D122" i="12" s="1"/>
  <c r="E89" i="12"/>
  <c r="E122" i="12" s="1"/>
  <c r="G89" i="12"/>
  <c r="H89" i="12"/>
  <c r="I89" i="12"/>
  <c r="C90" i="12"/>
  <c r="C123" i="12" s="1"/>
  <c r="D90" i="12"/>
  <c r="D123" i="12" s="1"/>
  <c r="E90" i="12"/>
  <c r="E123" i="12" s="1"/>
  <c r="G90" i="12"/>
  <c r="H90" i="12"/>
  <c r="I90" i="12"/>
  <c r="C91" i="12"/>
  <c r="C124" i="12" s="1"/>
  <c r="D91" i="12"/>
  <c r="D124" i="12" s="1"/>
  <c r="E91" i="12"/>
  <c r="G91" i="12"/>
  <c r="H91" i="12"/>
  <c r="I91" i="12"/>
  <c r="C92" i="12"/>
  <c r="C125" i="12" s="1"/>
  <c r="D92" i="12"/>
  <c r="E92" i="12"/>
  <c r="E125" i="12" s="1"/>
  <c r="G92" i="12"/>
  <c r="H92" i="12"/>
  <c r="I92" i="12"/>
  <c r="C93" i="12"/>
  <c r="C126" i="12" s="1"/>
  <c r="D93" i="12"/>
  <c r="D126" i="12" s="1"/>
  <c r="E93" i="12"/>
  <c r="E126" i="12" s="1"/>
  <c r="G93" i="12"/>
  <c r="H93" i="12"/>
  <c r="I93" i="12"/>
  <c r="D40" i="12"/>
  <c r="E40" i="12"/>
  <c r="C40" i="12"/>
  <c r="K1" i="12"/>
  <c r="F19" i="12"/>
  <c r="D19" i="12"/>
  <c r="F18" i="12"/>
  <c r="D18" i="12"/>
  <c r="F17" i="12"/>
  <c r="D17" i="12"/>
  <c r="F74" i="12" l="1"/>
  <c r="C107" i="12"/>
  <c r="F107" i="12" s="1"/>
  <c r="F92" i="12"/>
  <c r="F84" i="12"/>
  <c r="F79" i="12"/>
  <c r="F116" i="12"/>
  <c r="J82" i="12"/>
  <c r="F82" i="12"/>
  <c r="J78" i="12"/>
  <c r="J91" i="12"/>
  <c r="F76" i="12"/>
  <c r="F89" i="12"/>
  <c r="F91" i="12"/>
  <c r="F90" i="12"/>
  <c r="F80" i="12"/>
  <c r="J79" i="12"/>
  <c r="F71" i="12"/>
  <c r="F126" i="12"/>
  <c r="F121" i="12"/>
  <c r="F118" i="12"/>
  <c r="F123" i="12"/>
  <c r="F119" i="12"/>
  <c r="F105" i="12"/>
  <c r="F115" i="12"/>
  <c r="F108" i="12"/>
  <c r="F111" i="12"/>
  <c r="J76" i="12"/>
  <c r="J88" i="12"/>
  <c r="J83" i="12"/>
  <c r="F81" i="12"/>
  <c r="J74" i="12"/>
  <c r="F72" i="12"/>
  <c r="E124" i="12"/>
  <c r="F124" i="12" s="1"/>
  <c r="F86" i="12"/>
  <c r="F83" i="12"/>
  <c r="F77" i="12"/>
  <c r="J71" i="12"/>
  <c r="C104" i="12"/>
  <c r="F104" i="12" s="1"/>
  <c r="F87" i="12"/>
  <c r="J80" i="12"/>
  <c r="J75" i="12"/>
  <c r="F73" i="12"/>
  <c r="C122" i="12"/>
  <c r="F122" i="12" s="1"/>
  <c r="C120" i="12"/>
  <c r="F120" i="12" s="1"/>
  <c r="C114" i="12"/>
  <c r="F114" i="12" s="1"/>
  <c r="C112" i="12"/>
  <c r="F112" i="12" s="1"/>
  <c r="C110" i="12"/>
  <c r="F110" i="12" s="1"/>
  <c r="C106" i="12"/>
  <c r="F106" i="12" s="1"/>
  <c r="J92" i="12"/>
  <c r="J89" i="12"/>
  <c r="J86" i="12"/>
  <c r="F78" i="12"/>
  <c r="F75" i="12"/>
  <c r="C113" i="12"/>
  <c r="F113" i="12" s="1"/>
  <c r="F85" i="12"/>
  <c r="J90" i="12"/>
  <c r="F88" i="12"/>
  <c r="J72" i="12"/>
  <c r="J73" i="12"/>
  <c r="F93" i="12"/>
  <c r="J87" i="12"/>
  <c r="J84" i="12"/>
  <c r="J81" i="12"/>
  <c r="D125" i="12"/>
  <c r="F125" i="12" s="1"/>
  <c r="D117" i="12"/>
  <c r="F117" i="12" s="1"/>
  <c r="D109" i="12"/>
  <c r="F109" i="12" s="1"/>
  <c r="J93" i="12"/>
  <c r="J85" i="12"/>
  <c r="J77" i="12"/>
  <c r="H35" i="33" l="1"/>
  <c r="G35" i="33"/>
  <c r="K1" i="10"/>
  <c r="F18" i="10"/>
  <c r="F17" i="10"/>
  <c r="F16" i="10"/>
  <c r="D18" i="10"/>
  <c r="D17" i="10"/>
  <c r="D16" i="10"/>
  <c r="AE18" i="3"/>
  <c r="AZ5" i="23"/>
  <c r="BD5" i="23"/>
  <c r="BH5" i="23"/>
  <c r="BL5" i="23"/>
  <c r="BP5" i="23"/>
  <c r="BT5" i="23"/>
  <c r="BX5" i="23"/>
  <c r="CB5" i="23"/>
  <c r="AZ6" i="23"/>
  <c r="BD6" i="23"/>
  <c r="BH6" i="23"/>
  <c r="BL6" i="23"/>
  <c r="BP6" i="23"/>
  <c r="BT6" i="23"/>
  <c r="BX6" i="23"/>
  <c r="CB6" i="23"/>
  <c r="AZ7" i="23"/>
  <c r="BD7" i="23"/>
  <c r="BH7" i="23"/>
  <c r="BL7" i="23"/>
  <c r="BP7" i="23"/>
  <c r="BT7" i="23"/>
  <c r="BX7" i="23"/>
  <c r="CB7" i="23"/>
  <c r="AZ8" i="23"/>
  <c r="BD8" i="23"/>
  <c r="BH8" i="23"/>
  <c r="BL8" i="23"/>
  <c r="BP8" i="23"/>
  <c r="BT8" i="23"/>
  <c r="BX8" i="23"/>
  <c r="CB8" i="23"/>
  <c r="AZ9" i="23"/>
  <c r="BD9" i="23"/>
  <c r="BH9" i="23"/>
  <c r="BL9" i="23"/>
  <c r="BP9" i="23"/>
  <c r="BT9" i="23"/>
  <c r="BX9" i="23"/>
  <c r="CB9" i="23"/>
  <c r="AZ10" i="23"/>
  <c r="BD10" i="23"/>
  <c r="BH10" i="23"/>
  <c r="BL10" i="23"/>
  <c r="BP10" i="23"/>
  <c r="BT10" i="23"/>
  <c r="BX10" i="23"/>
  <c r="CB10" i="23"/>
  <c r="AZ11" i="23"/>
  <c r="BD11" i="23"/>
  <c r="BH11" i="23"/>
  <c r="BL11" i="23"/>
  <c r="BP11" i="23"/>
  <c r="BT11" i="23"/>
  <c r="BX11" i="23"/>
  <c r="CB11" i="23"/>
  <c r="AZ12" i="23"/>
  <c r="BD12" i="23"/>
  <c r="BH12" i="23"/>
  <c r="BL12" i="23"/>
  <c r="BP12" i="23"/>
  <c r="BT12" i="23"/>
  <c r="BX12" i="23"/>
  <c r="CB12" i="23"/>
  <c r="AZ13" i="23"/>
  <c r="BD13" i="23"/>
  <c r="BH13" i="23"/>
  <c r="BL13" i="23"/>
  <c r="BP13" i="23"/>
  <c r="BT13" i="23"/>
  <c r="BX13" i="23"/>
  <c r="CB13" i="23"/>
  <c r="AZ14" i="23"/>
  <c r="BD14" i="23"/>
  <c r="BH14" i="23"/>
  <c r="BL14" i="23"/>
  <c r="BP14" i="23"/>
  <c r="BT14" i="23"/>
  <c r="BX14" i="23"/>
  <c r="CB14" i="23"/>
  <c r="AZ15" i="23"/>
  <c r="BD15" i="23"/>
  <c r="BH15" i="23"/>
  <c r="BL15" i="23"/>
  <c r="BP15" i="23"/>
  <c r="BT15" i="23"/>
  <c r="BX15" i="23"/>
  <c r="CB15" i="23"/>
  <c r="AZ16" i="23"/>
  <c r="BD16" i="23"/>
  <c r="BH16" i="23"/>
  <c r="BL16" i="23"/>
  <c r="BP16" i="23"/>
  <c r="BT16" i="23"/>
  <c r="BX16" i="23"/>
  <c r="CB16" i="23"/>
  <c r="AZ17" i="23"/>
  <c r="BD17" i="23"/>
  <c r="BH17" i="23"/>
  <c r="BL17" i="23"/>
  <c r="BP17" i="23"/>
  <c r="BT17" i="23"/>
  <c r="BX17" i="23"/>
  <c r="CB17" i="23"/>
  <c r="AZ18" i="23"/>
  <c r="BD18" i="23"/>
  <c r="BH18" i="23"/>
  <c r="BL18" i="23"/>
  <c r="BP18" i="23"/>
  <c r="BT18" i="23"/>
  <c r="BX18" i="23"/>
  <c r="CB18" i="23"/>
  <c r="AZ19" i="23"/>
  <c r="BD19" i="23"/>
  <c r="BH19" i="23"/>
  <c r="BL19" i="23"/>
  <c r="BP19" i="23"/>
  <c r="BT19" i="23"/>
  <c r="BX19" i="23"/>
  <c r="CB19" i="23"/>
  <c r="AZ20" i="23"/>
  <c r="BD20" i="23"/>
  <c r="BH20" i="23"/>
  <c r="BL20" i="23"/>
  <c r="BP20" i="23"/>
  <c r="BT20" i="23"/>
  <c r="BX20" i="23"/>
  <c r="CB20" i="23"/>
  <c r="AZ21" i="23"/>
  <c r="BD21" i="23"/>
  <c r="BH21" i="23"/>
  <c r="BL21" i="23"/>
  <c r="BP21" i="23"/>
  <c r="BT21" i="23"/>
  <c r="BX21" i="23"/>
  <c r="CB21" i="23"/>
  <c r="AZ22" i="23"/>
  <c r="BD22" i="23"/>
  <c r="BH22" i="23"/>
  <c r="BL22" i="23"/>
  <c r="BP22" i="23"/>
  <c r="BT22" i="23"/>
  <c r="BX22" i="23"/>
  <c r="CB22" i="23"/>
  <c r="AZ23" i="23"/>
  <c r="BD23" i="23"/>
  <c r="BH23" i="23"/>
  <c r="BL23" i="23"/>
  <c r="BP23" i="23"/>
  <c r="BT23" i="23"/>
  <c r="BX23" i="23"/>
  <c r="CB23" i="23"/>
  <c r="AZ24" i="23"/>
  <c r="BD24" i="23"/>
  <c r="BH24" i="23"/>
  <c r="BL24" i="23"/>
  <c r="BP24" i="23"/>
  <c r="BT24" i="23"/>
  <c r="BX24" i="23"/>
  <c r="CB24" i="23"/>
  <c r="AZ25" i="23"/>
  <c r="BD25" i="23"/>
  <c r="BH25" i="23"/>
  <c r="BL25" i="23"/>
  <c r="BP25" i="23"/>
  <c r="BT25" i="23"/>
  <c r="BX25" i="23"/>
  <c r="CB25" i="23"/>
  <c r="AZ26" i="23"/>
  <c r="BD26" i="23"/>
  <c r="BH26" i="23"/>
  <c r="BL26" i="23"/>
  <c r="BP26" i="23"/>
  <c r="BT26" i="23"/>
  <c r="BX26" i="23"/>
  <c r="CB26" i="23"/>
  <c r="AZ27" i="23"/>
  <c r="BD27" i="23"/>
  <c r="BH27" i="23"/>
  <c r="BL27" i="23"/>
  <c r="BP27" i="23"/>
  <c r="BT27" i="23"/>
  <c r="BX27" i="23"/>
  <c r="CB27" i="23"/>
  <c r="AZ28" i="23"/>
  <c r="BD28" i="23"/>
  <c r="BH28" i="23"/>
  <c r="BL28" i="23"/>
  <c r="BP28" i="23"/>
  <c r="BT28" i="23"/>
  <c r="BX28" i="23"/>
  <c r="CB28" i="23"/>
  <c r="U136" i="10"/>
  <c r="U137" i="10"/>
  <c r="U138" i="10"/>
  <c r="U139" i="10"/>
  <c r="U140" i="10"/>
  <c r="U141" i="10"/>
  <c r="U142" i="10"/>
  <c r="U143" i="10"/>
  <c r="U144" i="10"/>
  <c r="U145" i="10"/>
  <c r="U146" i="10"/>
  <c r="U147" i="10"/>
  <c r="U148" i="10"/>
  <c r="U149" i="10"/>
  <c r="U150" i="10"/>
  <c r="U151" i="10"/>
  <c r="U152" i="10"/>
  <c r="U153" i="10"/>
  <c r="U154" i="10"/>
  <c r="U155" i="10"/>
  <c r="U156" i="10"/>
  <c r="U157" i="10"/>
  <c r="U158" i="10"/>
  <c r="G68" i="10"/>
  <c r="H68" i="10"/>
  <c r="I68" i="10"/>
  <c r="G69" i="10"/>
  <c r="H69" i="10"/>
  <c r="I69" i="10"/>
  <c r="G70" i="10"/>
  <c r="H70" i="10"/>
  <c r="I70" i="10"/>
  <c r="G71" i="10"/>
  <c r="H71" i="10"/>
  <c r="I71" i="10"/>
  <c r="G72" i="10"/>
  <c r="H72" i="10"/>
  <c r="I72" i="10"/>
  <c r="G73" i="10"/>
  <c r="H73" i="10"/>
  <c r="I73" i="10"/>
  <c r="G74" i="10"/>
  <c r="H74" i="10"/>
  <c r="I74" i="10"/>
  <c r="G75" i="10"/>
  <c r="H75" i="10"/>
  <c r="I75" i="10"/>
  <c r="G76" i="10"/>
  <c r="H76" i="10"/>
  <c r="I76" i="10"/>
  <c r="G77" i="10"/>
  <c r="H77" i="10"/>
  <c r="I77" i="10"/>
  <c r="G78" i="10"/>
  <c r="H78" i="10"/>
  <c r="I78" i="10"/>
  <c r="G79" i="10"/>
  <c r="H79" i="10"/>
  <c r="I79" i="10"/>
  <c r="G80" i="10"/>
  <c r="H80" i="10"/>
  <c r="I80" i="10"/>
  <c r="G81" i="10"/>
  <c r="H81" i="10"/>
  <c r="I81" i="10"/>
  <c r="G82" i="10"/>
  <c r="H82" i="10"/>
  <c r="I82" i="10"/>
  <c r="G83" i="10"/>
  <c r="H83" i="10"/>
  <c r="I83" i="10"/>
  <c r="G84" i="10"/>
  <c r="H84" i="10"/>
  <c r="I84" i="10"/>
  <c r="G85" i="10"/>
  <c r="H85" i="10"/>
  <c r="I85" i="10"/>
  <c r="G86" i="10"/>
  <c r="H86" i="10"/>
  <c r="I86" i="10"/>
  <c r="G87" i="10"/>
  <c r="H87" i="10"/>
  <c r="I87" i="10"/>
  <c r="G88" i="10"/>
  <c r="H88" i="10"/>
  <c r="I88" i="10"/>
  <c r="G89" i="10"/>
  <c r="H89" i="10"/>
  <c r="I89" i="10"/>
  <c r="G90" i="10"/>
  <c r="H90" i="10"/>
  <c r="I90" i="10"/>
  <c r="C68" i="10"/>
  <c r="C101" i="10" s="1"/>
  <c r="D68" i="10"/>
  <c r="D101" i="10" s="1"/>
  <c r="E68" i="10"/>
  <c r="E101" i="10" s="1"/>
  <c r="C69" i="10"/>
  <c r="C102" i="10" s="1"/>
  <c r="D69" i="10"/>
  <c r="D102" i="10" s="1"/>
  <c r="E69" i="10"/>
  <c r="E102" i="10" s="1"/>
  <c r="C70" i="10"/>
  <c r="C103" i="10" s="1"/>
  <c r="D70" i="10"/>
  <c r="D103" i="10" s="1"/>
  <c r="E70" i="10"/>
  <c r="E103" i="10" s="1"/>
  <c r="C71" i="10"/>
  <c r="C104" i="10" s="1"/>
  <c r="D71" i="10"/>
  <c r="D104" i="10" s="1"/>
  <c r="E71" i="10"/>
  <c r="E104" i="10" s="1"/>
  <c r="C72" i="10"/>
  <c r="C105" i="10" s="1"/>
  <c r="D72" i="10"/>
  <c r="D105" i="10" s="1"/>
  <c r="E72" i="10"/>
  <c r="E105" i="10" s="1"/>
  <c r="C73" i="10"/>
  <c r="C106" i="10" s="1"/>
  <c r="D73" i="10"/>
  <c r="D106" i="10" s="1"/>
  <c r="E73" i="10"/>
  <c r="E106" i="10" s="1"/>
  <c r="C74" i="10"/>
  <c r="C107" i="10" s="1"/>
  <c r="D74" i="10"/>
  <c r="D107" i="10" s="1"/>
  <c r="E74" i="10"/>
  <c r="E107" i="10" s="1"/>
  <c r="C75" i="10"/>
  <c r="C108" i="10" s="1"/>
  <c r="D75" i="10"/>
  <c r="D108" i="10" s="1"/>
  <c r="E75" i="10"/>
  <c r="E108" i="10" s="1"/>
  <c r="C76" i="10"/>
  <c r="C109" i="10" s="1"/>
  <c r="D76" i="10"/>
  <c r="D109" i="10" s="1"/>
  <c r="E76" i="10"/>
  <c r="E109" i="10" s="1"/>
  <c r="C77" i="10"/>
  <c r="C110" i="10" s="1"/>
  <c r="D77" i="10"/>
  <c r="D110" i="10" s="1"/>
  <c r="E77" i="10"/>
  <c r="E110" i="10" s="1"/>
  <c r="C78" i="10"/>
  <c r="C111" i="10" s="1"/>
  <c r="D78" i="10"/>
  <c r="D111" i="10" s="1"/>
  <c r="E78" i="10"/>
  <c r="E111" i="10" s="1"/>
  <c r="C79" i="10"/>
  <c r="C112" i="10" s="1"/>
  <c r="D79" i="10"/>
  <c r="D112" i="10" s="1"/>
  <c r="E79" i="10"/>
  <c r="E112" i="10" s="1"/>
  <c r="C80" i="10"/>
  <c r="C113" i="10" s="1"/>
  <c r="D80" i="10"/>
  <c r="D113" i="10" s="1"/>
  <c r="E80" i="10"/>
  <c r="E113" i="10" s="1"/>
  <c r="C81" i="10"/>
  <c r="C114" i="10" s="1"/>
  <c r="D81" i="10"/>
  <c r="D114" i="10" s="1"/>
  <c r="E81" i="10"/>
  <c r="E114" i="10" s="1"/>
  <c r="C82" i="10"/>
  <c r="C115" i="10" s="1"/>
  <c r="D82" i="10"/>
  <c r="D115" i="10" s="1"/>
  <c r="E82" i="10"/>
  <c r="E115" i="10" s="1"/>
  <c r="C83" i="10"/>
  <c r="C116" i="10" s="1"/>
  <c r="D83" i="10"/>
  <c r="D116" i="10" s="1"/>
  <c r="E83" i="10"/>
  <c r="E116" i="10" s="1"/>
  <c r="C84" i="10"/>
  <c r="C117" i="10" s="1"/>
  <c r="D84" i="10"/>
  <c r="D117" i="10" s="1"/>
  <c r="E84" i="10"/>
  <c r="E117" i="10" s="1"/>
  <c r="D85" i="10"/>
  <c r="D118" i="10" s="1"/>
  <c r="E85" i="10"/>
  <c r="E118" i="10" s="1"/>
  <c r="C86" i="10"/>
  <c r="C119" i="10" s="1"/>
  <c r="D86" i="10"/>
  <c r="D119" i="10" s="1"/>
  <c r="E86" i="10"/>
  <c r="E119" i="10" s="1"/>
  <c r="D87" i="10"/>
  <c r="D120" i="10" s="1"/>
  <c r="E87" i="10"/>
  <c r="E120" i="10" s="1"/>
  <c r="C88" i="10"/>
  <c r="C121" i="10" s="1"/>
  <c r="D88" i="10"/>
  <c r="D121" i="10" s="1"/>
  <c r="E88" i="10"/>
  <c r="E121" i="10" s="1"/>
  <c r="C89" i="10"/>
  <c r="C122" i="10" s="1"/>
  <c r="D89" i="10"/>
  <c r="D122" i="10" s="1"/>
  <c r="E89" i="10"/>
  <c r="E122" i="10" s="1"/>
  <c r="C90" i="10"/>
  <c r="C123" i="10" s="1"/>
  <c r="D90" i="10"/>
  <c r="D123" i="10" s="1"/>
  <c r="E90" i="10"/>
  <c r="E123" i="10" s="1"/>
  <c r="D37" i="10"/>
  <c r="E37" i="10"/>
  <c r="C37" i="10"/>
  <c r="AE38" i="3" l="1"/>
  <c r="AE30" i="3"/>
  <c r="AE22" i="3"/>
  <c r="AE37" i="3"/>
  <c r="AE29" i="3"/>
  <c r="AE21" i="3"/>
  <c r="AE31" i="3"/>
  <c r="AE36" i="3"/>
  <c r="AE28" i="3"/>
  <c r="AE35" i="3"/>
  <c r="AE27" i="3"/>
  <c r="AE19" i="3"/>
  <c r="AE39" i="3"/>
  <c r="AE20" i="3"/>
  <c r="AE34" i="3"/>
  <c r="AE26" i="3"/>
  <c r="AE41" i="3"/>
  <c r="AE33" i="3"/>
  <c r="AE25" i="3"/>
  <c r="AE40" i="3"/>
  <c r="AE32" i="3"/>
  <c r="AE24" i="3"/>
  <c r="AE23" i="3"/>
  <c r="F114" i="10"/>
  <c r="F106" i="10"/>
  <c r="F112" i="10"/>
  <c r="F104" i="10"/>
  <c r="F122" i="10"/>
  <c r="F108" i="10"/>
  <c r="F113" i="10"/>
  <c r="F105" i="10"/>
  <c r="F103" i="10"/>
  <c r="F119" i="10"/>
  <c r="F110" i="10"/>
  <c r="F102" i="10"/>
  <c r="F116" i="10"/>
  <c r="F121" i="10"/>
  <c r="F115" i="10"/>
  <c r="F107" i="10"/>
  <c r="F111" i="10"/>
  <c r="F123" i="10"/>
  <c r="F117" i="10"/>
  <c r="F109" i="10"/>
  <c r="F101" i="10"/>
  <c r="J73" i="10"/>
  <c r="F81" i="10"/>
  <c r="F75" i="10"/>
  <c r="F72" i="10"/>
  <c r="F76" i="10"/>
  <c r="F77" i="10"/>
  <c r="F68" i="10"/>
  <c r="J83" i="10"/>
  <c r="F83" i="10"/>
  <c r="J82" i="10"/>
  <c r="J77" i="10"/>
  <c r="J69" i="10"/>
  <c r="J76" i="10"/>
  <c r="J74" i="10"/>
  <c r="F69" i="10"/>
  <c r="F84" i="10"/>
  <c r="F71" i="10"/>
  <c r="J75" i="10"/>
  <c r="J86" i="10"/>
  <c r="F86" i="10"/>
  <c r="J70" i="10"/>
  <c r="F70" i="10"/>
  <c r="J90" i="10"/>
  <c r="F89" i="10"/>
  <c r="F88" i="10"/>
  <c r="F80" i="10"/>
  <c r="J84" i="10"/>
  <c r="J79" i="10"/>
  <c r="C87" i="10"/>
  <c r="C120" i="10" s="1"/>
  <c r="F120" i="10" s="1"/>
  <c r="C85" i="10"/>
  <c r="J78" i="10"/>
  <c r="J68" i="10"/>
  <c r="F79" i="10"/>
  <c r="F78" i="10"/>
  <c r="J89" i="10"/>
  <c r="J80" i="10"/>
  <c r="J71" i="10"/>
  <c r="F90" i="10"/>
  <c r="F82" i="10"/>
  <c r="F74" i="10"/>
  <c r="J81" i="10"/>
  <c r="J88" i="10"/>
  <c r="F73" i="10"/>
  <c r="J72" i="10"/>
  <c r="F15" i="10"/>
  <c r="D15" i="10"/>
  <c r="G129" i="25"/>
  <c r="D127" i="25"/>
  <c r="G129" i="9"/>
  <c r="D127" i="9"/>
  <c r="G132" i="12"/>
  <c r="D130" i="12"/>
  <c r="G129" i="10"/>
  <c r="D127" i="10"/>
  <c r="Y142" i="10" s="1"/>
  <c r="G129" i="24"/>
  <c r="D127" i="24"/>
  <c r="J38" i="23"/>
  <c r="I36" i="23"/>
  <c r="Y153" i="12" l="1"/>
  <c r="Y141" i="12"/>
  <c r="Y160" i="12"/>
  <c r="Y161" i="12"/>
  <c r="Y154" i="12"/>
  <c r="Y146" i="12"/>
  <c r="Y149" i="12"/>
  <c r="Y156" i="12"/>
  <c r="Y151" i="12"/>
  <c r="Y142" i="12"/>
  <c r="Y152" i="12"/>
  <c r="Y143" i="12"/>
  <c r="Y150" i="12"/>
  <c r="Y148" i="12"/>
  <c r="Y158" i="12"/>
  <c r="Y159" i="12"/>
  <c r="Y147" i="12"/>
  <c r="Y145" i="12"/>
  <c r="Y144" i="12"/>
  <c r="Y157" i="12"/>
  <c r="Y139" i="12"/>
  <c r="Y155" i="12"/>
  <c r="Y140" i="12"/>
  <c r="F85" i="10"/>
  <c r="C118" i="10"/>
  <c r="F118" i="10" s="1"/>
  <c r="U141" i="25"/>
  <c r="U149" i="25"/>
  <c r="U157" i="25"/>
  <c r="U138" i="25"/>
  <c r="U146" i="25"/>
  <c r="U154" i="25"/>
  <c r="U152" i="25"/>
  <c r="U155" i="25"/>
  <c r="U142" i="25"/>
  <c r="U139" i="25"/>
  <c r="U151" i="25"/>
  <c r="U148" i="25"/>
  <c r="U153" i="25"/>
  <c r="U145" i="25"/>
  <c r="U150" i="25"/>
  <c r="U143" i="25"/>
  <c r="U147" i="25"/>
  <c r="U144" i="25"/>
  <c r="U156" i="25"/>
  <c r="U136" i="25"/>
  <c r="U140" i="25"/>
  <c r="U158" i="25"/>
  <c r="U137" i="25"/>
  <c r="U156" i="9"/>
  <c r="U151" i="9"/>
  <c r="U143" i="9"/>
  <c r="U148" i="9"/>
  <c r="U140" i="9"/>
  <c r="U150" i="9"/>
  <c r="U141" i="9"/>
  <c r="U138" i="9"/>
  <c r="U139" i="9"/>
  <c r="U157" i="9"/>
  <c r="U142" i="9"/>
  <c r="U153" i="9"/>
  <c r="U152" i="9"/>
  <c r="U137" i="9"/>
  <c r="U154" i="9"/>
  <c r="U146" i="9"/>
  <c r="U158" i="9"/>
  <c r="U145" i="9"/>
  <c r="U155" i="9"/>
  <c r="U147" i="9"/>
  <c r="U136" i="9"/>
  <c r="U149" i="9"/>
  <c r="U144" i="9"/>
  <c r="Y145" i="10"/>
  <c r="Y141" i="10"/>
  <c r="Y158" i="10"/>
  <c r="Y156" i="10"/>
  <c r="Y148" i="10"/>
  <c r="Y150" i="10"/>
  <c r="Y154" i="10"/>
  <c r="Y155" i="10"/>
  <c r="Y146" i="10"/>
  <c r="Y147" i="10"/>
  <c r="Y143" i="10"/>
  <c r="Y139" i="10"/>
  <c r="Y138" i="10"/>
  <c r="Y151" i="10"/>
  <c r="Y149" i="10"/>
  <c r="Y157" i="10"/>
  <c r="Y137" i="10"/>
  <c r="Y152" i="10"/>
  <c r="Y144" i="10"/>
  <c r="Y140" i="10"/>
  <c r="Y136" i="10"/>
  <c r="Y153" i="10"/>
  <c r="J85" i="10"/>
  <c r="F87" i="10"/>
  <c r="J87" i="10"/>
  <c r="B14" i="24"/>
  <c r="B13" i="24"/>
  <c r="C216" i="24" l="1"/>
  <c r="S136" i="24"/>
  <c r="S137" i="24"/>
  <c r="S138" i="24"/>
  <c r="S139" i="24"/>
  <c r="S140" i="24"/>
  <c r="S141" i="24"/>
  <c r="S142" i="24"/>
  <c r="S143" i="24"/>
  <c r="S144" i="24"/>
  <c r="S145" i="24"/>
  <c r="S146" i="24"/>
  <c r="S147" i="24"/>
  <c r="S148" i="24"/>
  <c r="S149" i="24"/>
  <c r="S150" i="24"/>
  <c r="S151" i="24"/>
  <c r="S152" i="24"/>
  <c r="S153" i="24"/>
  <c r="S154" i="24"/>
  <c r="S155" i="24"/>
  <c r="S156" i="24"/>
  <c r="S157" i="24"/>
  <c r="S158" i="24"/>
  <c r="N114" i="24"/>
  <c r="C212" i="24" s="1"/>
  <c r="N115" i="24"/>
  <c r="C213" i="24" s="1"/>
  <c r="N116" i="24"/>
  <c r="C214" i="24" s="1"/>
  <c r="N117" i="24"/>
  <c r="C215" i="24" s="1"/>
  <c r="N118" i="24"/>
  <c r="N119" i="24"/>
  <c r="C217" i="24" s="1"/>
  <c r="N120" i="24"/>
  <c r="C218" i="24" s="1"/>
  <c r="N121" i="24"/>
  <c r="C219" i="24" s="1"/>
  <c r="N122" i="24"/>
  <c r="C220" i="24" s="1"/>
  <c r="N123" i="24"/>
  <c r="C221" i="24" s="1"/>
  <c r="K5" i="24"/>
  <c r="K1" i="24"/>
  <c r="G14" i="24"/>
  <c r="E14" i="24"/>
  <c r="G13" i="24"/>
  <c r="E13" i="24"/>
  <c r="Q213" i="3"/>
  <c r="Q212" i="3" s="1"/>
  <c r="L218" i="3" s="1"/>
  <c r="Y156" i="3"/>
  <c r="X156" i="3"/>
  <c r="B156" i="3"/>
  <c r="S155" i="3"/>
  <c r="S154" i="3"/>
  <c r="S153" i="3"/>
  <c r="S151" i="3"/>
  <c r="S150" i="3"/>
  <c r="S146" i="3"/>
  <c r="U146" i="3" s="1"/>
  <c r="S144" i="3"/>
  <c r="S143" i="3"/>
  <c r="S142" i="3"/>
  <c r="S140" i="3"/>
  <c r="G126" i="3"/>
  <c r="D124" i="3"/>
  <c r="B121" i="3"/>
  <c r="N120" i="3"/>
  <c r="C218" i="3" s="1"/>
  <c r="N119" i="3"/>
  <c r="C217" i="3" s="1"/>
  <c r="N118" i="3"/>
  <c r="C216" i="3" s="1"/>
  <c r="N117" i="3"/>
  <c r="C215" i="3" s="1"/>
  <c r="N116" i="3"/>
  <c r="C214" i="3" s="1"/>
  <c r="N115" i="3"/>
  <c r="C213" i="3" s="1"/>
  <c r="N114" i="3"/>
  <c r="C212" i="3" s="1"/>
  <c r="N113" i="3"/>
  <c r="C211" i="3" s="1"/>
  <c r="N112" i="3"/>
  <c r="C210" i="3" s="1"/>
  <c r="N111" i="3"/>
  <c r="C209" i="3" s="1"/>
  <c r="A87" i="3"/>
  <c r="A120" i="3" s="1"/>
  <c r="A155" i="3" s="1"/>
  <c r="A187" i="3" s="1"/>
  <c r="A218" i="3" s="1"/>
  <c r="A86" i="3"/>
  <c r="A119" i="3" s="1"/>
  <c r="A154" i="3" s="1"/>
  <c r="A186" i="3" s="1"/>
  <c r="A217" i="3" s="1"/>
  <c r="A85" i="3"/>
  <c r="A118" i="3" s="1"/>
  <c r="A153" i="3" s="1"/>
  <c r="A185" i="3" s="1"/>
  <c r="A216" i="3" s="1"/>
  <c r="A84" i="3"/>
  <c r="A117" i="3" s="1"/>
  <c r="A152" i="3" s="1"/>
  <c r="A184" i="3" s="1"/>
  <c r="A215" i="3" s="1"/>
  <c r="A83" i="3"/>
  <c r="A116" i="3" s="1"/>
  <c r="A151" i="3" s="1"/>
  <c r="A183" i="3" s="1"/>
  <c r="A214" i="3" s="1"/>
  <c r="A82" i="3"/>
  <c r="A115" i="3" s="1"/>
  <c r="A150" i="3" s="1"/>
  <c r="A182" i="3" s="1"/>
  <c r="A213" i="3" s="1"/>
  <c r="A81" i="3"/>
  <c r="A114" i="3" s="1"/>
  <c r="A149" i="3" s="1"/>
  <c r="A181" i="3" s="1"/>
  <c r="A212" i="3" s="1"/>
  <c r="A80" i="3"/>
  <c r="A113" i="3" s="1"/>
  <c r="A148" i="3" s="1"/>
  <c r="A180" i="3" s="1"/>
  <c r="A211" i="3" s="1"/>
  <c r="A79" i="3"/>
  <c r="A112" i="3" s="1"/>
  <c r="A147" i="3" s="1"/>
  <c r="A179" i="3" s="1"/>
  <c r="A210" i="3" s="1"/>
  <c r="A78" i="3"/>
  <c r="A111" i="3" s="1"/>
  <c r="A146" i="3" s="1"/>
  <c r="A178" i="3" s="1"/>
  <c r="A209" i="3" s="1"/>
  <c r="A77" i="3"/>
  <c r="A110" i="3" s="1"/>
  <c r="A145" i="3" s="1"/>
  <c r="A177" i="3" s="1"/>
  <c r="A208" i="3" s="1"/>
  <c r="A76" i="3"/>
  <c r="A109" i="3" s="1"/>
  <c r="A144" i="3" s="1"/>
  <c r="A176" i="3" s="1"/>
  <c r="A207" i="3" s="1"/>
  <c r="A75" i="3"/>
  <c r="A108" i="3" s="1"/>
  <c r="A143" i="3" s="1"/>
  <c r="A175" i="3" s="1"/>
  <c r="A206" i="3" s="1"/>
  <c r="A74" i="3"/>
  <c r="A107" i="3" s="1"/>
  <c r="A142" i="3" s="1"/>
  <c r="A174" i="3" s="1"/>
  <c r="A205" i="3" s="1"/>
  <c r="A73" i="3"/>
  <c r="A106" i="3" s="1"/>
  <c r="A141" i="3" s="1"/>
  <c r="A173" i="3" s="1"/>
  <c r="A204" i="3" s="1"/>
  <c r="A72" i="3"/>
  <c r="A105" i="3" s="1"/>
  <c r="A140" i="3" s="1"/>
  <c r="A172" i="3" s="1"/>
  <c r="A203" i="3" s="1"/>
  <c r="A71" i="3"/>
  <c r="A104" i="3" s="1"/>
  <c r="A139" i="3" s="1"/>
  <c r="A171" i="3" s="1"/>
  <c r="A202" i="3" s="1"/>
  <c r="A70" i="3"/>
  <c r="A103" i="3" s="1"/>
  <c r="A138" i="3" s="1"/>
  <c r="A170" i="3" s="1"/>
  <c r="A201" i="3" s="1"/>
  <c r="A69" i="3"/>
  <c r="A102" i="3" s="1"/>
  <c r="A137" i="3" s="1"/>
  <c r="A169" i="3" s="1"/>
  <c r="A200" i="3" s="1"/>
  <c r="A68" i="3"/>
  <c r="A101" i="3" s="1"/>
  <c r="A136" i="3" s="1"/>
  <c r="A168" i="3" s="1"/>
  <c r="A199" i="3" s="1"/>
  <c r="A67" i="3"/>
  <c r="A100" i="3" s="1"/>
  <c r="A135" i="3" s="1"/>
  <c r="A167" i="3" s="1"/>
  <c r="A198" i="3" s="1"/>
  <c r="A66" i="3"/>
  <c r="A99" i="3" s="1"/>
  <c r="A134" i="3" s="1"/>
  <c r="A166" i="3" s="1"/>
  <c r="A197" i="3" s="1"/>
  <c r="A65" i="3"/>
  <c r="A98" i="3" s="1"/>
  <c r="A133" i="3" s="1"/>
  <c r="A165" i="3" s="1"/>
  <c r="A196" i="3" s="1"/>
  <c r="A64" i="3"/>
  <c r="A97" i="3" s="1"/>
  <c r="A132" i="3" s="1"/>
  <c r="A164" i="3" s="1"/>
  <c r="A195" i="3" s="1"/>
  <c r="I57" i="3"/>
  <c r="H57" i="3"/>
  <c r="G57" i="3"/>
  <c r="I56" i="3"/>
  <c r="H56" i="3"/>
  <c r="G56" i="3"/>
  <c r="I55" i="3"/>
  <c r="H55" i="3"/>
  <c r="G55" i="3"/>
  <c r="I54" i="3"/>
  <c r="H54" i="3"/>
  <c r="G54" i="3"/>
  <c r="I53" i="3"/>
  <c r="H53" i="3"/>
  <c r="G53" i="3"/>
  <c r="I52" i="3"/>
  <c r="H52" i="3"/>
  <c r="G52" i="3"/>
  <c r="I51" i="3"/>
  <c r="H51" i="3"/>
  <c r="G51" i="3"/>
  <c r="I50" i="3"/>
  <c r="H50" i="3"/>
  <c r="G50" i="3"/>
  <c r="I49" i="3"/>
  <c r="H49" i="3"/>
  <c r="G49" i="3"/>
  <c r="I48" i="3"/>
  <c r="H48" i="3"/>
  <c r="G48" i="3"/>
  <c r="I47" i="3"/>
  <c r="H47" i="3"/>
  <c r="G47" i="3"/>
  <c r="I46" i="3"/>
  <c r="H46" i="3"/>
  <c r="G46" i="3"/>
  <c r="I45" i="3"/>
  <c r="H45" i="3"/>
  <c r="G45" i="3"/>
  <c r="I44" i="3"/>
  <c r="H44" i="3"/>
  <c r="G44" i="3"/>
  <c r="I43" i="3"/>
  <c r="H43" i="3"/>
  <c r="G43" i="3"/>
  <c r="I42" i="3"/>
  <c r="H42" i="3"/>
  <c r="G42" i="3"/>
  <c r="I41" i="3"/>
  <c r="H41" i="3"/>
  <c r="G41" i="3"/>
  <c r="I40" i="3"/>
  <c r="H40" i="3"/>
  <c r="G40" i="3"/>
  <c r="I39" i="3"/>
  <c r="H39" i="3"/>
  <c r="G39" i="3"/>
  <c r="I38" i="3"/>
  <c r="H38" i="3"/>
  <c r="G38" i="3"/>
  <c r="I37" i="3"/>
  <c r="H37" i="3"/>
  <c r="G37" i="3"/>
  <c r="I36" i="3"/>
  <c r="H36" i="3"/>
  <c r="G36" i="3"/>
  <c r="I35" i="3"/>
  <c r="H35" i="3"/>
  <c r="G35" i="3"/>
  <c r="I34" i="3"/>
  <c r="H34" i="3"/>
  <c r="G34" i="3"/>
  <c r="C24" i="3"/>
  <c r="C16" i="3"/>
  <c r="F15" i="3"/>
  <c r="D15" i="3"/>
  <c r="B15" i="3"/>
  <c r="A15" i="3"/>
  <c r="G14" i="3"/>
  <c r="F14" i="3"/>
  <c r="E14" i="3"/>
  <c r="E15" i="3" s="1"/>
  <c r="D14" i="3"/>
  <c r="B14" i="3"/>
  <c r="A14" i="3"/>
  <c r="G13" i="3"/>
  <c r="F13" i="3"/>
  <c r="E13" i="3"/>
  <c r="D13" i="3"/>
  <c r="B13" i="3"/>
  <c r="A13" i="3"/>
  <c r="K5" i="3"/>
  <c r="K1" i="3"/>
  <c r="D61" i="33"/>
  <c r="D62" i="33"/>
  <c r="D60" i="33"/>
  <c r="D59" i="33"/>
  <c r="D58" i="33"/>
  <c r="D57" i="33"/>
  <c r="F62" i="33"/>
  <c r="G62" i="33" s="1"/>
  <c r="F61" i="33"/>
  <c r="G61" i="33" s="1"/>
  <c r="F60" i="33"/>
  <c r="G60" i="33" s="1"/>
  <c r="F59" i="33"/>
  <c r="G59" i="33" s="1"/>
  <c r="F58" i="33"/>
  <c r="G58" i="33" s="1"/>
  <c r="F57" i="33"/>
  <c r="G57" i="33" s="1"/>
  <c r="O1" i="3" l="1"/>
  <c r="O2" i="3" s="1"/>
  <c r="R1" i="15"/>
  <c r="D251" i="15" s="1"/>
  <c r="F14" i="29"/>
  <c r="G9" i="16"/>
  <c r="U142" i="3"/>
  <c r="F24" i="3"/>
  <c r="C23" i="29"/>
  <c r="C27" i="25"/>
  <c r="C22" i="43"/>
  <c r="C27" i="10"/>
  <c r="C27" i="9"/>
  <c r="C30" i="12"/>
  <c r="C20" i="16"/>
  <c r="S139" i="3"/>
  <c r="U139" i="3" s="1"/>
  <c r="C27" i="24"/>
  <c r="H57" i="33"/>
  <c r="F61" i="3" s="1"/>
  <c r="B16" i="3"/>
  <c r="U150" i="3"/>
  <c r="H60" i="33"/>
  <c r="G16" i="3"/>
  <c r="F16" i="3"/>
  <c r="E16" i="3"/>
  <c r="D16" i="3"/>
  <c r="S135" i="3"/>
  <c r="U135" i="3" s="1"/>
  <c r="S141" i="3"/>
  <c r="U141" i="3" s="1"/>
  <c r="S152" i="3"/>
  <c r="U152" i="3" s="1"/>
  <c r="U144" i="3"/>
  <c r="S149" i="3"/>
  <c r="U149" i="3" s="1"/>
  <c r="S138" i="3"/>
  <c r="U138" i="3" s="1"/>
  <c r="U153" i="3"/>
  <c r="U143" i="3"/>
  <c r="U155" i="3"/>
  <c r="S148" i="3"/>
  <c r="U148" i="3" s="1"/>
  <c r="S137" i="3"/>
  <c r="U137" i="3" s="1"/>
  <c r="U140" i="3"/>
  <c r="U151" i="3"/>
  <c r="U154" i="3"/>
  <c r="S147" i="3"/>
  <c r="U147" i="3" s="1"/>
  <c r="S136" i="3"/>
  <c r="U136" i="3" s="1"/>
  <c r="J40" i="33" l="1"/>
  <c r="J39" i="33"/>
  <c r="C13" i="9" s="1"/>
  <c r="H86" i="3"/>
  <c r="H85" i="3"/>
  <c r="G84" i="3"/>
  <c r="H79" i="3"/>
  <c r="G86" i="3"/>
  <c r="H78" i="3"/>
  <c r="G75" i="3"/>
  <c r="H65" i="3"/>
  <c r="H64" i="3"/>
  <c r="I85" i="3"/>
  <c r="H80" i="3"/>
  <c r="G80" i="3"/>
  <c r="I75" i="3"/>
  <c r="H70" i="3"/>
  <c r="H67" i="3"/>
  <c r="I70" i="3"/>
  <c r="H71" i="3"/>
  <c r="H81" i="3"/>
  <c r="G74" i="3"/>
  <c r="H77" i="3"/>
  <c r="I67" i="3"/>
  <c r="H75" i="3"/>
  <c r="H73" i="3"/>
  <c r="G69" i="3"/>
  <c r="H83" i="3"/>
  <c r="I81" i="3"/>
  <c r="H69" i="3"/>
  <c r="G78" i="3"/>
  <c r="G87" i="3"/>
  <c r="G85" i="3"/>
  <c r="H84" i="3"/>
  <c r="I83" i="3"/>
  <c r="G76" i="3"/>
  <c r="G83" i="3"/>
  <c r="H74" i="3"/>
  <c r="I74" i="3"/>
  <c r="I68" i="3"/>
  <c r="I82" i="3"/>
  <c r="I78" i="3"/>
  <c r="I84" i="3"/>
  <c r="G77" i="3"/>
  <c r="I79" i="3"/>
  <c r="G72" i="3"/>
  <c r="G79" i="3"/>
  <c r="H66" i="3"/>
  <c r="G65" i="3"/>
  <c r="I65" i="3"/>
  <c r="I77" i="3"/>
  <c r="G81" i="3"/>
  <c r="I76" i="3"/>
  <c r="H76" i="3"/>
  <c r="I71" i="3"/>
  <c r="G66" i="3"/>
  <c r="I69" i="3"/>
  <c r="H68" i="3"/>
  <c r="I80" i="3"/>
  <c r="G73" i="3"/>
  <c r="H72" i="3"/>
  <c r="G68" i="3"/>
  <c r="H87" i="3"/>
  <c r="G71" i="3"/>
  <c r="G70" i="3"/>
  <c r="I87" i="3"/>
  <c r="I72" i="3"/>
  <c r="I86" i="3"/>
  <c r="G82" i="3"/>
  <c r="I66" i="3"/>
  <c r="H82" i="3"/>
  <c r="G64" i="3"/>
  <c r="G67" i="3"/>
  <c r="I64" i="3"/>
  <c r="I73" i="3"/>
  <c r="F64" i="24"/>
  <c r="F20" i="3"/>
  <c r="D20" i="3"/>
  <c r="D3" i="20" s="1"/>
  <c r="D19" i="3"/>
  <c r="D2" i="20" s="1"/>
  <c r="F19" i="3"/>
  <c r="G19" i="3"/>
  <c r="E19" i="3"/>
  <c r="G20" i="3"/>
  <c r="E20" i="3"/>
  <c r="I73" i="24" l="1"/>
  <c r="J41" i="33"/>
  <c r="J42" i="33"/>
  <c r="G77" i="24"/>
  <c r="G72" i="24"/>
  <c r="I72" i="24"/>
  <c r="H79" i="24"/>
  <c r="G88" i="24"/>
  <c r="H89" i="24"/>
  <c r="H75" i="24"/>
  <c r="H88" i="24"/>
  <c r="H83" i="24"/>
  <c r="H74" i="24"/>
  <c r="G70" i="24"/>
  <c r="G74" i="24"/>
  <c r="I81" i="24"/>
  <c r="G85" i="24"/>
  <c r="H90" i="24"/>
  <c r="D22" i="3"/>
  <c r="D23" i="3" s="1"/>
  <c r="E22" i="3"/>
  <c r="E23" i="3" s="1"/>
  <c r="I75" i="24"/>
  <c r="H84" i="24"/>
  <c r="G80" i="24"/>
  <c r="I70" i="24"/>
  <c r="G78" i="24"/>
  <c r="I84" i="24"/>
  <c r="I71" i="24"/>
  <c r="G82" i="24"/>
  <c r="I86" i="24"/>
  <c r="G71" i="24"/>
  <c r="I69" i="24"/>
  <c r="H69" i="24"/>
  <c r="H72" i="24"/>
  <c r="I83" i="24"/>
  <c r="H70" i="24"/>
  <c r="I78" i="24"/>
  <c r="H85" i="24"/>
  <c r="H87" i="24"/>
  <c r="I88" i="24"/>
  <c r="I89" i="24"/>
  <c r="G68" i="24"/>
  <c r="G87" i="24"/>
  <c r="H82" i="24"/>
  <c r="G69" i="24"/>
  <c r="H77" i="24"/>
  <c r="G84" i="24"/>
  <c r="G86" i="24"/>
  <c r="H80" i="24"/>
  <c r="I82" i="24"/>
  <c r="G90" i="24"/>
  <c r="I74" i="24"/>
  <c r="G81" i="24"/>
  <c r="I90" i="24"/>
  <c r="G76" i="24"/>
  <c r="G83" i="24"/>
  <c r="I80" i="24"/>
  <c r="H73" i="24"/>
  <c r="H81" i="24"/>
  <c r="I87" i="24"/>
  <c r="G73" i="24"/>
  <c r="I77" i="24"/>
  <c r="G89" i="24"/>
  <c r="G75" i="24"/>
  <c r="I79" i="24"/>
  <c r="G79" i="24"/>
  <c r="I68" i="24"/>
  <c r="I76" i="24"/>
  <c r="H86" i="24"/>
  <c r="H68" i="24"/>
  <c r="H76" i="24"/>
  <c r="I85" i="24"/>
  <c r="H71" i="24"/>
  <c r="H78" i="24"/>
  <c r="N4" i="33" l="1"/>
  <c r="M4" i="33"/>
  <c r="O1" i="49" l="1"/>
  <c r="K2" i="57"/>
  <c r="B17" i="19"/>
  <c r="K2" i="3"/>
  <c r="M15" i="33"/>
  <c r="CF6" i="23"/>
  <c r="CJ6" i="23"/>
  <c r="CF7" i="23"/>
  <c r="CJ7" i="23"/>
  <c r="CF8" i="23"/>
  <c r="CJ8" i="23"/>
  <c r="CF9" i="23"/>
  <c r="CJ9" i="23"/>
  <c r="CF10" i="23"/>
  <c r="CJ10" i="23"/>
  <c r="CF11" i="23"/>
  <c r="CJ11" i="23"/>
  <c r="CF12" i="23"/>
  <c r="CJ12" i="23"/>
  <c r="CF13" i="23"/>
  <c r="CJ13" i="23"/>
  <c r="CF14" i="23"/>
  <c r="CJ14" i="23"/>
  <c r="CF15" i="23"/>
  <c r="CJ15" i="23"/>
  <c r="CF16" i="23"/>
  <c r="CJ16" i="23"/>
  <c r="CF17" i="23"/>
  <c r="CJ17" i="23"/>
  <c r="CF18" i="23"/>
  <c r="CJ18" i="23"/>
  <c r="CF19" i="23"/>
  <c r="CJ19" i="23"/>
  <c r="CF20" i="23"/>
  <c r="CJ20" i="23"/>
  <c r="CF21" i="23"/>
  <c r="CJ21" i="23"/>
  <c r="CF22" i="23"/>
  <c r="CJ22" i="23"/>
  <c r="CF23" i="23"/>
  <c r="CJ23" i="23"/>
  <c r="CF24" i="23"/>
  <c r="CJ24" i="23"/>
  <c r="CF25" i="23"/>
  <c r="CJ25" i="23"/>
  <c r="CF26" i="23"/>
  <c r="CJ26" i="23"/>
  <c r="CF27" i="23"/>
  <c r="CJ27" i="23"/>
  <c r="CF28" i="23"/>
  <c r="CJ28" i="23"/>
  <c r="B213" i="49" l="1"/>
  <c r="H51" i="33"/>
  <c r="D8" i="15" s="1"/>
  <c r="C151" i="15"/>
  <c r="C2" i="56"/>
  <c r="C79" i="57"/>
  <c r="K3" i="57"/>
  <c r="C80" i="57" s="1"/>
  <c r="F12" i="43"/>
  <c r="F13" i="43" s="1"/>
  <c r="F13" i="29"/>
  <c r="G10" i="16"/>
  <c r="G11" i="16" s="1"/>
  <c r="E15" i="16" s="1"/>
  <c r="D13" i="29"/>
  <c r="E10" i="16"/>
  <c r="E11" i="16" s="1"/>
  <c r="D15" i="16" s="1"/>
  <c r="C191" i="3"/>
  <c r="K3" i="3"/>
  <c r="N22" i="33"/>
  <c r="N24" i="33"/>
  <c r="N25" i="33"/>
  <c r="N27" i="33"/>
  <c r="N28" i="33"/>
  <c r="N29" i="33"/>
  <c r="N30" i="33"/>
  <c r="M22" i="33"/>
  <c r="M23" i="33"/>
  <c r="M30" i="33"/>
  <c r="G51" i="33"/>
  <c r="C8" i="15" s="1"/>
  <c r="M29" i="33"/>
  <c r="M14" i="33"/>
  <c r="M28" i="33" s="1"/>
  <c r="E2" i="20" s="1"/>
  <c r="M13" i="33"/>
  <c r="M27" i="33" s="1"/>
  <c r="D12" i="43" s="1"/>
  <c r="D13" i="43" s="1"/>
  <c r="H46" i="33"/>
  <c r="G46" i="33"/>
  <c r="M12" i="33"/>
  <c r="M26" i="33" s="1"/>
  <c r="M25" i="33"/>
  <c r="C9" i="15" l="1"/>
  <c r="C10" i="15" s="1"/>
  <c r="C192" i="3"/>
  <c r="C152" i="15"/>
  <c r="W51" i="15" s="1"/>
  <c r="C3" i="56"/>
  <c r="M24" i="33"/>
  <c r="M7" i="33"/>
  <c r="N7" i="33"/>
  <c r="N21" i="33" s="1"/>
  <c r="O6" i="31" l="1"/>
  <c r="C40" i="30" s="1"/>
  <c r="P6" i="31"/>
  <c r="N40" i="30" s="1"/>
  <c r="Q6" i="31"/>
  <c r="Y40" i="30" s="1"/>
  <c r="S6" i="31"/>
  <c r="T6" i="31"/>
  <c r="O40" i="30" s="1"/>
  <c r="U6" i="31"/>
  <c r="Z40" i="30" s="1"/>
  <c r="W6" i="31"/>
  <c r="E40" i="30" s="1"/>
  <c r="X6" i="31"/>
  <c r="P40" i="30" s="1"/>
  <c r="Y6" i="31"/>
  <c r="AA40" i="30" s="1"/>
  <c r="AA6" i="31"/>
  <c r="F40" i="30" s="1"/>
  <c r="AB6" i="31"/>
  <c r="Q40" i="30" s="1"/>
  <c r="AC6" i="31"/>
  <c r="AB40" i="30" s="1"/>
  <c r="AE6" i="31"/>
  <c r="G40" i="30" s="1"/>
  <c r="AF6" i="31"/>
  <c r="R40" i="30" s="1"/>
  <c r="AG6" i="31"/>
  <c r="AC40" i="30" s="1"/>
  <c r="AI6" i="31"/>
  <c r="H40" i="30" s="1"/>
  <c r="AJ6" i="31"/>
  <c r="S40" i="30" s="1"/>
  <c r="AK6" i="31"/>
  <c r="AD40" i="30" s="1"/>
  <c r="AM6" i="31"/>
  <c r="I40" i="30" s="1"/>
  <c r="AN6" i="31"/>
  <c r="T40" i="30" s="1"/>
  <c r="AO6" i="31"/>
  <c r="AE40" i="30" s="1"/>
  <c r="AQ6" i="31"/>
  <c r="J40" i="30" s="1"/>
  <c r="AR6" i="31"/>
  <c r="U40" i="30" s="1"/>
  <c r="AS6" i="31"/>
  <c r="AF40" i="30" s="1"/>
  <c r="AU6" i="31"/>
  <c r="K40" i="30" s="1"/>
  <c r="AV6" i="31"/>
  <c r="V40" i="30" s="1"/>
  <c r="AW6" i="31"/>
  <c r="AG40" i="30" s="1"/>
  <c r="AX6" i="31"/>
  <c r="AY6" i="31"/>
  <c r="AZ6" i="31"/>
  <c r="BA6" i="31"/>
  <c r="O7" i="31"/>
  <c r="C41" i="30" s="1"/>
  <c r="P7" i="31"/>
  <c r="N41" i="30" s="1"/>
  <c r="Q7" i="31"/>
  <c r="Y41" i="30" s="1"/>
  <c r="R7" i="31"/>
  <c r="S7" i="31"/>
  <c r="T7" i="31"/>
  <c r="O41" i="30" s="1"/>
  <c r="U7" i="31"/>
  <c r="Z41" i="30" s="1"/>
  <c r="V7" i="31"/>
  <c r="F39" i="24" s="1"/>
  <c r="W7" i="31"/>
  <c r="E41" i="30" s="1"/>
  <c r="X7" i="31"/>
  <c r="P41" i="30" s="1"/>
  <c r="Y7" i="31"/>
  <c r="AA41" i="30" s="1"/>
  <c r="Z7" i="31"/>
  <c r="AA7" i="31"/>
  <c r="F41" i="30" s="1"/>
  <c r="AB7" i="31"/>
  <c r="Q41" i="30" s="1"/>
  <c r="AC7" i="31"/>
  <c r="AB41" i="30" s="1"/>
  <c r="AD7" i="31"/>
  <c r="AE7" i="31"/>
  <c r="G41" i="30" s="1"/>
  <c r="AF7" i="31"/>
  <c r="R41" i="30" s="1"/>
  <c r="AG7" i="31"/>
  <c r="AC41" i="30" s="1"/>
  <c r="AH7" i="31"/>
  <c r="AI7" i="31"/>
  <c r="H41" i="30" s="1"/>
  <c r="AJ7" i="31"/>
  <c r="S41" i="30" s="1"/>
  <c r="AK7" i="31"/>
  <c r="AD41" i="30" s="1"/>
  <c r="AL7" i="31"/>
  <c r="AM7" i="31"/>
  <c r="I41" i="30" s="1"/>
  <c r="AN7" i="31"/>
  <c r="T41" i="30" s="1"/>
  <c r="AO7" i="31"/>
  <c r="AE41" i="30" s="1"/>
  <c r="AP7" i="31"/>
  <c r="AQ7" i="31"/>
  <c r="J41" i="30" s="1"/>
  <c r="AR7" i="31"/>
  <c r="U41" i="30" s="1"/>
  <c r="AS7" i="31"/>
  <c r="AF41" i="30" s="1"/>
  <c r="AT7" i="31"/>
  <c r="AU7" i="31"/>
  <c r="K41" i="30" s="1"/>
  <c r="AV7" i="31"/>
  <c r="V41" i="30" s="1"/>
  <c r="AW7" i="31"/>
  <c r="AG41" i="30" s="1"/>
  <c r="AX7" i="31"/>
  <c r="AY7" i="31"/>
  <c r="AZ7" i="31"/>
  <c r="BA7" i="31"/>
  <c r="BB7" i="31"/>
  <c r="O8" i="31"/>
  <c r="C42" i="30" s="1"/>
  <c r="P8" i="31"/>
  <c r="N42" i="30" s="1"/>
  <c r="Q8" i="31"/>
  <c r="Y42" i="30" s="1"/>
  <c r="R8" i="31"/>
  <c r="S8" i="31"/>
  <c r="T8" i="31"/>
  <c r="O42" i="30" s="1"/>
  <c r="U8" i="31"/>
  <c r="Z42" i="30" s="1"/>
  <c r="V8" i="31"/>
  <c r="F40" i="24" s="1"/>
  <c r="W8" i="31"/>
  <c r="E42" i="30" s="1"/>
  <c r="X8" i="31"/>
  <c r="P42" i="30" s="1"/>
  <c r="Y8" i="31"/>
  <c r="AA42" i="30" s="1"/>
  <c r="Z8" i="31"/>
  <c r="AA8" i="31"/>
  <c r="F42" i="30" s="1"/>
  <c r="AB8" i="31"/>
  <c r="Q42" i="30" s="1"/>
  <c r="AC8" i="31"/>
  <c r="AB42" i="30" s="1"/>
  <c r="AD8" i="31"/>
  <c r="AE8" i="31"/>
  <c r="G42" i="30" s="1"/>
  <c r="AF8" i="31"/>
  <c r="R42" i="30" s="1"/>
  <c r="AG8" i="31"/>
  <c r="AC42" i="30" s="1"/>
  <c r="AH8" i="31"/>
  <c r="AI8" i="31"/>
  <c r="H42" i="30" s="1"/>
  <c r="AJ8" i="31"/>
  <c r="S42" i="30" s="1"/>
  <c r="AK8" i="31"/>
  <c r="AD42" i="30" s="1"/>
  <c r="AL8" i="31"/>
  <c r="AM8" i="31"/>
  <c r="I42" i="30" s="1"/>
  <c r="AN8" i="31"/>
  <c r="T42" i="30" s="1"/>
  <c r="AO8" i="31"/>
  <c r="AE42" i="30" s="1"/>
  <c r="AP8" i="31"/>
  <c r="AQ8" i="31"/>
  <c r="J42" i="30" s="1"/>
  <c r="AR8" i="31"/>
  <c r="U42" i="30" s="1"/>
  <c r="AS8" i="31"/>
  <c r="AF42" i="30" s="1"/>
  <c r="AT8" i="31"/>
  <c r="AU8" i="31"/>
  <c r="K42" i="30" s="1"/>
  <c r="AV8" i="31"/>
  <c r="V42" i="30" s="1"/>
  <c r="AW8" i="31"/>
  <c r="AG42" i="30" s="1"/>
  <c r="AX8" i="31"/>
  <c r="AY8" i="31"/>
  <c r="AZ8" i="31"/>
  <c r="BA8" i="31"/>
  <c r="BB8" i="31"/>
  <c r="O9" i="31"/>
  <c r="C43" i="30" s="1"/>
  <c r="P9" i="31"/>
  <c r="N43" i="30" s="1"/>
  <c r="Q9" i="31"/>
  <c r="Y43" i="30" s="1"/>
  <c r="R9" i="31"/>
  <c r="S9" i="31"/>
  <c r="T9" i="31"/>
  <c r="O43" i="30" s="1"/>
  <c r="U9" i="31"/>
  <c r="Z43" i="30" s="1"/>
  <c r="V9" i="31"/>
  <c r="F41" i="24" s="1"/>
  <c r="W9" i="31"/>
  <c r="E43" i="30" s="1"/>
  <c r="X9" i="31"/>
  <c r="P43" i="30" s="1"/>
  <c r="Y9" i="31"/>
  <c r="AA43" i="30" s="1"/>
  <c r="Z9" i="31"/>
  <c r="AA9" i="31"/>
  <c r="F43" i="30" s="1"/>
  <c r="AB9" i="31"/>
  <c r="Q43" i="30" s="1"/>
  <c r="AC9" i="31"/>
  <c r="AB43" i="30" s="1"/>
  <c r="AD9" i="31"/>
  <c r="AE9" i="31"/>
  <c r="G43" i="30" s="1"/>
  <c r="AF9" i="31"/>
  <c r="R43" i="30" s="1"/>
  <c r="AG9" i="31"/>
  <c r="AC43" i="30" s="1"/>
  <c r="AH9" i="31"/>
  <c r="AI9" i="31"/>
  <c r="H43" i="30" s="1"/>
  <c r="AJ9" i="31"/>
  <c r="S43" i="30" s="1"/>
  <c r="AK9" i="31"/>
  <c r="AD43" i="30" s="1"/>
  <c r="AL9" i="31"/>
  <c r="AM9" i="31"/>
  <c r="I43" i="30" s="1"/>
  <c r="AN9" i="31"/>
  <c r="T43" i="30" s="1"/>
  <c r="AO9" i="31"/>
  <c r="AE43" i="30" s="1"/>
  <c r="AP9" i="31"/>
  <c r="AQ9" i="31"/>
  <c r="J43" i="30" s="1"/>
  <c r="AR9" i="31"/>
  <c r="U43" i="30" s="1"/>
  <c r="AS9" i="31"/>
  <c r="AF43" i="30" s="1"/>
  <c r="AT9" i="31"/>
  <c r="AU9" i="31"/>
  <c r="K43" i="30" s="1"/>
  <c r="AV9" i="31"/>
  <c r="V43" i="30" s="1"/>
  <c r="AW9" i="31"/>
  <c r="AG43" i="30" s="1"/>
  <c r="AX9" i="31"/>
  <c r="AY9" i="31"/>
  <c r="AZ9" i="31"/>
  <c r="BA9" i="31"/>
  <c r="BB9" i="31"/>
  <c r="O10" i="31"/>
  <c r="C44" i="30" s="1"/>
  <c r="P10" i="31"/>
  <c r="N44" i="30" s="1"/>
  <c r="Q10" i="31"/>
  <c r="Y44" i="30" s="1"/>
  <c r="R10" i="31"/>
  <c r="S10" i="31"/>
  <c r="T10" i="31"/>
  <c r="O44" i="30" s="1"/>
  <c r="U10" i="31"/>
  <c r="Z44" i="30" s="1"/>
  <c r="V10" i="31"/>
  <c r="F42" i="24" s="1"/>
  <c r="W10" i="31"/>
  <c r="E44" i="30" s="1"/>
  <c r="X10" i="31"/>
  <c r="P44" i="30" s="1"/>
  <c r="Y10" i="31"/>
  <c r="AA44" i="30" s="1"/>
  <c r="Z10" i="31"/>
  <c r="AA10" i="31"/>
  <c r="F44" i="30" s="1"/>
  <c r="AB10" i="31"/>
  <c r="Q44" i="30" s="1"/>
  <c r="AC10" i="31"/>
  <c r="AB44" i="30" s="1"/>
  <c r="AD10" i="31"/>
  <c r="AE10" i="31"/>
  <c r="G44" i="30" s="1"/>
  <c r="AF10" i="31"/>
  <c r="R44" i="30" s="1"/>
  <c r="AG10" i="31"/>
  <c r="AC44" i="30" s="1"/>
  <c r="AH10" i="31"/>
  <c r="AI10" i="31"/>
  <c r="H44" i="30" s="1"/>
  <c r="AJ10" i="31"/>
  <c r="S44" i="30" s="1"/>
  <c r="AK10" i="31"/>
  <c r="AD44" i="30" s="1"/>
  <c r="AL10" i="31"/>
  <c r="AM10" i="31"/>
  <c r="I44" i="30" s="1"/>
  <c r="AN10" i="31"/>
  <c r="T44" i="30" s="1"/>
  <c r="AO10" i="31"/>
  <c r="AE44" i="30" s="1"/>
  <c r="AP10" i="31"/>
  <c r="AQ10" i="31"/>
  <c r="J44" i="30" s="1"/>
  <c r="AR10" i="31"/>
  <c r="U44" i="30" s="1"/>
  <c r="AS10" i="31"/>
  <c r="AF44" i="30" s="1"/>
  <c r="AT10" i="31"/>
  <c r="AU10" i="31"/>
  <c r="K44" i="30" s="1"/>
  <c r="AV10" i="31"/>
  <c r="V44" i="30" s="1"/>
  <c r="AW10" i="31"/>
  <c r="AG44" i="30" s="1"/>
  <c r="AX10" i="31"/>
  <c r="AY10" i="31"/>
  <c r="AZ10" i="31"/>
  <c r="BA10" i="31"/>
  <c r="BB10" i="31"/>
  <c r="O11" i="31"/>
  <c r="C45" i="30" s="1"/>
  <c r="P11" i="31"/>
  <c r="N45" i="30" s="1"/>
  <c r="Q11" i="31"/>
  <c r="Y45" i="30" s="1"/>
  <c r="R11" i="31"/>
  <c r="S11" i="31"/>
  <c r="T11" i="31"/>
  <c r="O45" i="30" s="1"/>
  <c r="U11" i="31"/>
  <c r="Z45" i="30" s="1"/>
  <c r="V11" i="31"/>
  <c r="F43" i="24" s="1"/>
  <c r="W11" i="31"/>
  <c r="E45" i="30" s="1"/>
  <c r="X11" i="31"/>
  <c r="P45" i="30" s="1"/>
  <c r="Y11" i="31"/>
  <c r="AA45" i="30" s="1"/>
  <c r="Z11" i="31"/>
  <c r="AA11" i="31"/>
  <c r="F45" i="30" s="1"/>
  <c r="AB11" i="31"/>
  <c r="Q45" i="30" s="1"/>
  <c r="AC11" i="31"/>
  <c r="AB45" i="30" s="1"/>
  <c r="AD11" i="31"/>
  <c r="AE11" i="31"/>
  <c r="G45" i="30" s="1"/>
  <c r="AF11" i="31"/>
  <c r="R45" i="30" s="1"/>
  <c r="AG11" i="31"/>
  <c r="AC45" i="30" s="1"/>
  <c r="AH11" i="31"/>
  <c r="AI11" i="31"/>
  <c r="H45" i="30" s="1"/>
  <c r="AJ11" i="31"/>
  <c r="S45" i="30" s="1"/>
  <c r="AK11" i="31"/>
  <c r="AD45" i="30" s="1"/>
  <c r="AL11" i="31"/>
  <c r="AM11" i="31"/>
  <c r="I45" i="30" s="1"/>
  <c r="AN11" i="31"/>
  <c r="T45" i="30" s="1"/>
  <c r="AO11" i="31"/>
  <c r="AE45" i="30" s="1"/>
  <c r="AP11" i="31"/>
  <c r="AQ11" i="31"/>
  <c r="J45" i="30" s="1"/>
  <c r="AR11" i="31"/>
  <c r="U45" i="30" s="1"/>
  <c r="AS11" i="31"/>
  <c r="AF45" i="30" s="1"/>
  <c r="AT11" i="31"/>
  <c r="AU11" i="31"/>
  <c r="K45" i="30" s="1"/>
  <c r="AV11" i="31"/>
  <c r="V45" i="30" s="1"/>
  <c r="AW11" i="31"/>
  <c r="AG45" i="30" s="1"/>
  <c r="AX11" i="31"/>
  <c r="AY11" i="31"/>
  <c r="AZ11" i="31"/>
  <c r="BA11" i="31"/>
  <c r="BB11" i="31"/>
  <c r="O12" i="31"/>
  <c r="C46" i="30" s="1"/>
  <c r="P12" i="31"/>
  <c r="N46" i="30" s="1"/>
  <c r="Q12" i="31"/>
  <c r="Y46" i="30" s="1"/>
  <c r="R12" i="31"/>
  <c r="S12" i="31"/>
  <c r="T12" i="31"/>
  <c r="O46" i="30" s="1"/>
  <c r="U12" i="31"/>
  <c r="Z46" i="30" s="1"/>
  <c r="V12" i="31"/>
  <c r="F44" i="24" s="1"/>
  <c r="W12" i="31"/>
  <c r="E46" i="30" s="1"/>
  <c r="X12" i="31"/>
  <c r="P46" i="30" s="1"/>
  <c r="Y12" i="31"/>
  <c r="AA46" i="30" s="1"/>
  <c r="Z12" i="31"/>
  <c r="AA12" i="31"/>
  <c r="F46" i="30" s="1"/>
  <c r="AB12" i="31"/>
  <c r="Q46" i="30" s="1"/>
  <c r="AC12" i="31"/>
  <c r="AB46" i="30" s="1"/>
  <c r="AD12" i="31"/>
  <c r="AE12" i="31"/>
  <c r="G46" i="30" s="1"/>
  <c r="AF12" i="31"/>
  <c r="R46" i="30" s="1"/>
  <c r="AG12" i="31"/>
  <c r="AC46" i="30" s="1"/>
  <c r="AH12" i="31"/>
  <c r="AI12" i="31"/>
  <c r="H46" i="30" s="1"/>
  <c r="AJ12" i="31"/>
  <c r="S46" i="30" s="1"/>
  <c r="AK12" i="31"/>
  <c r="AD46" i="30" s="1"/>
  <c r="AL12" i="31"/>
  <c r="AM12" i="31"/>
  <c r="I46" i="30" s="1"/>
  <c r="AN12" i="31"/>
  <c r="T46" i="30" s="1"/>
  <c r="AO12" i="31"/>
  <c r="AE46" i="30" s="1"/>
  <c r="AP12" i="31"/>
  <c r="AQ12" i="31"/>
  <c r="J46" i="30" s="1"/>
  <c r="AR12" i="31"/>
  <c r="U46" i="30" s="1"/>
  <c r="AS12" i="31"/>
  <c r="AF46" i="30" s="1"/>
  <c r="AT12" i="31"/>
  <c r="AU12" i="31"/>
  <c r="K46" i="30" s="1"/>
  <c r="AV12" i="31"/>
  <c r="V46" i="30" s="1"/>
  <c r="AW12" i="31"/>
  <c r="AG46" i="30" s="1"/>
  <c r="AX12" i="31"/>
  <c r="AY12" i="31"/>
  <c r="AZ12" i="31"/>
  <c r="BA12" i="31"/>
  <c r="BB12" i="31"/>
  <c r="O13" i="31"/>
  <c r="C47" i="30" s="1"/>
  <c r="P13" i="31"/>
  <c r="N47" i="30" s="1"/>
  <c r="Q13" i="31"/>
  <c r="Y47" i="30" s="1"/>
  <c r="R13" i="31"/>
  <c r="S13" i="31"/>
  <c r="T13" i="31"/>
  <c r="O47" i="30" s="1"/>
  <c r="U13" i="31"/>
  <c r="Z47" i="30" s="1"/>
  <c r="V13" i="31"/>
  <c r="F45" i="24" s="1"/>
  <c r="W13" i="31"/>
  <c r="E47" i="30" s="1"/>
  <c r="X13" i="31"/>
  <c r="P47" i="30" s="1"/>
  <c r="Y13" i="31"/>
  <c r="AA47" i="30" s="1"/>
  <c r="Z13" i="31"/>
  <c r="AA13" i="31"/>
  <c r="F47" i="30" s="1"/>
  <c r="AB13" i="31"/>
  <c r="Q47" i="30" s="1"/>
  <c r="AC13" i="31"/>
  <c r="AB47" i="30" s="1"/>
  <c r="AD13" i="31"/>
  <c r="AE13" i="31"/>
  <c r="G47" i="30" s="1"/>
  <c r="AF13" i="31"/>
  <c r="R47" i="30" s="1"/>
  <c r="AG13" i="31"/>
  <c r="AC47" i="30" s="1"/>
  <c r="AH13" i="31"/>
  <c r="AI13" i="31"/>
  <c r="H47" i="30" s="1"/>
  <c r="AJ13" i="31"/>
  <c r="S47" i="30" s="1"/>
  <c r="AK13" i="31"/>
  <c r="AD47" i="30" s="1"/>
  <c r="AL13" i="31"/>
  <c r="AM13" i="31"/>
  <c r="I47" i="30" s="1"/>
  <c r="AN13" i="31"/>
  <c r="T47" i="30" s="1"/>
  <c r="AO13" i="31"/>
  <c r="AE47" i="30" s="1"/>
  <c r="AP13" i="31"/>
  <c r="AQ13" i="31"/>
  <c r="J47" i="30" s="1"/>
  <c r="AR13" i="31"/>
  <c r="U47" i="30" s="1"/>
  <c r="AS13" i="31"/>
  <c r="AF47" i="30" s="1"/>
  <c r="AT13" i="31"/>
  <c r="AU13" i="31"/>
  <c r="K47" i="30" s="1"/>
  <c r="AV13" i="31"/>
  <c r="V47" i="30" s="1"/>
  <c r="AW13" i="31"/>
  <c r="AG47" i="30" s="1"/>
  <c r="AX13" i="31"/>
  <c r="AY13" i="31"/>
  <c r="AZ13" i="31"/>
  <c r="BA13" i="31"/>
  <c r="BB13" i="31"/>
  <c r="O14" i="31"/>
  <c r="C48" i="30" s="1"/>
  <c r="P14" i="31"/>
  <c r="N48" i="30" s="1"/>
  <c r="Q14" i="31"/>
  <c r="Y48" i="30" s="1"/>
  <c r="R14" i="31"/>
  <c r="S14" i="31"/>
  <c r="T14" i="31"/>
  <c r="O48" i="30" s="1"/>
  <c r="U14" i="31"/>
  <c r="Z48" i="30" s="1"/>
  <c r="V14" i="31"/>
  <c r="F46" i="24" s="1"/>
  <c r="W14" i="31"/>
  <c r="E48" i="30" s="1"/>
  <c r="X14" i="31"/>
  <c r="P48" i="30" s="1"/>
  <c r="Y14" i="31"/>
  <c r="AA48" i="30" s="1"/>
  <c r="Z14" i="31"/>
  <c r="AA14" i="31"/>
  <c r="F48" i="30" s="1"/>
  <c r="AB14" i="31"/>
  <c r="Q48" i="30" s="1"/>
  <c r="AC14" i="31"/>
  <c r="AB48" i="30" s="1"/>
  <c r="AD14" i="31"/>
  <c r="AE14" i="31"/>
  <c r="G48" i="30" s="1"/>
  <c r="AF14" i="31"/>
  <c r="R48" i="30" s="1"/>
  <c r="AG14" i="31"/>
  <c r="AC48" i="30" s="1"/>
  <c r="AH14" i="31"/>
  <c r="AI14" i="31"/>
  <c r="H48" i="30" s="1"/>
  <c r="AJ14" i="31"/>
  <c r="S48" i="30" s="1"/>
  <c r="AK14" i="31"/>
  <c r="AD48" i="30" s="1"/>
  <c r="AL14" i="31"/>
  <c r="AM14" i="31"/>
  <c r="I48" i="30" s="1"/>
  <c r="AN14" i="31"/>
  <c r="T48" i="30" s="1"/>
  <c r="AO14" i="31"/>
  <c r="AE48" i="30" s="1"/>
  <c r="AP14" i="31"/>
  <c r="AQ14" i="31"/>
  <c r="J48" i="30" s="1"/>
  <c r="AR14" i="31"/>
  <c r="U48" i="30" s="1"/>
  <c r="AS14" i="31"/>
  <c r="AF48" i="30" s="1"/>
  <c r="AT14" i="31"/>
  <c r="AU14" i="31"/>
  <c r="K48" i="30" s="1"/>
  <c r="AV14" i="31"/>
  <c r="V48" i="30" s="1"/>
  <c r="AW14" i="31"/>
  <c r="AG48" i="30" s="1"/>
  <c r="AX14" i="31"/>
  <c r="AY14" i="31"/>
  <c r="AZ14" i="31"/>
  <c r="BA14" i="31"/>
  <c r="BB14" i="31"/>
  <c r="O15" i="31"/>
  <c r="C49" i="30" s="1"/>
  <c r="P15" i="31"/>
  <c r="N49" i="30" s="1"/>
  <c r="Q15" i="31"/>
  <c r="Y49" i="30" s="1"/>
  <c r="R15" i="31"/>
  <c r="S15" i="31"/>
  <c r="T15" i="31"/>
  <c r="O49" i="30" s="1"/>
  <c r="U15" i="31"/>
  <c r="Z49" i="30" s="1"/>
  <c r="V15" i="31"/>
  <c r="F47" i="24" s="1"/>
  <c r="W15" i="31"/>
  <c r="E49" i="30" s="1"/>
  <c r="X15" i="31"/>
  <c r="P49" i="30" s="1"/>
  <c r="Y15" i="31"/>
  <c r="AA49" i="30" s="1"/>
  <c r="Z15" i="31"/>
  <c r="AA15" i="31"/>
  <c r="F49" i="30" s="1"/>
  <c r="AB15" i="31"/>
  <c r="Q49" i="30" s="1"/>
  <c r="AC15" i="31"/>
  <c r="AB49" i="30" s="1"/>
  <c r="AD15" i="31"/>
  <c r="AE15" i="31"/>
  <c r="G49" i="30" s="1"/>
  <c r="AF15" i="31"/>
  <c r="R49" i="30" s="1"/>
  <c r="AG15" i="31"/>
  <c r="AC49" i="30" s="1"/>
  <c r="AH15" i="31"/>
  <c r="AI15" i="31"/>
  <c r="H49" i="30" s="1"/>
  <c r="AJ15" i="31"/>
  <c r="S49" i="30" s="1"/>
  <c r="AK15" i="31"/>
  <c r="AD49" i="30" s="1"/>
  <c r="AL15" i="31"/>
  <c r="AM15" i="31"/>
  <c r="I49" i="30" s="1"/>
  <c r="AN15" i="31"/>
  <c r="T49" i="30" s="1"/>
  <c r="AO15" i="31"/>
  <c r="AE49" i="30" s="1"/>
  <c r="AP15" i="31"/>
  <c r="AQ15" i="31"/>
  <c r="J49" i="30" s="1"/>
  <c r="AR15" i="31"/>
  <c r="U49" i="30" s="1"/>
  <c r="AS15" i="31"/>
  <c r="AF49" i="30" s="1"/>
  <c r="AT15" i="31"/>
  <c r="AU15" i="31"/>
  <c r="K49" i="30" s="1"/>
  <c r="AV15" i="31"/>
  <c r="V49" i="30" s="1"/>
  <c r="AW15" i="31"/>
  <c r="AG49" i="30" s="1"/>
  <c r="AX15" i="31"/>
  <c r="AY15" i="31"/>
  <c r="AZ15" i="31"/>
  <c r="BA15" i="31"/>
  <c r="BB15" i="31"/>
  <c r="O16" i="31"/>
  <c r="C50" i="30" s="1"/>
  <c r="P16" i="31"/>
  <c r="N50" i="30" s="1"/>
  <c r="Q16" i="31"/>
  <c r="Y50" i="30" s="1"/>
  <c r="R16" i="31"/>
  <c r="S16" i="31"/>
  <c r="T16" i="31"/>
  <c r="O50" i="30" s="1"/>
  <c r="U16" i="31"/>
  <c r="Z50" i="30" s="1"/>
  <c r="V16" i="31"/>
  <c r="F48" i="24" s="1"/>
  <c r="W16" i="31"/>
  <c r="E50" i="30" s="1"/>
  <c r="X16" i="31"/>
  <c r="P50" i="30" s="1"/>
  <c r="Y16" i="31"/>
  <c r="AA50" i="30" s="1"/>
  <c r="Z16" i="31"/>
  <c r="AA16" i="31"/>
  <c r="F50" i="30" s="1"/>
  <c r="AB16" i="31"/>
  <c r="Q50" i="30" s="1"/>
  <c r="AC16" i="31"/>
  <c r="AB50" i="30" s="1"/>
  <c r="AD16" i="31"/>
  <c r="AE16" i="31"/>
  <c r="G50" i="30" s="1"/>
  <c r="AF16" i="31"/>
  <c r="R50" i="30" s="1"/>
  <c r="AG16" i="31"/>
  <c r="AC50" i="30" s="1"/>
  <c r="AH16" i="31"/>
  <c r="AI16" i="31"/>
  <c r="H50" i="30" s="1"/>
  <c r="AJ16" i="31"/>
  <c r="S50" i="30" s="1"/>
  <c r="AK16" i="31"/>
  <c r="AD50" i="30" s="1"/>
  <c r="AL16" i="31"/>
  <c r="AM16" i="31"/>
  <c r="I50" i="30" s="1"/>
  <c r="AN16" i="31"/>
  <c r="T50" i="30" s="1"/>
  <c r="AO16" i="31"/>
  <c r="AE50" i="30" s="1"/>
  <c r="AP16" i="31"/>
  <c r="AQ16" i="31"/>
  <c r="J50" i="30" s="1"/>
  <c r="AR16" i="31"/>
  <c r="U50" i="30" s="1"/>
  <c r="AS16" i="31"/>
  <c r="AF50" i="30" s="1"/>
  <c r="AT16" i="31"/>
  <c r="AU16" i="31"/>
  <c r="K50" i="30" s="1"/>
  <c r="AV16" i="31"/>
  <c r="V50" i="30" s="1"/>
  <c r="AW16" i="31"/>
  <c r="AG50" i="30" s="1"/>
  <c r="AX16" i="31"/>
  <c r="AY16" i="31"/>
  <c r="AZ16" i="31"/>
  <c r="BA16" i="31"/>
  <c r="BB16" i="31"/>
  <c r="O17" i="31"/>
  <c r="C51" i="30" s="1"/>
  <c r="P17" i="31"/>
  <c r="N51" i="30" s="1"/>
  <c r="Q17" i="31"/>
  <c r="Y51" i="30" s="1"/>
  <c r="R17" i="31"/>
  <c r="S17" i="31"/>
  <c r="T17" i="31"/>
  <c r="O51" i="30" s="1"/>
  <c r="U17" i="31"/>
  <c r="Z51" i="30" s="1"/>
  <c r="V17" i="31"/>
  <c r="F49" i="24" s="1"/>
  <c r="W17" i="31"/>
  <c r="E51" i="30" s="1"/>
  <c r="X17" i="31"/>
  <c r="P51" i="30" s="1"/>
  <c r="Y17" i="31"/>
  <c r="AA51" i="30" s="1"/>
  <c r="Z17" i="31"/>
  <c r="AA17" i="31"/>
  <c r="F51" i="30" s="1"/>
  <c r="AB17" i="31"/>
  <c r="Q51" i="30" s="1"/>
  <c r="AC17" i="31"/>
  <c r="AB51" i="30" s="1"/>
  <c r="AD17" i="31"/>
  <c r="AE17" i="31"/>
  <c r="G51" i="30" s="1"/>
  <c r="AF17" i="31"/>
  <c r="R51" i="30" s="1"/>
  <c r="AG17" i="31"/>
  <c r="AC51" i="30" s="1"/>
  <c r="AH17" i="31"/>
  <c r="AI17" i="31"/>
  <c r="H51" i="30" s="1"/>
  <c r="AJ17" i="31"/>
  <c r="S51" i="30" s="1"/>
  <c r="AK17" i="31"/>
  <c r="AD51" i="30" s="1"/>
  <c r="AL17" i="31"/>
  <c r="AM17" i="31"/>
  <c r="I51" i="30" s="1"/>
  <c r="AN17" i="31"/>
  <c r="T51" i="30" s="1"/>
  <c r="AO17" i="31"/>
  <c r="AE51" i="30" s="1"/>
  <c r="AP17" i="31"/>
  <c r="AQ17" i="31"/>
  <c r="J51" i="30" s="1"/>
  <c r="AR17" i="31"/>
  <c r="U51" i="30" s="1"/>
  <c r="AS17" i="31"/>
  <c r="AF51" i="30" s="1"/>
  <c r="AT17" i="31"/>
  <c r="AU17" i="31"/>
  <c r="K51" i="30" s="1"/>
  <c r="AV17" i="31"/>
  <c r="V51" i="30" s="1"/>
  <c r="AW17" i="31"/>
  <c r="AG51" i="30" s="1"/>
  <c r="AX17" i="31"/>
  <c r="AY17" i="31"/>
  <c r="AZ17" i="31"/>
  <c r="BA17" i="31"/>
  <c r="BB17" i="31"/>
  <c r="O18" i="31"/>
  <c r="C52" i="30" s="1"/>
  <c r="P18" i="31"/>
  <c r="N52" i="30" s="1"/>
  <c r="Q18" i="31"/>
  <c r="Y52" i="30" s="1"/>
  <c r="S18" i="31"/>
  <c r="T18" i="31"/>
  <c r="O52" i="30" s="1"/>
  <c r="U18" i="31"/>
  <c r="Z52" i="30" s="1"/>
  <c r="W18" i="31"/>
  <c r="E52" i="30" s="1"/>
  <c r="X18" i="31"/>
  <c r="P52" i="30" s="1"/>
  <c r="Y18" i="31"/>
  <c r="AA52" i="30" s="1"/>
  <c r="Z18" i="31"/>
  <c r="AA18" i="31"/>
  <c r="F52" i="30" s="1"/>
  <c r="AB18" i="31"/>
  <c r="Q52" i="30" s="1"/>
  <c r="AC18" i="31"/>
  <c r="AB52" i="30" s="1"/>
  <c r="AD18" i="31"/>
  <c r="AE18" i="31"/>
  <c r="G52" i="30" s="1"/>
  <c r="AF18" i="31"/>
  <c r="R52" i="30" s="1"/>
  <c r="AG18" i="31"/>
  <c r="AC52" i="30" s="1"/>
  <c r="AH18" i="31"/>
  <c r="AI18" i="31"/>
  <c r="H52" i="30" s="1"/>
  <c r="AJ18" i="31"/>
  <c r="S52" i="30" s="1"/>
  <c r="AK18" i="31"/>
  <c r="AD52" i="30" s="1"/>
  <c r="AL18" i="31"/>
  <c r="AM18" i="31"/>
  <c r="I52" i="30" s="1"/>
  <c r="AN18" i="31"/>
  <c r="T52" i="30" s="1"/>
  <c r="AO18" i="31"/>
  <c r="AE52" i="30" s="1"/>
  <c r="AP18" i="31"/>
  <c r="AQ18" i="31"/>
  <c r="J52" i="30" s="1"/>
  <c r="AR18" i="31"/>
  <c r="U52" i="30" s="1"/>
  <c r="AS18" i="31"/>
  <c r="AF52" i="30" s="1"/>
  <c r="AT18" i="31"/>
  <c r="AU18" i="31"/>
  <c r="K52" i="30" s="1"/>
  <c r="AV18" i="31"/>
  <c r="V52" i="30" s="1"/>
  <c r="AW18" i="31"/>
  <c r="AG52" i="30" s="1"/>
  <c r="AX18" i="31"/>
  <c r="AY18" i="31"/>
  <c r="AZ18" i="31"/>
  <c r="BA18" i="31"/>
  <c r="BB18" i="31"/>
  <c r="O19" i="31"/>
  <c r="C53" i="30" s="1"/>
  <c r="P19" i="31"/>
  <c r="N53" i="30" s="1"/>
  <c r="Q19" i="31"/>
  <c r="Y53" i="30" s="1"/>
  <c r="S19" i="31"/>
  <c r="T19" i="31"/>
  <c r="O53" i="30" s="1"/>
  <c r="U19" i="31"/>
  <c r="Z53" i="30" s="1"/>
  <c r="W19" i="31"/>
  <c r="E53" i="30" s="1"/>
  <c r="X19" i="31"/>
  <c r="P53" i="30" s="1"/>
  <c r="Y19" i="31"/>
  <c r="AA53" i="30" s="1"/>
  <c r="Z19" i="31"/>
  <c r="AA19" i="31"/>
  <c r="F53" i="30" s="1"/>
  <c r="AB19" i="31"/>
  <c r="Q53" i="30" s="1"/>
  <c r="AC19" i="31"/>
  <c r="AB53" i="30" s="1"/>
  <c r="AD19" i="31"/>
  <c r="AE19" i="31"/>
  <c r="G53" i="30" s="1"/>
  <c r="AF19" i="31"/>
  <c r="R53" i="30" s="1"/>
  <c r="AG19" i="31"/>
  <c r="AC53" i="30" s="1"/>
  <c r="AH19" i="31"/>
  <c r="AI19" i="31"/>
  <c r="H53" i="30" s="1"/>
  <c r="AJ19" i="31"/>
  <c r="S53" i="30" s="1"/>
  <c r="AK19" i="31"/>
  <c r="AD53" i="30" s="1"/>
  <c r="AL19" i="31"/>
  <c r="AM19" i="31"/>
  <c r="I53" i="30" s="1"/>
  <c r="AN19" i="31"/>
  <c r="T53" i="30" s="1"/>
  <c r="AO19" i="31"/>
  <c r="AE53" i="30" s="1"/>
  <c r="AP19" i="31"/>
  <c r="AQ19" i="31"/>
  <c r="J53" i="30" s="1"/>
  <c r="AR19" i="31"/>
  <c r="U53" i="30" s="1"/>
  <c r="AS19" i="31"/>
  <c r="AF53" i="30" s="1"/>
  <c r="AT19" i="31"/>
  <c r="AU19" i="31"/>
  <c r="K53" i="30" s="1"/>
  <c r="AV19" i="31"/>
  <c r="V53" i="30" s="1"/>
  <c r="AW19" i="31"/>
  <c r="AG53" i="30" s="1"/>
  <c r="AX19" i="31"/>
  <c r="AY19" i="31"/>
  <c r="AZ19" i="31"/>
  <c r="BA19" i="31"/>
  <c r="BB19" i="31"/>
  <c r="O20" i="31"/>
  <c r="C54" i="30" s="1"/>
  <c r="P20" i="31"/>
  <c r="N54" i="30" s="1"/>
  <c r="Q20" i="31"/>
  <c r="Y54" i="30" s="1"/>
  <c r="S20" i="31"/>
  <c r="T20" i="31"/>
  <c r="O54" i="30" s="1"/>
  <c r="U20" i="31"/>
  <c r="Z54" i="30" s="1"/>
  <c r="W20" i="31"/>
  <c r="E54" i="30" s="1"/>
  <c r="X20" i="31"/>
  <c r="P54" i="30" s="1"/>
  <c r="Y20" i="31"/>
  <c r="AA54" i="30" s="1"/>
  <c r="Z20" i="31"/>
  <c r="AA20" i="31"/>
  <c r="F54" i="30" s="1"/>
  <c r="AB20" i="31"/>
  <c r="Q54" i="30" s="1"/>
  <c r="AC20" i="31"/>
  <c r="AB54" i="30" s="1"/>
  <c r="AD20" i="31"/>
  <c r="AE20" i="31"/>
  <c r="G54" i="30" s="1"/>
  <c r="AF20" i="31"/>
  <c r="R54" i="30" s="1"/>
  <c r="AG20" i="31"/>
  <c r="AC54" i="30" s="1"/>
  <c r="AH20" i="31"/>
  <c r="AI20" i="31"/>
  <c r="H54" i="30" s="1"/>
  <c r="AJ20" i="31"/>
  <c r="S54" i="30" s="1"/>
  <c r="AK20" i="31"/>
  <c r="AD54" i="30" s="1"/>
  <c r="AL20" i="31"/>
  <c r="AM20" i="31"/>
  <c r="I54" i="30" s="1"/>
  <c r="AN20" i="31"/>
  <c r="T54" i="30" s="1"/>
  <c r="AO20" i="31"/>
  <c r="AE54" i="30" s="1"/>
  <c r="AP20" i="31"/>
  <c r="AQ20" i="31"/>
  <c r="J54" i="30" s="1"/>
  <c r="AR20" i="31"/>
  <c r="U54" i="30" s="1"/>
  <c r="AS20" i="31"/>
  <c r="AF54" i="30" s="1"/>
  <c r="AT20" i="31"/>
  <c r="AU20" i="31"/>
  <c r="K54" i="30" s="1"/>
  <c r="AV20" i="31"/>
  <c r="V54" i="30" s="1"/>
  <c r="AW20" i="31"/>
  <c r="AG54" i="30" s="1"/>
  <c r="AX20" i="31"/>
  <c r="AY20" i="31"/>
  <c r="AZ20" i="31"/>
  <c r="BA20" i="31"/>
  <c r="BB20" i="31"/>
  <c r="O21" i="31"/>
  <c r="C55" i="30" s="1"/>
  <c r="P21" i="31"/>
  <c r="N55" i="30" s="1"/>
  <c r="Q21" i="31"/>
  <c r="Y55" i="30" s="1"/>
  <c r="S21" i="31"/>
  <c r="T21" i="31"/>
  <c r="O55" i="30" s="1"/>
  <c r="U21" i="31"/>
  <c r="Z55" i="30" s="1"/>
  <c r="W21" i="31"/>
  <c r="E55" i="30" s="1"/>
  <c r="X21" i="31"/>
  <c r="P55" i="30" s="1"/>
  <c r="Y21" i="31"/>
  <c r="AA55" i="30" s="1"/>
  <c r="Z21" i="31"/>
  <c r="AA21" i="31"/>
  <c r="F55" i="30" s="1"/>
  <c r="AB21" i="31"/>
  <c r="Q55" i="30" s="1"/>
  <c r="AC21" i="31"/>
  <c r="AB55" i="30" s="1"/>
  <c r="AD21" i="31"/>
  <c r="AE21" i="31"/>
  <c r="G55" i="30" s="1"/>
  <c r="AF21" i="31"/>
  <c r="R55" i="30" s="1"/>
  <c r="AG21" i="31"/>
  <c r="AC55" i="30" s="1"/>
  <c r="AH21" i="31"/>
  <c r="AI21" i="31"/>
  <c r="H55" i="30" s="1"/>
  <c r="AJ21" i="31"/>
  <c r="S55" i="30" s="1"/>
  <c r="AK21" i="31"/>
  <c r="AD55" i="30" s="1"/>
  <c r="AL21" i="31"/>
  <c r="AM21" i="31"/>
  <c r="I55" i="30" s="1"/>
  <c r="AN21" i="31"/>
  <c r="T55" i="30" s="1"/>
  <c r="AO21" i="31"/>
  <c r="AE55" i="30" s="1"/>
  <c r="AP21" i="31"/>
  <c r="AQ21" i="31"/>
  <c r="J55" i="30" s="1"/>
  <c r="AR21" i="31"/>
  <c r="U55" i="30" s="1"/>
  <c r="AS21" i="31"/>
  <c r="AF55" i="30" s="1"/>
  <c r="AT21" i="31"/>
  <c r="AU21" i="31"/>
  <c r="K55" i="30" s="1"/>
  <c r="AV21" i="31"/>
  <c r="V55" i="30" s="1"/>
  <c r="AW21" i="31"/>
  <c r="AG55" i="30" s="1"/>
  <c r="AX21" i="31"/>
  <c r="AY21" i="31"/>
  <c r="AZ21" i="31"/>
  <c r="BA21" i="31"/>
  <c r="BB21" i="31"/>
  <c r="O22" i="31"/>
  <c r="C56" i="30" s="1"/>
  <c r="P22" i="31"/>
  <c r="N56" i="30" s="1"/>
  <c r="Q22" i="31"/>
  <c r="Y56" i="30" s="1"/>
  <c r="S22" i="31"/>
  <c r="T22" i="31"/>
  <c r="O56" i="30" s="1"/>
  <c r="U22" i="31"/>
  <c r="Z56" i="30" s="1"/>
  <c r="W22" i="31"/>
  <c r="E56" i="30" s="1"/>
  <c r="X22" i="31"/>
  <c r="P56" i="30" s="1"/>
  <c r="Y22" i="31"/>
  <c r="AA56" i="30" s="1"/>
  <c r="Z22" i="31"/>
  <c r="AA22" i="31"/>
  <c r="F56" i="30" s="1"/>
  <c r="AB22" i="31"/>
  <c r="Q56" i="30" s="1"/>
  <c r="AC22" i="31"/>
  <c r="AB56" i="30" s="1"/>
  <c r="AD22" i="31"/>
  <c r="AE22" i="31"/>
  <c r="G56" i="30" s="1"/>
  <c r="AF22" i="31"/>
  <c r="R56" i="30" s="1"/>
  <c r="AG22" i="31"/>
  <c r="AC56" i="30" s="1"/>
  <c r="AH22" i="31"/>
  <c r="AI22" i="31"/>
  <c r="H56" i="30" s="1"/>
  <c r="AJ22" i="31"/>
  <c r="S56" i="30" s="1"/>
  <c r="AK22" i="31"/>
  <c r="AD56" i="30" s="1"/>
  <c r="AL22" i="31"/>
  <c r="AM22" i="31"/>
  <c r="I56" i="30" s="1"/>
  <c r="AN22" i="31"/>
  <c r="T56" i="30" s="1"/>
  <c r="AO22" i="31"/>
  <c r="AE56" i="30" s="1"/>
  <c r="AP22" i="31"/>
  <c r="AQ22" i="31"/>
  <c r="J56" i="30" s="1"/>
  <c r="AR22" i="31"/>
  <c r="U56" i="30" s="1"/>
  <c r="AS22" i="31"/>
  <c r="AF56" i="30" s="1"/>
  <c r="AT22" i="31"/>
  <c r="AU22" i="31"/>
  <c r="K56" i="30" s="1"/>
  <c r="AV22" i="31"/>
  <c r="V56" i="30" s="1"/>
  <c r="AW22" i="31"/>
  <c r="AG56" i="30" s="1"/>
  <c r="AX22" i="31"/>
  <c r="AY22" i="31"/>
  <c r="AZ22" i="31"/>
  <c r="BA22" i="31"/>
  <c r="BB22" i="31"/>
  <c r="O23" i="31"/>
  <c r="C57" i="30" s="1"/>
  <c r="P23" i="31"/>
  <c r="N57" i="30" s="1"/>
  <c r="Q23" i="31"/>
  <c r="Y57" i="30" s="1"/>
  <c r="S23" i="31"/>
  <c r="T23" i="31"/>
  <c r="O57" i="30" s="1"/>
  <c r="U23" i="31"/>
  <c r="Z57" i="30" s="1"/>
  <c r="W23" i="31"/>
  <c r="E57" i="30" s="1"/>
  <c r="X23" i="31"/>
  <c r="P57" i="30" s="1"/>
  <c r="Y23" i="31"/>
  <c r="AA57" i="30" s="1"/>
  <c r="Z23" i="31"/>
  <c r="AA23" i="31"/>
  <c r="F57" i="30" s="1"/>
  <c r="AB23" i="31"/>
  <c r="Q57" i="30" s="1"/>
  <c r="AC23" i="31"/>
  <c r="AB57" i="30" s="1"/>
  <c r="AD23" i="31"/>
  <c r="AE23" i="31"/>
  <c r="G57" i="30" s="1"/>
  <c r="AF23" i="31"/>
  <c r="R57" i="30" s="1"/>
  <c r="AG23" i="31"/>
  <c r="AC57" i="30" s="1"/>
  <c r="AH23" i="31"/>
  <c r="AI23" i="31"/>
  <c r="H57" i="30" s="1"/>
  <c r="AJ23" i="31"/>
  <c r="S57" i="30" s="1"/>
  <c r="AK23" i="31"/>
  <c r="AD57" i="30" s="1"/>
  <c r="AL23" i="31"/>
  <c r="AM23" i="31"/>
  <c r="I57" i="30" s="1"/>
  <c r="AN23" i="31"/>
  <c r="T57" i="30" s="1"/>
  <c r="AO23" i="31"/>
  <c r="AE57" i="30" s="1"/>
  <c r="AP23" i="31"/>
  <c r="AQ23" i="31"/>
  <c r="J57" i="30" s="1"/>
  <c r="AR23" i="31"/>
  <c r="U57" i="30" s="1"/>
  <c r="AS23" i="31"/>
  <c r="AF57" i="30" s="1"/>
  <c r="AT23" i="31"/>
  <c r="AU23" i="31"/>
  <c r="K57" i="30" s="1"/>
  <c r="AV23" i="31"/>
  <c r="V57" i="30" s="1"/>
  <c r="AW23" i="31"/>
  <c r="AG57" i="30" s="1"/>
  <c r="AX23" i="31"/>
  <c r="AY23" i="31"/>
  <c r="AZ23" i="31"/>
  <c r="BA23" i="31"/>
  <c r="BB23" i="31"/>
  <c r="O24" i="31"/>
  <c r="C58" i="30" s="1"/>
  <c r="P24" i="31"/>
  <c r="N58" i="30" s="1"/>
  <c r="Q24" i="31"/>
  <c r="Y58" i="30" s="1"/>
  <c r="S24" i="31"/>
  <c r="T24" i="31"/>
  <c r="O58" i="30" s="1"/>
  <c r="U24" i="31"/>
  <c r="Z58" i="30" s="1"/>
  <c r="W24" i="31"/>
  <c r="E58" i="30" s="1"/>
  <c r="X24" i="31"/>
  <c r="P58" i="30" s="1"/>
  <c r="Y24" i="31"/>
  <c r="AA58" i="30" s="1"/>
  <c r="Z24" i="31"/>
  <c r="AA24" i="31"/>
  <c r="F58" i="30" s="1"/>
  <c r="AB24" i="31"/>
  <c r="Q58" i="30" s="1"/>
  <c r="AC24" i="31"/>
  <c r="AB58" i="30" s="1"/>
  <c r="AD24" i="31"/>
  <c r="AE24" i="31"/>
  <c r="G58" i="30" s="1"/>
  <c r="AF24" i="31"/>
  <c r="R58" i="30" s="1"/>
  <c r="AG24" i="31"/>
  <c r="AC58" i="30" s="1"/>
  <c r="AH24" i="31"/>
  <c r="AI24" i="31"/>
  <c r="H58" i="30" s="1"/>
  <c r="AJ24" i="31"/>
  <c r="S58" i="30" s="1"/>
  <c r="AK24" i="31"/>
  <c r="AD58" i="30" s="1"/>
  <c r="AL24" i="31"/>
  <c r="AM24" i="31"/>
  <c r="I58" i="30" s="1"/>
  <c r="AN24" i="31"/>
  <c r="T58" i="30" s="1"/>
  <c r="AO24" i="31"/>
  <c r="AE58" i="30" s="1"/>
  <c r="AP24" i="31"/>
  <c r="AQ24" i="31"/>
  <c r="J58" i="30" s="1"/>
  <c r="AR24" i="31"/>
  <c r="U58" i="30" s="1"/>
  <c r="AS24" i="31"/>
  <c r="AF58" i="30" s="1"/>
  <c r="AT24" i="31"/>
  <c r="AU24" i="31"/>
  <c r="K58" i="30" s="1"/>
  <c r="AV24" i="31"/>
  <c r="V58" i="30" s="1"/>
  <c r="AW24" i="31"/>
  <c r="AG58" i="30" s="1"/>
  <c r="AX24" i="31"/>
  <c r="AY24" i="31"/>
  <c r="AZ24" i="31"/>
  <c r="BA24" i="31"/>
  <c r="BB24" i="31"/>
  <c r="O25" i="31"/>
  <c r="C59" i="30" s="1"/>
  <c r="P25" i="31"/>
  <c r="N59" i="30" s="1"/>
  <c r="Q25" i="31"/>
  <c r="Y59" i="30" s="1"/>
  <c r="S25" i="31"/>
  <c r="T25" i="31"/>
  <c r="O59" i="30" s="1"/>
  <c r="U25" i="31"/>
  <c r="Z59" i="30" s="1"/>
  <c r="W25" i="31"/>
  <c r="E59" i="30" s="1"/>
  <c r="X25" i="31"/>
  <c r="P59" i="30" s="1"/>
  <c r="Y25" i="31"/>
  <c r="AA59" i="30" s="1"/>
  <c r="Z25" i="31"/>
  <c r="AA25" i="31"/>
  <c r="F59" i="30" s="1"/>
  <c r="AB25" i="31"/>
  <c r="Q59" i="30" s="1"/>
  <c r="AC25" i="31"/>
  <c r="AB59" i="30" s="1"/>
  <c r="AD25" i="31"/>
  <c r="AE25" i="31"/>
  <c r="G59" i="30" s="1"/>
  <c r="AF25" i="31"/>
  <c r="R59" i="30" s="1"/>
  <c r="AG25" i="31"/>
  <c r="AC59" i="30" s="1"/>
  <c r="AH25" i="31"/>
  <c r="AI25" i="31"/>
  <c r="H59" i="30" s="1"/>
  <c r="AJ25" i="31"/>
  <c r="S59" i="30" s="1"/>
  <c r="AK25" i="31"/>
  <c r="AD59" i="30" s="1"/>
  <c r="AL25" i="31"/>
  <c r="AM25" i="31"/>
  <c r="I59" i="30" s="1"/>
  <c r="AN25" i="31"/>
  <c r="T59" i="30" s="1"/>
  <c r="AO25" i="31"/>
  <c r="AE59" i="30" s="1"/>
  <c r="AP25" i="31"/>
  <c r="AQ25" i="31"/>
  <c r="J59" i="30" s="1"/>
  <c r="AR25" i="31"/>
  <c r="U59" i="30" s="1"/>
  <c r="AS25" i="31"/>
  <c r="AF59" i="30" s="1"/>
  <c r="AT25" i="31"/>
  <c r="AU25" i="31"/>
  <c r="K59" i="30" s="1"/>
  <c r="AV25" i="31"/>
  <c r="V59" i="30" s="1"/>
  <c r="AW25" i="31"/>
  <c r="AG59" i="30" s="1"/>
  <c r="AX25" i="31"/>
  <c r="AY25" i="31"/>
  <c r="AZ25" i="31"/>
  <c r="BA25" i="31"/>
  <c r="BB25" i="31"/>
  <c r="O26" i="31"/>
  <c r="C60" i="30" s="1"/>
  <c r="P26" i="31"/>
  <c r="N60" i="30" s="1"/>
  <c r="Q26" i="31"/>
  <c r="Y60" i="30" s="1"/>
  <c r="S26" i="31"/>
  <c r="T26" i="31"/>
  <c r="O60" i="30" s="1"/>
  <c r="U26" i="31"/>
  <c r="Z60" i="30" s="1"/>
  <c r="W26" i="31"/>
  <c r="E60" i="30" s="1"/>
  <c r="X26" i="31"/>
  <c r="P60" i="30" s="1"/>
  <c r="Y26" i="31"/>
  <c r="AA60" i="30" s="1"/>
  <c r="Z26" i="31"/>
  <c r="AA26" i="31"/>
  <c r="F60" i="30" s="1"/>
  <c r="AB26" i="31"/>
  <c r="Q60" i="30" s="1"/>
  <c r="AC26" i="31"/>
  <c r="AB60" i="30" s="1"/>
  <c r="AD26" i="31"/>
  <c r="AE26" i="31"/>
  <c r="G60" i="30" s="1"/>
  <c r="AF26" i="31"/>
  <c r="R60" i="30" s="1"/>
  <c r="AG26" i="31"/>
  <c r="AC60" i="30" s="1"/>
  <c r="AH26" i="31"/>
  <c r="AI26" i="31"/>
  <c r="H60" i="30" s="1"/>
  <c r="AJ26" i="31"/>
  <c r="S60" i="30" s="1"/>
  <c r="AK26" i="31"/>
  <c r="AD60" i="30" s="1"/>
  <c r="AL26" i="31"/>
  <c r="AM26" i="31"/>
  <c r="I60" i="30" s="1"/>
  <c r="AN26" i="31"/>
  <c r="T60" i="30" s="1"/>
  <c r="AO26" i="31"/>
  <c r="AE60" i="30" s="1"/>
  <c r="AP26" i="31"/>
  <c r="AQ26" i="31"/>
  <c r="J60" i="30" s="1"/>
  <c r="AR26" i="31"/>
  <c r="U60" i="30" s="1"/>
  <c r="AS26" i="31"/>
  <c r="AF60" i="30" s="1"/>
  <c r="AT26" i="31"/>
  <c r="AU26" i="31"/>
  <c r="K60" i="30" s="1"/>
  <c r="AV26" i="31"/>
  <c r="V60" i="30" s="1"/>
  <c r="AW26" i="31"/>
  <c r="AG60" i="30" s="1"/>
  <c r="AX26" i="31"/>
  <c r="AY26" i="31"/>
  <c r="AZ26" i="31"/>
  <c r="BA26" i="31"/>
  <c r="BB26" i="31"/>
  <c r="O27" i="31"/>
  <c r="C61" i="30" s="1"/>
  <c r="P27" i="31"/>
  <c r="N61" i="30" s="1"/>
  <c r="Q27" i="31"/>
  <c r="Y61" i="30" s="1"/>
  <c r="S27" i="31"/>
  <c r="T27" i="31"/>
  <c r="O61" i="30" s="1"/>
  <c r="U27" i="31"/>
  <c r="Z61" i="30" s="1"/>
  <c r="W27" i="31"/>
  <c r="E61" i="30" s="1"/>
  <c r="X27" i="31"/>
  <c r="P61" i="30" s="1"/>
  <c r="Y27" i="31"/>
  <c r="AA61" i="30" s="1"/>
  <c r="Z27" i="31"/>
  <c r="AA27" i="31"/>
  <c r="F61" i="30" s="1"/>
  <c r="AB27" i="31"/>
  <c r="Q61" i="30" s="1"/>
  <c r="AC27" i="31"/>
  <c r="AB61" i="30" s="1"/>
  <c r="AD27" i="31"/>
  <c r="AE27" i="31"/>
  <c r="G61" i="30" s="1"/>
  <c r="AF27" i="31"/>
  <c r="R61" i="30" s="1"/>
  <c r="AG27" i="31"/>
  <c r="AC61" i="30" s="1"/>
  <c r="AH27" i="31"/>
  <c r="AI27" i="31"/>
  <c r="H61" i="30" s="1"/>
  <c r="AJ27" i="31"/>
  <c r="S61" i="30" s="1"/>
  <c r="AK27" i="31"/>
  <c r="AD61" i="30" s="1"/>
  <c r="AL27" i="31"/>
  <c r="AM27" i="31"/>
  <c r="I61" i="30" s="1"/>
  <c r="AN27" i="31"/>
  <c r="T61" i="30" s="1"/>
  <c r="AO27" i="31"/>
  <c r="AE61" i="30" s="1"/>
  <c r="AP27" i="31"/>
  <c r="AQ27" i="31"/>
  <c r="J61" i="30" s="1"/>
  <c r="AR27" i="31"/>
  <c r="U61" i="30" s="1"/>
  <c r="AS27" i="31"/>
  <c r="AF61" i="30" s="1"/>
  <c r="AT27" i="31"/>
  <c r="AU27" i="31"/>
  <c r="K61" i="30" s="1"/>
  <c r="AV27" i="31"/>
  <c r="V61" i="30" s="1"/>
  <c r="AW27" i="31"/>
  <c r="AG61" i="30" s="1"/>
  <c r="AX27" i="31"/>
  <c r="AY27" i="31"/>
  <c r="AZ27" i="31"/>
  <c r="BA27" i="31"/>
  <c r="BB27" i="31"/>
  <c r="O28" i="31"/>
  <c r="C62" i="30" s="1"/>
  <c r="P28" i="31"/>
  <c r="N62" i="30" s="1"/>
  <c r="Q28" i="31"/>
  <c r="Y62" i="30" s="1"/>
  <c r="S28" i="31"/>
  <c r="T28" i="31"/>
  <c r="O62" i="30" s="1"/>
  <c r="U28" i="31"/>
  <c r="Z62" i="30" s="1"/>
  <c r="W28" i="31"/>
  <c r="E62" i="30" s="1"/>
  <c r="X28" i="31"/>
  <c r="P62" i="30" s="1"/>
  <c r="Y28" i="31"/>
  <c r="AA62" i="30" s="1"/>
  <c r="Z28" i="31"/>
  <c r="AA28" i="31"/>
  <c r="F62" i="30" s="1"/>
  <c r="AB28" i="31"/>
  <c r="Q62" i="30" s="1"/>
  <c r="AC28" i="31"/>
  <c r="AB62" i="30" s="1"/>
  <c r="AD28" i="31"/>
  <c r="AE28" i="31"/>
  <c r="G62" i="30" s="1"/>
  <c r="AF28" i="31"/>
  <c r="R62" i="30" s="1"/>
  <c r="AG28" i="31"/>
  <c r="AC62" i="30" s="1"/>
  <c r="AH28" i="31"/>
  <c r="AI28" i="31"/>
  <c r="H62" i="30" s="1"/>
  <c r="AJ28" i="31"/>
  <c r="S62" i="30" s="1"/>
  <c r="AK28" i="31"/>
  <c r="AD62" i="30" s="1"/>
  <c r="AL28" i="31"/>
  <c r="AM28" i="31"/>
  <c r="I62" i="30" s="1"/>
  <c r="AN28" i="31"/>
  <c r="T62" i="30" s="1"/>
  <c r="AO28" i="31"/>
  <c r="AE62" i="30" s="1"/>
  <c r="AP28" i="31"/>
  <c r="AQ28" i="31"/>
  <c r="J62" i="30" s="1"/>
  <c r="AR28" i="31"/>
  <c r="U62" i="30" s="1"/>
  <c r="AS28" i="31"/>
  <c r="AF62" i="30" s="1"/>
  <c r="AT28" i="31"/>
  <c r="AU28" i="31"/>
  <c r="K62" i="30" s="1"/>
  <c r="AV28" i="31"/>
  <c r="V62" i="30" s="1"/>
  <c r="AW28" i="31"/>
  <c r="AG62" i="30" s="1"/>
  <c r="AX28" i="31"/>
  <c r="AY28" i="31"/>
  <c r="AZ28" i="31"/>
  <c r="BA28" i="31"/>
  <c r="BB28" i="31"/>
  <c r="P5" i="31"/>
  <c r="N39" i="30" s="1"/>
  <c r="Q5" i="31"/>
  <c r="Y39" i="30" s="1"/>
  <c r="S5" i="31"/>
  <c r="D39" i="30" s="1"/>
  <c r="T5" i="31"/>
  <c r="U5" i="31"/>
  <c r="W5" i="31"/>
  <c r="E39" i="30" s="1"/>
  <c r="X5" i="31"/>
  <c r="P39" i="30" s="1"/>
  <c r="Y5" i="31"/>
  <c r="AA39" i="30" s="1"/>
  <c r="AA5" i="31"/>
  <c r="F39" i="30" s="1"/>
  <c r="AB5" i="31"/>
  <c r="Q39" i="30" s="1"/>
  <c r="AC5" i="31"/>
  <c r="AB39" i="30" s="1"/>
  <c r="AE5" i="31"/>
  <c r="G39" i="30" s="1"/>
  <c r="AF5" i="31"/>
  <c r="R39" i="30" s="1"/>
  <c r="AG5" i="31"/>
  <c r="AC39" i="30" s="1"/>
  <c r="AI5" i="31"/>
  <c r="H39" i="30" s="1"/>
  <c r="AJ5" i="31"/>
  <c r="S39" i="30" s="1"/>
  <c r="AK5" i="31"/>
  <c r="AD39" i="30" s="1"/>
  <c r="AM5" i="31"/>
  <c r="I39" i="30" s="1"/>
  <c r="AN5" i="31"/>
  <c r="T39" i="30" s="1"/>
  <c r="AO5" i="31"/>
  <c r="AE39" i="30" s="1"/>
  <c r="AQ5" i="31"/>
  <c r="J39" i="30" s="1"/>
  <c r="AR5" i="31"/>
  <c r="U39" i="30" s="1"/>
  <c r="AS5" i="31"/>
  <c r="AF39" i="30" s="1"/>
  <c r="AU5" i="31"/>
  <c r="K39" i="30" s="1"/>
  <c r="AV5" i="31"/>
  <c r="V39" i="30" s="1"/>
  <c r="AW5" i="31"/>
  <c r="AG39" i="30" s="1"/>
  <c r="AY5" i="31"/>
  <c r="AZ5" i="31"/>
  <c r="BA5" i="31"/>
  <c r="O5" i="31"/>
  <c r="C39" i="30" s="1"/>
  <c r="AH6" i="31"/>
  <c r="AH5" i="31"/>
  <c r="D29" i="23"/>
  <c r="C29" i="23"/>
  <c r="AT6" i="31"/>
  <c r="CF5" i="23"/>
  <c r="AX5" i="31" s="1"/>
  <c r="AT5" i="31"/>
  <c r="AJ83" i="30" l="1"/>
  <c r="AJ54" i="30"/>
  <c r="AR82" i="30"/>
  <c r="AR53" i="30"/>
  <c r="AP82" i="30"/>
  <c r="AP53" i="30"/>
  <c r="AN82" i="30"/>
  <c r="AN53" i="30"/>
  <c r="AL82" i="30"/>
  <c r="AL53" i="30"/>
  <c r="E37" i="15"/>
  <c r="E69" i="15" s="1"/>
  <c r="AH52" i="30"/>
  <c r="C36" i="15"/>
  <c r="L51" i="30"/>
  <c r="AQ80" i="30"/>
  <c r="AQ51" i="30"/>
  <c r="AO80" i="30"/>
  <c r="AO51" i="30"/>
  <c r="AM80" i="30"/>
  <c r="AM51" i="30"/>
  <c r="C49" i="24"/>
  <c r="D51" i="30"/>
  <c r="C35" i="15"/>
  <c r="L50" i="30"/>
  <c r="AQ79" i="30"/>
  <c r="AQ50" i="30"/>
  <c r="AO79" i="30"/>
  <c r="AO50" i="30"/>
  <c r="AM79" i="30"/>
  <c r="AM50" i="30"/>
  <c r="C48" i="24"/>
  <c r="D50" i="30"/>
  <c r="C34" i="15"/>
  <c r="L49" i="30"/>
  <c r="AO78" i="30"/>
  <c r="AO49" i="30"/>
  <c r="AM78" i="30"/>
  <c r="AM49" i="30"/>
  <c r="C33" i="15"/>
  <c r="L48" i="30"/>
  <c r="AQ77" i="30"/>
  <c r="AQ48" i="30"/>
  <c r="C32" i="15"/>
  <c r="L47" i="30"/>
  <c r="AQ76" i="30"/>
  <c r="AQ47" i="30"/>
  <c r="AO76" i="30"/>
  <c r="AO47" i="30"/>
  <c r="AM76" i="30"/>
  <c r="AM47" i="30"/>
  <c r="C45" i="24"/>
  <c r="D47" i="30"/>
  <c r="C31" i="15"/>
  <c r="L46" i="30"/>
  <c r="AQ75" i="30"/>
  <c r="AQ46" i="30"/>
  <c r="AO75" i="30"/>
  <c r="AO46" i="30"/>
  <c r="AM75" i="30"/>
  <c r="AM46" i="30"/>
  <c r="C44" i="24"/>
  <c r="D46" i="30"/>
  <c r="AQ73" i="30"/>
  <c r="AQ44" i="30"/>
  <c r="C28" i="15"/>
  <c r="L43" i="30"/>
  <c r="AQ72" i="30"/>
  <c r="AQ43" i="30"/>
  <c r="AP68" i="30"/>
  <c r="AP39" i="30"/>
  <c r="D45" i="15"/>
  <c r="D77" i="15" s="1"/>
  <c r="W60" i="30"/>
  <c r="C58" i="24"/>
  <c r="D60" i="30"/>
  <c r="D41" i="15"/>
  <c r="D73" i="15" s="1"/>
  <c r="W56" i="30"/>
  <c r="C54" i="24"/>
  <c r="D56" i="30"/>
  <c r="D37" i="15"/>
  <c r="D69" i="15" s="1"/>
  <c r="W52" i="30"/>
  <c r="C50" i="24"/>
  <c r="D52" i="30"/>
  <c r="AP69" i="30"/>
  <c r="AP40" i="30"/>
  <c r="AO85" i="30"/>
  <c r="AO56" i="30"/>
  <c r="AM69" i="30"/>
  <c r="AM40" i="30"/>
  <c r="AP91" i="30"/>
  <c r="AP62" i="30"/>
  <c r="AO89" i="30"/>
  <c r="AO60" i="30"/>
  <c r="AP87" i="30"/>
  <c r="AP58" i="30"/>
  <c r="E42" i="15"/>
  <c r="E74" i="15" s="1"/>
  <c r="AH57" i="30"/>
  <c r="AJ84" i="30"/>
  <c r="AJ55" i="30"/>
  <c r="AP83" i="30"/>
  <c r="AP54" i="30"/>
  <c r="AO81" i="30"/>
  <c r="AO52" i="30"/>
  <c r="D38" i="15"/>
  <c r="D70" i="15" s="1"/>
  <c r="W53" i="30"/>
  <c r="AR69" i="30"/>
  <c r="AR40" i="30"/>
  <c r="AJ69" i="30"/>
  <c r="AJ40" i="30"/>
  <c r="D42" i="15"/>
  <c r="D74" i="15" s="1"/>
  <c r="W57" i="30"/>
  <c r="C55" i="24"/>
  <c r="D57" i="30"/>
  <c r="C51" i="24"/>
  <c r="D53" i="30"/>
  <c r="AO68" i="30"/>
  <c r="AO39" i="30"/>
  <c r="C46" i="15"/>
  <c r="L61" i="30"/>
  <c r="AO90" i="30"/>
  <c r="AO61" i="30"/>
  <c r="AM90" i="30"/>
  <c r="AM61" i="30"/>
  <c r="E43" i="15"/>
  <c r="E75" i="15" s="1"/>
  <c r="AH58" i="30"/>
  <c r="C42" i="15"/>
  <c r="L57" i="30"/>
  <c r="AQ86" i="30"/>
  <c r="AQ57" i="30"/>
  <c r="AO86" i="30"/>
  <c r="AO57" i="30"/>
  <c r="AM86" i="30"/>
  <c r="AM57" i="30"/>
  <c r="AJ85" i="30"/>
  <c r="AJ56" i="30"/>
  <c r="AR84" i="30"/>
  <c r="AR55" i="30"/>
  <c r="AP84" i="30"/>
  <c r="AP55" i="30"/>
  <c r="AN84" i="30"/>
  <c r="AN55" i="30"/>
  <c r="AL84" i="30"/>
  <c r="AL55" i="30"/>
  <c r="E39" i="15"/>
  <c r="E71" i="15" s="1"/>
  <c r="AH54" i="30"/>
  <c r="C38" i="15"/>
  <c r="L53" i="30"/>
  <c r="AQ82" i="30"/>
  <c r="AQ53" i="30"/>
  <c r="AO82" i="30"/>
  <c r="AO53" i="30"/>
  <c r="AM82" i="30"/>
  <c r="AM53" i="30"/>
  <c r="AJ81" i="30"/>
  <c r="AJ52" i="30"/>
  <c r="AR80" i="30"/>
  <c r="AR51" i="30"/>
  <c r="AP80" i="30"/>
  <c r="AP51" i="30"/>
  <c r="AN80" i="30"/>
  <c r="AN51" i="30"/>
  <c r="AL80" i="30"/>
  <c r="AL51" i="30"/>
  <c r="AJ80" i="30"/>
  <c r="AJ51" i="30"/>
  <c r="AR79" i="30"/>
  <c r="AR50" i="30"/>
  <c r="AP79" i="30"/>
  <c r="AP50" i="30"/>
  <c r="AN79" i="30"/>
  <c r="AN50" i="30"/>
  <c r="AL79" i="30"/>
  <c r="AL50" i="30"/>
  <c r="AJ79" i="30"/>
  <c r="AJ50" i="30"/>
  <c r="AR78" i="30"/>
  <c r="AR49" i="30"/>
  <c r="AP78" i="30"/>
  <c r="AP49" i="30"/>
  <c r="AN78" i="30"/>
  <c r="AN49" i="30"/>
  <c r="AL78" i="30"/>
  <c r="AL49" i="30"/>
  <c r="AJ78" i="30"/>
  <c r="AJ49" i="30"/>
  <c r="AR77" i="30"/>
  <c r="AR48" i="30"/>
  <c r="AP77" i="30"/>
  <c r="AP48" i="30"/>
  <c r="AN77" i="30"/>
  <c r="AN48" i="30"/>
  <c r="AL77" i="30"/>
  <c r="AL48" i="30"/>
  <c r="AJ77" i="30"/>
  <c r="AJ48" i="30"/>
  <c r="AR76" i="30"/>
  <c r="AR47" i="30"/>
  <c r="AP76" i="30"/>
  <c r="AP47" i="30"/>
  <c r="AN76" i="30"/>
  <c r="AN47" i="30"/>
  <c r="AL76" i="30"/>
  <c r="AL47" i="30"/>
  <c r="AJ76" i="30"/>
  <c r="AJ47" i="30"/>
  <c r="AR75" i="30"/>
  <c r="AR46" i="30"/>
  <c r="AP75" i="30"/>
  <c r="AP46" i="30"/>
  <c r="AN75" i="30"/>
  <c r="AN46" i="30"/>
  <c r="AL75" i="30"/>
  <c r="AL46" i="30"/>
  <c r="AJ75" i="30"/>
  <c r="AJ46" i="30"/>
  <c r="AR74" i="30"/>
  <c r="AR45" i="30"/>
  <c r="AP74" i="30"/>
  <c r="AP45" i="30"/>
  <c r="AN74" i="30"/>
  <c r="AN45" i="30"/>
  <c r="AL74" i="30"/>
  <c r="AL45" i="30"/>
  <c r="AJ74" i="30"/>
  <c r="AJ45" i="30"/>
  <c r="AR73" i="30"/>
  <c r="AR44" i="30"/>
  <c r="AP73" i="30"/>
  <c r="AP44" i="30"/>
  <c r="AN73" i="30"/>
  <c r="AN44" i="30"/>
  <c r="AL73" i="30"/>
  <c r="AL44" i="30"/>
  <c r="AJ73" i="30"/>
  <c r="AJ44" i="30"/>
  <c r="AR72" i="30"/>
  <c r="AR43" i="30"/>
  <c r="AP72" i="30"/>
  <c r="AP43" i="30"/>
  <c r="AN72" i="30"/>
  <c r="AN43" i="30"/>
  <c r="AL72" i="30"/>
  <c r="AL43" i="30"/>
  <c r="AJ72" i="30"/>
  <c r="AJ43" i="30"/>
  <c r="AR71" i="30"/>
  <c r="AR42" i="30"/>
  <c r="AP71" i="30"/>
  <c r="AP42" i="30"/>
  <c r="AN71" i="30"/>
  <c r="AN42" i="30"/>
  <c r="AL71" i="30"/>
  <c r="AL42" i="30"/>
  <c r="AJ71" i="30"/>
  <c r="AJ42" i="30"/>
  <c r="AR70" i="30"/>
  <c r="AR41" i="30"/>
  <c r="AP70" i="30"/>
  <c r="AP41" i="30"/>
  <c r="AN70" i="30"/>
  <c r="AN41" i="30"/>
  <c r="AL70" i="30"/>
  <c r="AL41" i="30"/>
  <c r="AJ70" i="30"/>
  <c r="AJ41" i="30"/>
  <c r="AO69" i="30"/>
  <c r="AO40" i="30"/>
  <c r="AL91" i="30"/>
  <c r="AL62" i="30"/>
  <c r="C45" i="15"/>
  <c r="L60" i="30"/>
  <c r="AM89" i="30"/>
  <c r="AM60" i="30"/>
  <c r="AN87" i="30"/>
  <c r="AN58" i="30"/>
  <c r="AQ85" i="30"/>
  <c r="AQ56" i="30"/>
  <c r="C37" i="15"/>
  <c r="L52" i="30"/>
  <c r="AQ81" i="30"/>
  <c r="AQ52" i="30"/>
  <c r="AM81" i="30"/>
  <c r="AM52" i="30"/>
  <c r="D46" i="15"/>
  <c r="D78" i="15" s="1"/>
  <c r="W61" i="30"/>
  <c r="C59" i="24"/>
  <c r="D61" i="30"/>
  <c r="E47" i="15"/>
  <c r="E79" i="15" s="1"/>
  <c r="AH62" i="30"/>
  <c r="AQ90" i="30"/>
  <c r="AQ61" i="30"/>
  <c r="AJ89" i="30"/>
  <c r="AJ60" i="30"/>
  <c r="AR88" i="30"/>
  <c r="AR59" i="30"/>
  <c r="AP88" i="30"/>
  <c r="AP59" i="30"/>
  <c r="AN88" i="30"/>
  <c r="AN59" i="30"/>
  <c r="AL88" i="30"/>
  <c r="AL59" i="30"/>
  <c r="AJ68" i="30"/>
  <c r="AJ39" i="30"/>
  <c r="AL68" i="30"/>
  <c r="AL39" i="30"/>
  <c r="D47" i="15"/>
  <c r="D79" i="15" s="1"/>
  <c r="W62" i="30"/>
  <c r="C60" i="24"/>
  <c r="D62" i="30"/>
  <c r="D43" i="15"/>
  <c r="D75" i="15" s="1"/>
  <c r="W58" i="30"/>
  <c r="C56" i="24"/>
  <c r="D58" i="30"/>
  <c r="D39" i="15"/>
  <c r="D71" i="15" s="1"/>
  <c r="W54" i="30"/>
  <c r="C52" i="24"/>
  <c r="D54" i="30"/>
  <c r="E25" i="15"/>
  <c r="E57" i="15" s="1"/>
  <c r="AH40" i="30"/>
  <c r="AL69" i="30"/>
  <c r="AL40" i="30"/>
  <c r="C41" i="15"/>
  <c r="L56" i="30"/>
  <c r="AR83" i="30"/>
  <c r="AR54" i="30"/>
  <c r="AR68" i="30"/>
  <c r="AR39" i="30"/>
  <c r="E24" i="15"/>
  <c r="E56" i="15" s="1"/>
  <c r="AH39" i="30"/>
  <c r="AQ68" i="30"/>
  <c r="AQ39" i="30"/>
  <c r="E37" i="24"/>
  <c r="Z39" i="30"/>
  <c r="C47" i="15"/>
  <c r="L62" i="30"/>
  <c r="AQ91" i="30"/>
  <c r="AQ62" i="30"/>
  <c r="AO91" i="30"/>
  <c r="AO62" i="30"/>
  <c r="AM91" i="30"/>
  <c r="AM62" i="30"/>
  <c r="AJ90" i="30"/>
  <c r="AJ61" i="30"/>
  <c r="AR89" i="30"/>
  <c r="AR60" i="30"/>
  <c r="AP89" i="30"/>
  <c r="AP60" i="30"/>
  <c r="AN89" i="30"/>
  <c r="AN60" i="30"/>
  <c r="AL89" i="30"/>
  <c r="AL60" i="30"/>
  <c r="E44" i="15"/>
  <c r="E76" i="15" s="1"/>
  <c r="AH59" i="30"/>
  <c r="C43" i="15"/>
  <c r="L58" i="30"/>
  <c r="AQ87" i="30"/>
  <c r="AQ58" i="30"/>
  <c r="AO87" i="30"/>
  <c r="AO58" i="30"/>
  <c r="AM87" i="30"/>
  <c r="AM58" i="30"/>
  <c r="AJ86" i="30"/>
  <c r="AJ57" i="30"/>
  <c r="AR85" i="30"/>
  <c r="AR56" i="30"/>
  <c r="AP85" i="30"/>
  <c r="AP56" i="30"/>
  <c r="AN85" i="30"/>
  <c r="AN56" i="30"/>
  <c r="AL85" i="30"/>
  <c r="AL56" i="30"/>
  <c r="E40" i="15"/>
  <c r="E72" i="15" s="1"/>
  <c r="AH55" i="30"/>
  <c r="C39" i="15"/>
  <c r="L54" i="30"/>
  <c r="AQ83" i="30"/>
  <c r="AQ54" i="30"/>
  <c r="AO83" i="30"/>
  <c r="AO54" i="30"/>
  <c r="AM83" i="30"/>
  <c r="AM54" i="30"/>
  <c r="AJ82" i="30"/>
  <c r="AJ53" i="30"/>
  <c r="AR81" i="30"/>
  <c r="AR52" i="30"/>
  <c r="AP81" i="30"/>
  <c r="AP52" i="30"/>
  <c r="AN81" i="30"/>
  <c r="AN52" i="30"/>
  <c r="AL81" i="30"/>
  <c r="AL52" i="30"/>
  <c r="E36" i="15"/>
  <c r="E68" i="15" s="1"/>
  <c r="AH51" i="30"/>
  <c r="E35" i="15"/>
  <c r="E67" i="15" s="1"/>
  <c r="AH50" i="30"/>
  <c r="E34" i="15"/>
  <c r="E66" i="15" s="1"/>
  <c r="AH49" i="30"/>
  <c r="E33" i="15"/>
  <c r="E65" i="15" s="1"/>
  <c r="AH48" i="30"/>
  <c r="E32" i="15"/>
  <c r="E64" i="15" s="1"/>
  <c r="AH47" i="30"/>
  <c r="E31" i="15"/>
  <c r="E63" i="15" s="1"/>
  <c r="AH46" i="30"/>
  <c r="E30" i="15"/>
  <c r="E62" i="15" s="1"/>
  <c r="AH45" i="30"/>
  <c r="E29" i="15"/>
  <c r="E61" i="15" s="1"/>
  <c r="AH44" i="30"/>
  <c r="E28" i="15"/>
  <c r="E60" i="15" s="1"/>
  <c r="AH43" i="30"/>
  <c r="E27" i="15"/>
  <c r="E59" i="15" s="1"/>
  <c r="AH42" i="30"/>
  <c r="E26" i="15"/>
  <c r="E58" i="15" s="1"/>
  <c r="AH41" i="30"/>
  <c r="D25" i="15"/>
  <c r="D57" i="15" s="1"/>
  <c r="W40" i="30"/>
  <c r="AQ69" i="30"/>
  <c r="AQ40" i="30"/>
  <c r="AM68" i="30"/>
  <c r="AM39" i="30"/>
  <c r="AR91" i="30"/>
  <c r="AR62" i="30"/>
  <c r="AN91" i="30"/>
  <c r="AN62" i="30"/>
  <c r="E46" i="15"/>
  <c r="E78" i="15" s="1"/>
  <c r="AH61" i="30"/>
  <c r="AR87" i="30"/>
  <c r="AR58" i="30"/>
  <c r="AM85" i="30"/>
  <c r="AM56" i="30"/>
  <c r="AN83" i="30"/>
  <c r="AN54" i="30"/>
  <c r="AL83" i="30"/>
  <c r="AL54" i="30"/>
  <c r="E38" i="15"/>
  <c r="E70" i="15" s="1"/>
  <c r="AH53" i="30"/>
  <c r="D24" i="15"/>
  <c r="D56" i="15" s="1"/>
  <c r="W39" i="30"/>
  <c r="AN68" i="30"/>
  <c r="AN39" i="30"/>
  <c r="D37" i="24"/>
  <c r="O39" i="30"/>
  <c r="D44" i="15"/>
  <c r="D76" i="15" s="1"/>
  <c r="W59" i="30"/>
  <c r="C57" i="24"/>
  <c r="D59" i="30"/>
  <c r="D40" i="15"/>
  <c r="D72" i="15" s="1"/>
  <c r="W55" i="30"/>
  <c r="C53" i="24"/>
  <c r="D55" i="30"/>
  <c r="D36" i="15"/>
  <c r="D68" i="15" s="1"/>
  <c r="W51" i="30"/>
  <c r="D35" i="15"/>
  <c r="D67" i="15" s="1"/>
  <c r="W50" i="30"/>
  <c r="D34" i="15"/>
  <c r="D66" i="15" s="1"/>
  <c r="W49" i="30"/>
  <c r="D33" i="15"/>
  <c r="D65" i="15" s="1"/>
  <c r="W48" i="30"/>
  <c r="D32" i="15"/>
  <c r="D64" i="15" s="1"/>
  <c r="W47" i="30"/>
  <c r="D31" i="15"/>
  <c r="D63" i="15" s="1"/>
  <c r="W46" i="30"/>
  <c r="D30" i="15"/>
  <c r="D62" i="15" s="1"/>
  <c r="W45" i="30"/>
  <c r="D29" i="15"/>
  <c r="D61" i="15" s="1"/>
  <c r="W44" i="30"/>
  <c r="D28" i="15"/>
  <c r="D60" i="15" s="1"/>
  <c r="W43" i="30"/>
  <c r="D27" i="15"/>
  <c r="D59" i="15" s="1"/>
  <c r="W42" i="30"/>
  <c r="D26" i="15"/>
  <c r="D58" i="15" s="1"/>
  <c r="W41" i="30"/>
  <c r="C25" i="15"/>
  <c r="L40" i="30"/>
  <c r="AN69" i="30"/>
  <c r="AN40" i="30"/>
  <c r="AQ89" i="30"/>
  <c r="AQ60" i="30"/>
  <c r="AJ88" i="30"/>
  <c r="AJ59" i="30"/>
  <c r="AL87" i="30"/>
  <c r="AL58" i="30"/>
  <c r="C24" i="15"/>
  <c r="L39" i="30"/>
  <c r="AJ91" i="30"/>
  <c r="AJ62" i="30"/>
  <c r="AR90" i="30"/>
  <c r="AR61" i="30"/>
  <c r="AP90" i="30"/>
  <c r="AP61" i="30"/>
  <c r="AN90" i="30"/>
  <c r="AN61" i="30"/>
  <c r="AL90" i="30"/>
  <c r="AL61" i="30"/>
  <c r="E45" i="15"/>
  <c r="E77" i="15" s="1"/>
  <c r="AH60" i="30"/>
  <c r="C44" i="15"/>
  <c r="L59" i="30"/>
  <c r="AQ88" i="30"/>
  <c r="AQ59" i="30"/>
  <c r="AO88" i="30"/>
  <c r="AO59" i="30"/>
  <c r="AM88" i="30"/>
  <c r="AM59" i="30"/>
  <c r="AJ87" i="30"/>
  <c r="AJ58" i="30"/>
  <c r="AR86" i="30"/>
  <c r="AR57" i="30"/>
  <c r="AP86" i="30"/>
  <c r="AP57" i="30"/>
  <c r="AN86" i="30"/>
  <c r="AN57" i="30"/>
  <c r="AL86" i="30"/>
  <c r="AL57" i="30"/>
  <c r="E41" i="15"/>
  <c r="E73" i="15" s="1"/>
  <c r="AH56" i="30"/>
  <c r="C40" i="15"/>
  <c r="L55" i="30"/>
  <c r="AQ84" i="30"/>
  <c r="AQ55" i="30"/>
  <c r="AO84" i="30"/>
  <c r="AO55" i="30"/>
  <c r="AM84" i="30"/>
  <c r="AM55" i="30"/>
  <c r="AQ78" i="30"/>
  <c r="AQ49" i="30"/>
  <c r="C47" i="24"/>
  <c r="D49" i="30"/>
  <c r="AO77" i="30"/>
  <c r="AO48" i="30"/>
  <c r="AM77" i="30"/>
  <c r="AM48" i="30"/>
  <c r="C46" i="24"/>
  <c r="D48" i="30"/>
  <c r="C30" i="15"/>
  <c r="L45" i="30"/>
  <c r="AQ74" i="30"/>
  <c r="AQ45" i="30"/>
  <c r="AO74" i="30"/>
  <c r="AO45" i="30"/>
  <c r="AM74" i="30"/>
  <c r="AM45" i="30"/>
  <c r="C43" i="24"/>
  <c r="D45" i="30"/>
  <c r="C29" i="15"/>
  <c r="L44" i="30"/>
  <c r="AO73" i="30"/>
  <c r="AO44" i="30"/>
  <c r="AM73" i="30"/>
  <c r="AM44" i="30"/>
  <c r="C42" i="24"/>
  <c r="D44" i="30"/>
  <c r="AO72" i="30"/>
  <c r="AO43" i="30"/>
  <c r="AM72" i="30"/>
  <c r="AM43" i="30"/>
  <c r="C41" i="24"/>
  <c r="D43" i="30"/>
  <c r="C27" i="15"/>
  <c r="L42" i="30"/>
  <c r="AQ71" i="30"/>
  <c r="AQ42" i="30"/>
  <c r="AO71" i="30"/>
  <c r="AO42" i="30"/>
  <c r="AM71" i="30"/>
  <c r="AM42" i="30"/>
  <c r="C40" i="24"/>
  <c r="D42" i="30"/>
  <c r="C26" i="15"/>
  <c r="L41" i="30"/>
  <c r="AQ70" i="30"/>
  <c r="AQ41" i="30"/>
  <c r="AO70" i="30"/>
  <c r="AO41" i="30"/>
  <c r="AM70" i="30"/>
  <c r="AM41" i="30"/>
  <c r="C39" i="24"/>
  <c r="D41" i="30"/>
  <c r="C38" i="24"/>
  <c r="D40" i="30"/>
  <c r="E49" i="24"/>
  <c r="E48" i="24"/>
  <c r="E44" i="24"/>
  <c r="E58" i="24"/>
  <c r="E50" i="24"/>
  <c r="D49" i="24"/>
  <c r="D47" i="24"/>
  <c r="D46" i="24"/>
  <c r="D43" i="24"/>
  <c r="D42" i="24"/>
  <c r="D41" i="24"/>
  <c r="D40" i="24"/>
  <c r="D39" i="24"/>
  <c r="D38" i="24"/>
  <c r="D58" i="24"/>
  <c r="D54" i="24"/>
  <c r="D50" i="24"/>
  <c r="E46" i="24"/>
  <c r="E43" i="24"/>
  <c r="E41" i="24"/>
  <c r="D44" i="24"/>
  <c r="E59" i="24"/>
  <c r="E55" i="24"/>
  <c r="E85" i="24" s="1"/>
  <c r="E118" i="24" s="1"/>
  <c r="E51" i="24"/>
  <c r="D57" i="24"/>
  <c r="D87" i="24" s="1"/>
  <c r="D120" i="24" s="1"/>
  <c r="E40" i="24"/>
  <c r="D48" i="24"/>
  <c r="D59" i="24"/>
  <c r="D55" i="24"/>
  <c r="D51" i="24"/>
  <c r="E45" i="24"/>
  <c r="E42" i="24"/>
  <c r="E39" i="24"/>
  <c r="E38" i="24"/>
  <c r="E54" i="24"/>
  <c r="E60" i="24"/>
  <c r="E56" i="24"/>
  <c r="E52" i="24"/>
  <c r="D53" i="24"/>
  <c r="E47" i="24"/>
  <c r="D60" i="24"/>
  <c r="D56" i="24"/>
  <c r="D52" i="24"/>
  <c r="D45" i="24"/>
  <c r="E57" i="24"/>
  <c r="E53" i="24"/>
  <c r="AU4" i="34"/>
  <c r="AQ5" i="34"/>
  <c r="AP4" i="34"/>
  <c r="AV5" i="34"/>
  <c r="D57" i="3"/>
  <c r="AN24" i="34"/>
  <c r="AU26" i="34"/>
  <c r="AO26" i="34"/>
  <c r="AV24" i="34"/>
  <c r="AT24" i="34"/>
  <c r="E54" i="3"/>
  <c r="AM23" i="34"/>
  <c r="C53" i="3"/>
  <c r="AQ22" i="34"/>
  <c r="AR20" i="34"/>
  <c r="E50" i="3"/>
  <c r="AS18" i="34"/>
  <c r="AV16" i="34"/>
  <c r="AV15" i="34"/>
  <c r="AR15" i="34"/>
  <c r="AN15" i="34"/>
  <c r="AT14" i="34"/>
  <c r="AN14" i="34"/>
  <c r="AR13" i="34"/>
  <c r="AV12" i="34"/>
  <c r="AT11" i="34"/>
  <c r="AP11" i="34"/>
  <c r="AN11" i="34"/>
  <c r="AR10" i="34"/>
  <c r="AV9" i="34"/>
  <c r="AP9" i="34"/>
  <c r="AN9" i="34"/>
  <c r="AV7" i="34"/>
  <c r="AR7" i="34"/>
  <c r="AN7" i="34"/>
  <c r="AR6" i="34"/>
  <c r="AN6" i="34"/>
  <c r="D54" i="3"/>
  <c r="D50" i="3"/>
  <c r="E35" i="3"/>
  <c r="AT4" i="34"/>
  <c r="AS27" i="34"/>
  <c r="AR25" i="34"/>
  <c r="AU23" i="34"/>
  <c r="AO23" i="34"/>
  <c r="AV21" i="34"/>
  <c r="E51" i="3"/>
  <c r="AU19" i="34"/>
  <c r="AO19" i="34"/>
  <c r="AV17" i="34"/>
  <c r="AP17" i="34"/>
  <c r="E46" i="3"/>
  <c r="E43" i="3"/>
  <c r="AP5" i="34"/>
  <c r="D51" i="3"/>
  <c r="AN18" i="34"/>
  <c r="D46" i="3"/>
  <c r="D45" i="3"/>
  <c r="D44" i="3"/>
  <c r="D40" i="3"/>
  <c r="D38" i="3"/>
  <c r="D37" i="3"/>
  <c r="D36" i="3"/>
  <c r="AM5" i="34"/>
  <c r="C35" i="3"/>
  <c r="AV4" i="34"/>
  <c r="AV26" i="34"/>
  <c r="AT26" i="34"/>
  <c r="AP26" i="34"/>
  <c r="E56" i="3"/>
  <c r="AM25" i="34"/>
  <c r="C55" i="3"/>
  <c r="AS24" i="34"/>
  <c r="AQ24" i="34"/>
  <c r="AO24" i="34"/>
  <c r="AV22" i="34"/>
  <c r="AT22" i="34"/>
  <c r="AR22" i="34"/>
  <c r="AP22" i="34"/>
  <c r="E52" i="3"/>
  <c r="AM21" i="34"/>
  <c r="C51" i="3"/>
  <c r="AU20" i="34"/>
  <c r="AS20" i="34"/>
  <c r="AQ20" i="34"/>
  <c r="AO20" i="34"/>
  <c r="AV18" i="34"/>
  <c r="AT18" i="34"/>
  <c r="AR18" i="34"/>
  <c r="AP18" i="34"/>
  <c r="E48" i="3"/>
  <c r="AM17" i="34"/>
  <c r="C47" i="3"/>
  <c r="AU16" i="34"/>
  <c r="AS16" i="34"/>
  <c r="AQ16" i="34"/>
  <c r="AO16" i="34"/>
  <c r="AM16" i="34"/>
  <c r="C46" i="3"/>
  <c r="AU15" i="34"/>
  <c r="AS15" i="34"/>
  <c r="AQ15" i="34"/>
  <c r="AO15" i="34"/>
  <c r="AM15" i="34"/>
  <c r="C45" i="3"/>
  <c r="AU14" i="34"/>
  <c r="AS14" i="34"/>
  <c r="AQ14" i="34"/>
  <c r="AO14" i="34"/>
  <c r="AM14" i="34"/>
  <c r="C44" i="3"/>
  <c r="AU13" i="34"/>
  <c r="AS13" i="34"/>
  <c r="AQ13" i="34"/>
  <c r="AO13" i="34"/>
  <c r="AM13" i="34"/>
  <c r="C43" i="3"/>
  <c r="AU12" i="34"/>
  <c r="AS12" i="34"/>
  <c r="AQ12" i="34"/>
  <c r="AO12" i="34"/>
  <c r="AM12" i="34"/>
  <c r="C42" i="3"/>
  <c r="AU11" i="34"/>
  <c r="AS11" i="34"/>
  <c r="AQ11" i="34"/>
  <c r="AO11" i="34"/>
  <c r="AM11" i="34"/>
  <c r="C41" i="3"/>
  <c r="AU10" i="34"/>
  <c r="AS10" i="34"/>
  <c r="AQ10" i="34"/>
  <c r="AO10" i="34"/>
  <c r="AM10" i="34"/>
  <c r="C40" i="3"/>
  <c r="AU9" i="34"/>
  <c r="AS9" i="34"/>
  <c r="AQ9" i="34"/>
  <c r="AO9" i="34"/>
  <c r="AM9" i="34"/>
  <c r="C39" i="3"/>
  <c r="AU8" i="34"/>
  <c r="AS8" i="34"/>
  <c r="AQ8" i="34"/>
  <c r="AO8" i="34"/>
  <c r="AM8" i="34"/>
  <c r="C38" i="3"/>
  <c r="AU7" i="34"/>
  <c r="AS7" i="34"/>
  <c r="AQ7" i="34"/>
  <c r="AO7" i="34"/>
  <c r="AM7" i="34"/>
  <c r="C37" i="3"/>
  <c r="AU6" i="34"/>
  <c r="AS6" i="34"/>
  <c r="AQ6" i="34"/>
  <c r="AO6" i="34"/>
  <c r="AM6" i="34"/>
  <c r="C36" i="3"/>
  <c r="AR5" i="34"/>
  <c r="AN20" i="34"/>
  <c r="AM27" i="34"/>
  <c r="C57" i="3"/>
  <c r="AS26" i="34"/>
  <c r="AR24" i="34"/>
  <c r="AU22" i="34"/>
  <c r="AO22" i="34"/>
  <c r="AT20" i="34"/>
  <c r="AM19" i="34"/>
  <c r="C49" i="3"/>
  <c r="AQ18" i="34"/>
  <c r="AT16" i="34"/>
  <c r="AP16" i="34"/>
  <c r="AN16" i="34"/>
  <c r="AP15" i="34"/>
  <c r="AP14" i="34"/>
  <c r="AT13" i="34"/>
  <c r="AT12" i="34"/>
  <c r="AP12" i="34"/>
  <c r="AN12" i="34"/>
  <c r="AV10" i="34"/>
  <c r="AT9" i="34"/>
  <c r="AV8" i="34"/>
  <c r="AR8" i="34"/>
  <c r="AT7" i="34"/>
  <c r="AV6" i="34"/>
  <c r="AP6" i="34"/>
  <c r="AN5" i="34"/>
  <c r="AM4" i="34"/>
  <c r="C34" i="3"/>
  <c r="AN25" i="34"/>
  <c r="AN21" i="34"/>
  <c r="AN17" i="34"/>
  <c r="AU27" i="34"/>
  <c r="AQ27" i="34"/>
  <c r="AP25" i="34"/>
  <c r="AS23" i="34"/>
  <c r="AR21" i="34"/>
  <c r="AQ19" i="34"/>
  <c r="AR17" i="34"/>
  <c r="E42" i="3"/>
  <c r="E41" i="3"/>
  <c r="E40" i="3"/>
  <c r="E38" i="3"/>
  <c r="E37" i="3"/>
  <c r="AQ4" i="34"/>
  <c r="AN26" i="34"/>
  <c r="D55" i="3"/>
  <c r="AN22" i="34"/>
  <c r="D47" i="3"/>
  <c r="D43" i="3"/>
  <c r="D42" i="3"/>
  <c r="D41" i="3"/>
  <c r="D39" i="3"/>
  <c r="AU5" i="34"/>
  <c r="AN4" i="34"/>
  <c r="C37" i="24"/>
  <c r="AR26" i="34"/>
  <c r="AU24" i="34"/>
  <c r="AS4" i="34"/>
  <c r="E34" i="3"/>
  <c r="AN27" i="34"/>
  <c r="D56" i="3"/>
  <c r="AN23" i="34"/>
  <c r="D52" i="3"/>
  <c r="AN19" i="34"/>
  <c r="D48" i="3"/>
  <c r="AO5" i="34"/>
  <c r="D53" i="3"/>
  <c r="D49" i="3"/>
  <c r="AR4" i="34"/>
  <c r="AQ26" i="34"/>
  <c r="AP24" i="34"/>
  <c r="AS22" i="34"/>
  <c r="AV20" i="34"/>
  <c r="AP20" i="34"/>
  <c r="AU18" i="34"/>
  <c r="AO18" i="34"/>
  <c r="AR16" i="34"/>
  <c r="AT15" i="34"/>
  <c r="AV14" i="34"/>
  <c r="AR14" i="34"/>
  <c r="AV13" i="34"/>
  <c r="AP13" i="34"/>
  <c r="AN13" i="34"/>
  <c r="AR12" i="34"/>
  <c r="AV11" i="34"/>
  <c r="AR11" i="34"/>
  <c r="AT10" i="34"/>
  <c r="AP10" i="34"/>
  <c r="AN10" i="34"/>
  <c r="AR9" i="34"/>
  <c r="AT8" i="34"/>
  <c r="AP8" i="34"/>
  <c r="AN8" i="34"/>
  <c r="AP7" i="34"/>
  <c r="AT6" i="34"/>
  <c r="AO4" i="34"/>
  <c r="AS5" i="34"/>
  <c r="AO27" i="34"/>
  <c r="AV25" i="34"/>
  <c r="AT25" i="34"/>
  <c r="E55" i="3"/>
  <c r="AM24" i="34"/>
  <c r="C54" i="3"/>
  <c r="AQ23" i="34"/>
  <c r="AT21" i="34"/>
  <c r="AP21" i="34"/>
  <c r="AM20" i="34"/>
  <c r="C50" i="3"/>
  <c r="AS19" i="34"/>
  <c r="AT17" i="34"/>
  <c r="E47" i="3"/>
  <c r="E45" i="3"/>
  <c r="E44" i="3"/>
  <c r="E39" i="3"/>
  <c r="E36" i="3"/>
  <c r="D35" i="3"/>
  <c r="D34" i="3"/>
  <c r="AV27" i="34"/>
  <c r="AT27" i="34"/>
  <c r="AR27" i="34"/>
  <c r="AP27" i="34"/>
  <c r="E57" i="3"/>
  <c r="AM26" i="34"/>
  <c r="C56" i="3"/>
  <c r="AU25" i="34"/>
  <c r="AS25" i="34"/>
  <c r="AQ25" i="34"/>
  <c r="AO25" i="34"/>
  <c r="AV23" i="34"/>
  <c r="AT23" i="34"/>
  <c r="AR23" i="34"/>
  <c r="AP23" i="34"/>
  <c r="E53" i="3"/>
  <c r="AM22" i="34"/>
  <c r="C52" i="3"/>
  <c r="AU21" i="34"/>
  <c r="AS21" i="34"/>
  <c r="AQ21" i="34"/>
  <c r="AO21" i="34"/>
  <c r="AV19" i="34"/>
  <c r="AT19" i="34"/>
  <c r="AR19" i="34"/>
  <c r="AP19" i="34"/>
  <c r="E49" i="3"/>
  <c r="AM18" i="34"/>
  <c r="C48" i="3"/>
  <c r="AU17" i="34"/>
  <c r="AS17" i="34"/>
  <c r="AQ17" i="34"/>
  <c r="AO17" i="34"/>
  <c r="AT5" i="34"/>
  <c r="AK68" i="30" l="1"/>
  <c r="AK39" i="30"/>
  <c r="F27" i="15"/>
  <c r="C59" i="15"/>
  <c r="F59" i="15" s="1"/>
  <c r="J27" i="15"/>
  <c r="AK71" i="30"/>
  <c r="AK42" i="30"/>
  <c r="AS71" i="30"/>
  <c r="AS42" i="30"/>
  <c r="AK73" i="30"/>
  <c r="AK44" i="30"/>
  <c r="AK74" i="30"/>
  <c r="AK45" i="30"/>
  <c r="AS74" i="30"/>
  <c r="AS45" i="30"/>
  <c r="AK78" i="30"/>
  <c r="AK49" i="30"/>
  <c r="AS69" i="30"/>
  <c r="AS40" i="30"/>
  <c r="AK84" i="30"/>
  <c r="AK55" i="30"/>
  <c r="AK87" i="30"/>
  <c r="AK58" i="30"/>
  <c r="AK86" i="30"/>
  <c r="AK57" i="30"/>
  <c r="AS77" i="30"/>
  <c r="AS48" i="30"/>
  <c r="AK79" i="30"/>
  <c r="AK50" i="30"/>
  <c r="AS79" i="30"/>
  <c r="AS50" i="30"/>
  <c r="F33" i="15"/>
  <c r="J33" i="15"/>
  <c r="C65" i="15"/>
  <c r="F65" i="15" s="1"/>
  <c r="F35" i="15"/>
  <c r="J35" i="15"/>
  <c r="C67" i="15"/>
  <c r="F67" i="15" s="1"/>
  <c r="AK72" i="30"/>
  <c r="AK43" i="30"/>
  <c r="AK77" i="30"/>
  <c r="AK48" i="30"/>
  <c r="AS84" i="30"/>
  <c r="AS55" i="30"/>
  <c r="AS83" i="30"/>
  <c r="AS54" i="30"/>
  <c r="AS91" i="30"/>
  <c r="AS62" i="30"/>
  <c r="AK90" i="30"/>
  <c r="AK61" i="30"/>
  <c r="AS81" i="30"/>
  <c r="AS52" i="30"/>
  <c r="AS89" i="30"/>
  <c r="AS60" i="30"/>
  <c r="AS86" i="30"/>
  <c r="AS57" i="30"/>
  <c r="AS90" i="30"/>
  <c r="AS61" i="30"/>
  <c r="AK85" i="30"/>
  <c r="AK56" i="30"/>
  <c r="AK75" i="30"/>
  <c r="AK46" i="30"/>
  <c r="AS75" i="30"/>
  <c r="AS46" i="30"/>
  <c r="AK80" i="30"/>
  <c r="AK51" i="30"/>
  <c r="AS80" i="30"/>
  <c r="AS51" i="30"/>
  <c r="F25" i="15"/>
  <c r="C57" i="15"/>
  <c r="F57" i="15" s="1"/>
  <c r="J25" i="15"/>
  <c r="F40" i="15"/>
  <c r="C72" i="15"/>
  <c r="F72" i="15" s="1"/>
  <c r="J40" i="15"/>
  <c r="F39" i="15"/>
  <c r="J39" i="15"/>
  <c r="C71" i="15"/>
  <c r="F71" i="15" s="1"/>
  <c r="F47" i="15"/>
  <c r="J47" i="15"/>
  <c r="C79" i="15"/>
  <c r="F79" i="15" s="1"/>
  <c r="F37" i="15"/>
  <c r="J37" i="15"/>
  <c r="C69" i="15"/>
  <c r="F69" i="15" s="1"/>
  <c r="F45" i="15"/>
  <c r="J45" i="15"/>
  <c r="C77" i="15"/>
  <c r="F77" i="15" s="1"/>
  <c r="F42" i="15"/>
  <c r="C74" i="15"/>
  <c r="F74" i="15" s="1"/>
  <c r="J42" i="15"/>
  <c r="F46" i="15"/>
  <c r="C78" i="15"/>
  <c r="F78" i="15" s="1"/>
  <c r="J46" i="15"/>
  <c r="F31" i="15"/>
  <c r="J31" i="15"/>
  <c r="C63" i="15"/>
  <c r="F63" i="15" s="1"/>
  <c r="F36" i="15"/>
  <c r="C68" i="15"/>
  <c r="F68" i="15" s="1"/>
  <c r="J36" i="15"/>
  <c r="AK69" i="30"/>
  <c r="AK40" i="30"/>
  <c r="AK88" i="30"/>
  <c r="AK59" i="30"/>
  <c r="AK83" i="30"/>
  <c r="AK54" i="30"/>
  <c r="AK91" i="30"/>
  <c r="AK62" i="30"/>
  <c r="AK76" i="30"/>
  <c r="AK47" i="30"/>
  <c r="AS76" i="30"/>
  <c r="AS47" i="30"/>
  <c r="D80" i="15"/>
  <c r="F32" i="15"/>
  <c r="C64" i="15"/>
  <c r="F64" i="15" s="1"/>
  <c r="J32" i="15"/>
  <c r="AK70" i="30"/>
  <c r="AK41" i="30"/>
  <c r="AS70" i="30"/>
  <c r="AS41" i="30"/>
  <c r="AS73" i="30"/>
  <c r="AS44" i="30"/>
  <c r="AS88" i="30"/>
  <c r="AS59" i="30"/>
  <c r="AS68" i="30"/>
  <c r="AS39" i="30"/>
  <c r="AS87" i="30"/>
  <c r="AS58" i="30"/>
  <c r="AS85" i="30"/>
  <c r="AS56" i="30"/>
  <c r="AS82" i="30"/>
  <c r="AS53" i="30"/>
  <c r="AK82" i="30"/>
  <c r="AK53" i="30"/>
  <c r="AK81" i="30"/>
  <c r="AK52" i="30"/>
  <c r="AK89" i="30"/>
  <c r="AK60" i="30"/>
  <c r="AS72" i="30"/>
  <c r="AS43" i="30"/>
  <c r="AS78" i="30"/>
  <c r="AS49" i="30"/>
  <c r="F30" i="15"/>
  <c r="C62" i="15"/>
  <c r="F62" i="15" s="1"/>
  <c r="J30" i="15"/>
  <c r="F26" i="15"/>
  <c r="J26" i="15"/>
  <c r="C58" i="15"/>
  <c r="F58" i="15" s="1"/>
  <c r="F29" i="15"/>
  <c r="C61" i="15"/>
  <c r="F61" i="15" s="1"/>
  <c r="J29" i="15"/>
  <c r="F44" i="15"/>
  <c r="C76" i="15"/>
  <c r="F76" i="15" s="1"/>
  <c r="J44" i="15"/>
  <c r="F24" i="15"/>
  <c r="I93" i="15"/>
  <c r="I95" i="15"/>
  <c r="I114" i="15"/>
  <c r="I101" i="15"/>
  <c r="I103" i="15"/>
  <c r="I109" i="15"/>
  <c r="I111" i="15"/>
  <c r="I116" i="15"/>
  <c r="J24" i="15"/>
  <c r="I112" i="15"/>
  <c r="C56" i="15"/>
  <c r="I96" i="15"/>
  <c r="I98" i="15"/>
  <c r="I100" i="15"/>
  <c r="I104" i="15"/>
  <c r="I106" i="15"/>
  <c r="I108" i="15"/>
  <c r="I97" i="15"/>
  <c r="I110" i="15"/>
  <c r="I102" i="15"/>
  <c r="I94" i="15"/>
  <c r="I99" i="15"/>
  <c r="I115" i="15"/>
  <c r="I113" i="15"/>
  <c r="I107" i="15"/>
  <c r="I105" i="15"/>
  <c r="F43" i="15"/>
  <c r="J43" i="15"/>
  <c r="C75" i="15"/>
  <c r="F75" i="15" s="1"/>
  <c r="F41" i="15"/>
  <c r="J41" i="15"/>
  <c r="C73" i="15"/>
  <c r="F73" i="15" s="1"/>
  <c r="F38" i="15"/>
  <c r="C70" i="15"/>
  <c r="F70" i="15" s="1"/>
  <c r="J38" i="15"/>
  <c r="F28" i="15"/>
  <c r="J28" i="15"/>
  <c r="C60" i="15"/>
  <c r="F60" i="15" s="1"/>
  <c r="F34" i="15"/>
  <c r="C66" i="15"/>
  <c r="F66" i="15" s="1"/>
  <c r="J34" i="15"/>
  <c r="J39" i="24"/>
  <c r="J59" i="24"/>
  <c r="E77" i="24"/>
  <c r="D78" i="24"/>
  <c r="J50" i="24"/>
  <c r="J47" i="24"/>
  <c r="E75" i="24"/>
  <c r="J43" i="24"/>
  <c r="J56" i="24"/>
  <c r="D82" i="24"/>
  <c r="D83" i="24"/>
  <c r="E86" i="24"/>
  <c r="E68" i="24"/>
  <c r="D81" i="24"/>
  <c r="J58" i="24"/>
  <c r="E71" i="24"/>
  <c r="D84" i="24"/>
  <c r="D70" i="24"/>
  <c r="D76" i="24"/>
  <c r="E88" i="24"/>
  <c r="J41" i="24"/>
  <c r="E87" i="24"/>
  <c r="D86" i="24"/>
  <c r="J51" i="24"/>
  <c r="E69" i="24"/>
  <c r="D85" i="24"/>
  <c r="E81" i="24"/>
  <c r="E89" i="24"/>
  <c r="E73" i="24"/>
  <c r="J40" i="24"/>
  <c r="J44" i="24"/>
  <c r="J48" i="24"/>
  <c r="D88" i="24"/>
  <c r="D71" i="24"/>
  <c r="D77" i="24"/>
  <c r="E74" i="24"/>
  <c r="J49" i="24"/>
  <c r="J52" i="24"/>
  <c r="J60" i="24"/>
  <c r="D90" i="24"/>
  <c r="E82" i="24"/>
  <c r="E90" i="24"/>
  <c r="E72" i="24"/>
  <c r="D89" i="24"/>
  <c r="E70" i="24"/>
  <c r="J54" i="24"/>
  <c r="D74" i="24"/>
  <c r="E76" i="24"/>
  <c r="J45" i="24"/>
  <c r="D68" i="24"/>
  <c r="D72" i="24"/>
  <c r="D79" i="24"/>
  <c r="E78" i="24"/>
  <c r="J57" i="24"/>
  <c r="E83" i="24"/>
  <c r="D75" i="24"/>
  <c r="J55" i="24"/>
  <c r="E84" i="24"/>
  <c r="J53" i="24"/>
  <c r="J38" i="24"/>
  <c r="J42" i="24"/>
  <c r="J46" i="24"/>
  <c r="D80" i="24"/>
  <c r="D69" i="24"/>
  <c r="D73" i="24"/>
  <c r="E80" i="24"/>
  <c r="E79" i="24"/>
  <c r="C86" i="3"/>
  <c r="F56" i="3"/>
  <c r="J56" i="3"/>
  <c r="E68" i="3"/>
  <c r="C73" i="3"/>
  <c r="F43" i="3"/>
  <c r="J43" i="3"/>
  <c r="D67" i="3"/>
  <c r="C82" i="24"/>
  <c r="D75" i="3"/>
  <c r="C77" i="24"/>
  <c r="D69" i="3"/>
  <c r="C78" i="3"/>
  <c r="F48" i="3"/>
  <c r="J48" i="3"/>
  <c r="C71" i="3"/>
  <c r="F41" i="3"/>
  <c r="J41" i="3"/>
  <c r="D68" i="3"/>
  <c r="D84" i="3"/>
  <c r="E84" i="3"/>
  <c r="E74" i="3"/>
  <c r="J50" i="3"/>
  <c r="F50" i="3"/>
  <c r="C80" i="3"/>
  <c r="J54" i="3"/>
  <c r="F54" i="3"/>
  <c r="C84" i="3"/>
  <c r="D71" i="3"/>
  <c r="E73" i="3"/>
  <c r="C90" i="24"/>
  <c r="D70" i="3"/>
  <c r="E65" i="3"/>
  <c r="C87" i="24"/>
  <c r="E79" i="3"/>
  <c r="D65" i="3"/>
  <c r="E75" i="3"/>
  <c r="F49" i="3"/>
  <c r="D79" i="3"/>
  <c r="D72" i="3"/>
  <c r="J38" i="3"/>
  <c r="F38" i="3"/>
  <c r="C68" i="3"/>
  <c r="C76" i="3"/>
  <c r="J46" i="3"/>
  <c r="F46" i="3"/>
  <c r="E76" i="3"/>
  <c r="C72" i="24"/>
  <c r="C75" i="24"/>
  <c r="D81" i="3"/>
  <c r="D82" i="3"/>
  <c r="C80" i="24"/>
  <c r="J49" i="3"/>
  <c r="C79" i="3"/>
  <c r="E85" i="3"/>
  <c r="C76" i="24"/>
  <c r="D78" i="3"/>
  <c r="C86" i="24"/>
  <c r="E64" i="3"/>
  <c r="Y42" i="3"/>
  <c r="E67" i="3"/>
  <c r="E72" i="3"/>
  <c r="C84" i="24"/>
  <c r="C87" i="3"/>
  <c r="F57" i="3"/>
  <c r="J57" i="3"/>
  <c r="F37" i="3"/>
  <c r="C67" i="3"/>
  <c r="J37" i="3"/>
  <c r="F45" i="3"/>
  <c r="C75" i="3"/>
  <c r="J45" i="3"/>
  <c r="E82" i="3"/>
  <c r="D66" i="3"/>
  <c r="D74" i="3"/>
  <c r="C69" i="24"/>
  <c r="D87" i="3"/>
  <c r="D80" i="3"/>
  <c r="C82" i="3"/>
  <c r="F52" i="3"/>
  <c r="J52" i="3"/>
  <c r="D64" i="3"/>
  <c r="X42" i="3"/>
  <c r="E69" i="3"/>
  <c r="D77" i="3"/>
  <c r="C89" i="24"/>
  <c r="C72" i="3"/>
  <c r="J42" i="3"/>
  <c r="F42" i="3"/>
  <c r="J55" i="3"/>
  <c r="F55" i="3"/>
  <c r="C85" i="3"/>
  <c r="C70" i="24"/>
  <c r="E80" i="3"/>
  <c r="C71" i="24"/>
  <c r="D86" i="3"/>
  <c r="E70" i="3"/>
  <c r="C88" i="24"/>
  <c r="D76" i="3"/>
  <c r="C74" i="24"/>
  <c r="E87" i="3"/>
  <c r="C85" i="24"/>
  <c r="C83" i="24"/>
  <c r="C70" i="3"/>
  <c r="J40" i="3"/>
  <c r="F40" i="3"/>
  <c r="C81" i="3"/>
  <c r="F51" i="3"/>
  <c r="J51" i="3"/>
  <c r="J35" i="3"/>
  <c r="C65" i="3"/>
  <c r="F35" i="3"/>
  <c r="E81" i="3"/>
  <c r="C78" i="24"/>
  <c r="E83" i="3"/>
  <c r="E71" i="3"/>
  <c r="W42" i="3"/>
  <c r="C64" i="3"/>
  <c r="J34" i="3"/>
  <c r="F34" i="3"/>
  <c r="F39" i="3"/>
  <c r="C69" i="3"/>
  <c r="J39" i="3"/>
  <c r="C77" i="3"/>
  <c r="F47" i="3"/>
  <c r="J47" i="3"/>
  <c r="E86" i="3"/>
  <c r="C81" i="24"/>
  <c r="E66" i="3"/>
  <c r="E77" i="3"/>
  <c r="C73" i="24"/>
  <c r="D83" i="3"/>
  <c r="D73" i="3"/>
  <c r="D85" i="3"/>
  <c r="C68" i="24"/>
  <c r="C79" i="24"/>
  <c r="C66" i="3"/>
  <c r="J36" i="3"/>
  <c r="F36" i="3"/>
  <c r="C74" i="3"/>
  <c r="J44" i="3"/>
  <c r="F44" i="3"/>
  <c r="E78" i="3"/>
  <c r="F53" i="3"/>
  <c r="J53" i="3"/>
  <c r="C83" i="3"/>
  <c r="F56" i="15" l="1"/>
  <c r="C80" i="15"/>
  <c r="E108" i="24"/>
  <c r="D111" i="24"/>
  <c r="E110" i="24"/>
  <c r="E113" i="24"/>
  <c r="E117" i="24"/>
  <c r="D114" i="24"/>
  <c r="D106" i="24"/>
  <c r="E115" i="24"/>
  <c r="D119" i="24"/>
  <c r="E101" i="24"/>
  <c r="D102" i="24"/>
  <c r="D108" i="24"/>
  <c r="E109" i="24"/>
  <c r="D123" i="24"/>
  <c r="E120" i="24"/>
  <c r="D109" i="24"/>
  <c r="E119" i="24"/>
  <c r="E121" i="24"/>
  <c r="D113" i="24"/>
  <c r="E116" i="24"/>
  <c r="D107" i="24"/>
  <c r="E106" i="24"/>
  <c r="D103" i="24"/>
  <c r="D116" i="24"/>
  <c r="E111" i="24"/>
  <c r="E107" i="24"/>
  <c r="E122" i="24"/>
  <c r="D117" i="24"/>
  <c r="D115" i="24"/>
  <c r="E123" i="24"/>
  <c r="D112" i="24"/>
  <c r="E103" i="24"/>
  <c r="D110" i="24"/>
  <c r="E114" i="24"/>
  <c r="E104" i="24"/>
  <c r="D105" i="24"/>
  <c r="D122" i="24"/>
  <c r="D104" i="24"/>
  <c r="D118" i="24"/>
  <c r="E112" i="24"/>
  <c r="D101" i="24"/>
  <c r="E105" i="24"/>
  <c r="D121" i="24"/>
  <c r="E102" i="24"/>
  <c r="C103" i="24"/>
  <c r="F70" i="24"/>
  <c r="J70" i="24"/>
  <c r="D99" i="3"/>
  <c r="E108" i="3"/>
  <c r="F79" i="24"/>
  <c r="C112" i="24"/>
  <c r="J79" i="24"/>
  <c r="F83" i="24"/>
  <c r="C116" i="24"/>
  <c r="J83" i="24"/>
  <c r="D103" i="3"/>
  <c r="C102" i="3"/>
  <c r="F69" i="3"/>
  <c r="J69" i="3"/>
  <c r="D118" i="3"/>
  <c r="C106" i="24"/>
  <c r="F73" i="24"/>
  <c r="J73" i="24"/>
  <c r="E99" i="3"/>
  <c r="E116" i="3"/>
  <c r="E103" i="3"/>
  <c r="F71" i="24"/>
  <c r="C104" i="24"/>
  <c r="J71" i="24"/>
  <c r="D97" i="3"/>
  <c r="D114" i="3"/>
  <c r="E109" i="3"/>
  <c r="E98" i="3"/>
  <c r="F80" i="3"/>
  <c r="C113" i="3"/>
  <c r="J80" i="3"/>
  <c r="C106" i="3"/>
  <c r="F73" i="3"/>
  <c r="J73" i="3"/>
  <c r="C97" i="3"/>
  <c r="J64" i="3"/>
  <c r="F64" i="3"/>
  <c r="C111" i="24"/>
  <c r="F78" i="24"/>
  <c r="J78" i="24"/>
  <c r="F88" i="24"/>
  <c r="C121" i="24"/>
  <c r="J88" i="24"/>
  <c r="E105" i="3"/>
  <c r="D105" i="3"/>
  <c r="C120" i="24"/>
  <c r="F87" i="24"/>
  <c r="J87" i="24"/>
  <c r="C115" i="24"/>
  <c r="F82" i="24"/>
  <c r="J82" i="24"/>
  <c r="D119" i="3"/>
  <c r="F83" i="3"/>
  <c r="C116" i="3"/>
  <c r="J83" i="3"/>
  <c r="F86" i="24"/>
  <c r="C119" i="24"/>
  <c r="J86" i="24"/>
  <c r="C108" i="24"/>
  <c r="F75" i="24"/>
  <c r="J75" i="24"/>
  <c r="D108" i="3"/>
  <c r="E104" i="3"/>
  <c r="C118" i="24"/>
  <c r="F85" i="24"/>
  <c r="J85" i="24"/>
  <c r="C118" i="3"/>
  <c r="J85" i="3"/>
  <c r="F85" i="3"/>
  <c r="E118" i="3"/>
  <c r="F76" i="3"/>
  <c r="C109" i="3"/>
  <c r="J76" i="3"/>
  <c r="D112" i="3"/>
  <c r="D101" i="3"/>
  <c r="C105" i="3"/>
  <c r="F72" i="3"/>
  <c r="J72" i="3"/>
  <c r="E102" i="3"/>
  <c r="C115" i="3"/>
  <c r="F82" i="3"/>
  <c r="J82" i="3"/>
  <c r="J75" i="3"/>
  <c r="C108" i="3"/>
  <c r="F75" i="3"/>
  <c r="F77" i="24"/>
  <c r="C110" i="24"/>
  <c r="J77" i="24"/>
  <c r="E97" i="3"/>
  <c r="E106" i="3"/>
  <c r="E117" i="3"/>
  <c r="E114" i="3"/>
  <c r="E115" i="3"/>
  <c r="C113" i="24"/>
  <c r="F80" i="24"/>
  <c r="J80" i="24"/>
  <c r="D98" i="3"/>
  <c r="D102" i="3"/>
  <c r="E101" i="3"/>
  <c r="D109" i="3"/>
  <c r="F67" i="3"/>
  <c r="C100" i="3"/>
  <c r="J67" i="3"/>
  <c r="C109" i="24"/>
  <c r="F76" i="24"/>
  <c r="J76" i="24"/>
  <c r="E111" i="3"/>
  <c r="C101" i="24"/>
  <c r="F68" i="24"/>
  <c r="J68" i="24"/>
  <c r="D106" i="3"/>
  <c r="E113" i="3"/>
  <c r="D110" i="3"/>
  <c r="D113" i="3"/>
  <c r="D120" i="3"/>
  <c r="D107" i="3"/>
  <c r="D111" i="3"/>
  <c r="C112" i="3"/>
  <c r="F79" i="3"/>
  <c r="J79" i="3"/>
  <c r="D115" i="3"/>
  <c r="E112" i="3"/>
  <c r="F86" i="3"/>
  <c r="C119" i="3"/>
  <c r="J86" i="3"/>
  <c r="F66" i="3"/>
  <c r="C99" i="3"/>
  <c r="J66" i="3"/>
  <c r="F65" i="3"/>
  <c r="C98" i="3"/>
  <c r="J65" i="3"/>
  <c r="C107" i="24"/>
  <c r="F74" i="24"/>
  <c r="J74" i="24"/>
  <c r="C120" i="3"/>
  <c r="J87" i="3"/>
  <c r="F87" i="3"/>
  <c r="J68" i="3"/>
  <c r="C101" i="3"/>
  <c r="F68" i="3"/>
  <c r="E107" i="3"/>
  <c r="D116" i="3"/>
  <c r="E110" i="3"/>
  <c r="E119" i="3"/>
  <c r="C114" i="3"/>
  <c r="F81" i="3"/>
  <c r="J81" i="3"/>
  <c r="C102" i="24"/>
  <c r="F69" i="24"/>
  <c r="J69" i="24"/>
  <c r="F71" i="3"/>
  <c r="C104" i="3"/>
  <c r="J71" i="3"/>
  <c r="F89" i="24"/>
  <c r="C122" i="24"/>
  <c r="J89" i="24"/>
  <c r="E100" i="3"/>
  <c r="D104" i="3"/>
  <c r="D117" i="3"/>
  <c r="C110" i="3"/>
  <c r="F77" i="3"/>
  <c r="J77" i="3"/>
  <c r="C107" i="3"/>
  <c r="J74" i="3"/>
  <c r="F74" i="3"/>
  <c r="C114" i="24"/>
  <c r="F81" i="24"/>
  <c r="J81" i="24"/>
  <c r="C103" i="3"/>
  <c r="F70" i="3"/>
  <c r="J70" i="3"/>
  <c r="E120" i="3"/>
  <c r="F84" i="24"/>
  <c r="C117" i="24"/>
  <c r="J84" i="24"/>
  <c r="F72" i="24"/>
  <c r="C105" i="24"/>
  <c r="J72" i="24"/>
  <c r="C123" i="24"/>
  <c r="F90" i="24"/>
  <c r="J90" i="24"/>
  <c r="F84" i="3"/>
  <c r="J84" i="3"/>
  <c r="C117" i="3"/>
  <c r="C111" i="3"/>
  <c r="F78" i="3"/>
  <c r="J78" i="3"/>
  <c r="D100" i="3"/>
  <c r="H48" i="33"/>
  <c r="G48" i="33"/>
  <c r="H43" i="33"/>
  <c r="G43" i="33"/>
  <c r="H41" i="33"/>
  <c r="G41" i="33"/>
  <c r="H40" i="33"/>
  <c r="G40" i="33"/>
  <c r="H39" i="33"/>
  <c r="G39" i="33"/>
  <c r="H38" i="33"/>
  <c r="G38" i="33"/>
  <c r="N12" i="33" s="1"/>
  <c r="N26" i="33" s="1"/>
  <c r="H29" i="33"/>
  <c r="G29" i="33"/>
  <c r="H28" i="33"/>
  <c r="G28" i="33"/>
  <c r="H27" i="33"/>
  <c r="G27" i="33"/>
  <c r="H26" i="33"/>
  <c r="G26" i="33"/>
  <c r="H25" i="33"/>
  <c r="G25" i="33"/>
  <c r="H24" i="33"/>
  <c r="G24" i="33"/>
  <c r="H23" i="33"/>
  <c r="G23" i="33"/>
  <c r="H22" i="33"/>
  <c r="G22" i="33"/>
  <c r="H21" i="33"/>
  <c r="G21" i="33"/>
  <c r="H20" i="33"/>
  <c r="G20" i="33"/>
  <c r="H17" i="33"/>
  <c r="G17" i="33"/>
  <c r="H16" i="33"/>
  <c r="G16" i="33"/>
  <c r="H15" i="33"/>
  <c r="G15" i="33"/>
  <c r="H14" i="33"/>
  <c r="G14" i="33"/>
  <c r="H11" i="33"/>
  <c r="G11" i="33"/>
  <c r="H10" i="33"/>
  <c r="G10" i="33"/>
  <c r="H9" i="33"/>
  <c r="G9" i="33"/>
  <c r="H6" i="33"/>
  <c r="G6" i="33"/>
  <c r="H5" i="33"/>
  <c r="G5" i="33"/>
  <c r="H4" i="33"/>
  <c r="G4" i="33"/>
  <c r="H3" i="33"/>
  <c r="G3" i="33"/>
  <c r="H2" i="33"/>
  <c r="C121" i="3" l="1"/>
  <c r="E121" i="3"/>
  <c r="D121" i="3"/>
  <c r="F117" i="24"/>
  <c r="F107" i="3"/>
  <c r="F106" i="24"/>
  <c r="F112" i="24"/>
  <c r="F99" i="3"/>
  <c r="F115" i="3"/>
  <c r="F120" i="24"/>
  <c r="F111" i="24"/>
  <c r="F103" i="24"/>
  <c r="F105" i="24"/>
  <c r="F120" i="3"/>
  <c r="F118" i="24"/>
  <c r="F111" i="3"/>
  <c r="F107" i="24"/>
  <c r="F122" i="24"/>
  <c r="F101" i="3"/>
  <c r="F109" i="24"/>
  <c r="F115" i="24"/>
  <c r="F121" i="24"/>
  <c r="F113" i="3"/>
  <c r="F104" i="3"/>
  <c r="F105" i="3"/>
  <c r="F110" i="24"/>
  <c r="F108" i="3"/>
  <c r="F108" i="24"/>
  <c r="F102" i="3"/>
  <c r="F116" i="24"/>
  <c r="F117" i="3"/>
  <c r="F114" i="24"/>
  <c r="F110" i="3"/>
  <c r="F98" i="3"/>
  <c r="F119" i="3"/>
  <c r="F101" i="24"/>
  <c r="F109" i="3"/>
  <c r="F116" i="3"/>
  <c r="F106" i="3"/>
  <c r="F104" i="24"/>
  <c r="F123" i="24"/>
  <c r="F103" i="3"/>
  <c r="F102" i="24"/>
  <c r="F114" i="3"/>
  <c r="F112" i="3"/>
  <c r="F100" i="3"/>
  <c r="F113" i="24"/>
  <c r="F118" i="3"/>
  <c r="F119" i="24"/>
  <c r="F97" i="3"/>
  <c r="F121" i="3" l="1"/>
  <c r="P29" i="48"/>
  <c r="AA29" i="48"/>
  <c r="Z29" i="48"/>
  <c r="F5" i="48"/>
  <c r="AB5" i="48"/>
  <c r="AB6" i="48"/>
  <c r="AB18" i="48"/>
  <c r="AB19" i="48"/>
  <c r="AB20" i="48"/>
  <c r="AB21" i="48"/>
  <c r="AB22" i="48"/>
  <c r="AB23" i="48"/>
  <c r="AB24" i="48"/>
  <c r="AB25" i="48"/>
  <c r="AB26" i="48"/>
  <c r="AB27" i="48"/>
  <c r="AB28" i="48"/>
  <c r="D67" i="48" l="1"/>
  <c r="C36" i="48"/>
  <c r="AB29" i="48"/>
  <c r="D33" i="50"/>
  <c r="C33" i="50"/>
  <c r="C318" i="49" l="1"/>
  <c r="C310" i="49"/>
  <c r="C342" i="49" s="1"/>
  <c r="A373" i="49" l="1"/>
  <c r="A406" i="49" s="1"/>
  <c r="F318" i="49"/>
  <c r="C349" i="49" s="1"/>
  <c r="D310" i="49"/>
  <c r="E310" i="49" s="1"/>
  <c r="F286" i="49"/>
  <c r="H286" i="49" s="1"/>
  <c r="B349" i="49" s="1"/>
  <c r="A273" i="49"/>
  <c r="C345" i="49"/>
  <c r="B209" i="49"/>
  <c r="C160" i="49"/>
  <c r="C135" i="49"/>
  <c r="C111" i="49"/>
  <c r="C110" i="49"/>
  <c r="D109" i="49"/>
  <c r="D82" i="49"/>
  <c r="C82" i="49"/>
  <c r="E82" i="49" s="1"/>
  <c r="F57" i="49"/>
  <c r="D56" i="49"/>
  <c r="C56" i="49"/>
  <c r="E56" i="49" s="1"/>
  <c r="F32" i="49"/>
  <c r="H32" i="49" s="1"/>
  <c r="D31" i="49"/>
  <c r="C31" i="49"/>
  <c r="H7" i="49"/>
  <c r="B82" i="49"/>
  <c r="B110" i="49" s="1"/>
  <c r="B185" i="49" s="1"/>
  <c r="A218" i="49" s="1"/>
  <c r="A249" i="49" s="1"/>
  <c r="B286" i="49" s="1"/>
  <c r="M1" i="18"/>
  <c r="M110" i="49" l="1"/>
  <c r="C186" i="49"/>
  <c r="D135" i="49"/>
  <c r="F82" i="49"/>
  <c r="B378" i="49"/>
  <c r="F310" i="49"/>
  <c r="D110" i="49"/>
  <c r="D342" i="49"/>
  <c r="D349" i="49"/>
  <c r="L2" i="49"/>
  <c r="L343" i="49" s="1"/>
  <c r="A363" i="49"/>
  <c r="A371" i="49"/>
  <c r="B32" i="49"/>
  <c r="A369" i="49"/>
  <c r="A349" i="49"/>
  <c r="A382" i="49" s="1"/>
  <c r="B318" i="49"/>
  <c r="B135" i="49"/>
  <c r="B160" i="49" s="1"/>
  <c r="E342" i="49"/>
  <c r="D111" i="49"/>
  <c r="L377" i="49"/>
  <c r="A362" i="49"/>
  <c r="A372" i="49"/>
  <c r="E31" i="49"/>
  <c r="A365" i="49"/>
  <c r="C184" i="49"/>
  <c r="D81" i="49"/>
  <c r="D106" i="49" s="1"/>
  <c r="F81" i="49"/>
  <c r="C185" i="49"/>
  <c r="B377" i="49"/>
  <c r="C344" i="49"/>
  <c r="C81" i="49"/>
  <c r="E81" i="49" s="1"/>
  <c r="B111" i="49"/>
  <c r="F56" i="49"/>
  <c r="C159" i="49"/>
  <c r="F342" i="49"/>
  <c r="C373" i="49" s="1"/>
  <c r="C374" i="49" s="1"/>
  <c r="C134" i="49"/>
  <c r="D160" i="49"/>
  <c r="E29" i="48"/>
  <c r="D29" i="48"/>
  <c r="G29" i="48" s="1"/>
  <c r="C106" i="49" l="1"/>
  <c r="E106" i="49" s="1"/>
  <c r="F106" i="49"/>
  <c r="G106" i="49" s="1"/>
  <c r="M134" i="49"/>
  <c r="O110" i="49"/>
  <c r="P110" i="49" s="1"/>
  <c r="M118" i="49"/>
  <c r="M127" i="49"/>
  <c r="M119" i="49"/>
  <c r="M122" i="49"/>
  <c r="M120" i="49"/>
  <c r="M113" i="49"/>
  <c r="M115" i="49"/>
  <c r="M116" i="49"/>
  <c r="M126" i="49"/>
  <c r="M131" i="49"/>
  <c r="M124" i="49"/>
  <c r="M123" i="49"/>
  <c r="M130" i="49"/>
  <c r="M133" i="49"/>
  <c r="M112" i="49"/>
  <c r="M129" i="49"/>
  <c r="M128" i="49"/>
  <c r="M125" i="49"/>
  <c r="M132" i="49"/>
  <c r="M114" i="49"/>
  <c r="M121" i="49"/>
  <c r="M117" i="49"/>
  <c r="N110" i="49"/>
  <c r="D186" i="49"/>
  <c r="M111" i="49"/>
  <c r="E368" i="49"/>
  <c r="F368" i="49" s="1"/>
  <c r="E354" i="49"/>
  <c r="F354" i="49" s="1"/>
  <c r="E366" i="49"/>
  <c r="F366" i="49" s="1"/>
  <c r="E365" i="49"/>
  <c r="F365" i="49" s="1"/>
  <c r="E360" i="49"/>
  <c r="F360" i="49" s="1"/>
  <c r="E361" i="49"/>
  <c r="F361" i="49" s="1"/>
  <c r="E358" i="49"/>
  <c r="F358" i="49" s="1"/>
  <c r="E371" i="49"/>
  <c r="F371" i="49" s="1"/>
  <c r="E350" i="49"/>
  <c r="F350" i="49" s="1"/>
  <c r="E355" i="49"/>
  <c r="F355" i="49" s="1"/>
  <c r="E369" i="49"/>
  <c r="F369" i="49" s="1"/>
  <c r="E363" i="49"/>
  <c r="F363" i="49" s="1"/>
  <c r="E362" i="49"/>
  <c r="F362" i="49" s="1"/>
  <c r="E352" i="49"/>
  <c r="F352" i="49" s="1"/>
  <c r="E353" i="49"/>
  <c r="F353" i="49" s="1"/>
  <c r="E351" i="49"/>
  <c r="F351" i="49" s="1"/>
  <c r="E364" i="49"/>
  <c r="F364" i="49" s="1"/>
  <c r="E367" i="49"/>
  <c r="F367" i="49" s="1"/>
  <c r="E372" i="49"/>
  <c r="F372" i="49" s="1"/>
  <c r="E359" i="49"/>
  <c r="F359" i="49" s="1"/>
  <c r="E356" i="49"/>
  <c r="F356" i="49" s="1"/>
  <c r="E370" i="49"/>
  <c r="F370" i="49" s="1"/>
  <c r="E357" i="49"/>
  <c r="F357" i="49" s="1"/>
  <c r="F160" i="49"/>
  <c r="G160" i="49" s="1"/>
  <c r="F135" i="49"/>
  <c r="G135" i="49" s="1"/>
  <c r="F110" i="49"/>
  <c r="E349" i="49"/>
  <c r="F349" i="49" s="1"/>
  <c r="H31" i="49"/>
  <c r="H56" i="49"/>
  <c r="E184" i="49"/>
  <c r="C209" i="49"/>
  <c r="E209" i="49" s="1"/>
  <c r="E134" i="49"/>
  <c r="D134" i="49"/>
  <c r="A368" i="49"/>
  <c r="D185" i="49"/>
  <c r="A366" i="49"/>
  <c r="H310" i="49"/>
  <c r="E159" i="49"/>
  <c r="D159" i="49"/>
  <c r="L102" i="48"/>
  <c r="N69" i="48"/>
  <c r="D60" i="48"/>
  <c r="C17" i="47"/>
  <c r="C20" i="47" s="1"/>
  <c r="O121" i="49" l="1"/>
  <c r="P121" i="49" s="1"/>
  <c r="N121" i="49"/>
  <c r="N130" i="49"/>
  <c r="O130" i="49"/>
  <c r="P130" i="49" s="1"/>
  <c r="O114" i="49"/>
  <c r="P114" i="49" s="1"/>
  <c r="N114" i="49"/>
  <c r="N122" i="49"/>
  <c r="O122" i="49"/>
  <c r="P122" i="49" s="1"/>
  <c r="O132" i="49"/>
  <c r="P132" i="49" s="1"/>
  <c r="N132" i="49"/>
  <c r="O131" i="49"/>
  <c r="P131" i="49" s="1"/>
  <c r="N131" i="49"/>
  <c r="N128" i="49"/>
  <c r="O128" i="49"/>
  <c r="P128" i="49" s="1"/>
  <c r="N126" i="49"/>
  <c r="O126" i="49"/>
  <c r="P126" i="49" s="1"/>
  <c r="N118" i="49"/>
  <c r="O118" i="49"/>
  <c r="P118" i="49" s="1"/>
  <c r="N133" i="49"/>
  <c r="O133" i="49"/>
  <c r="P133" i="49" s="1"/>
  <c r="N120" i="49"/>
  <c r="O120" i="49"/>
  <c r="P120" i="49" s="1"/>
  <c r="N124" i="49"/>
  <c r="O124" i="49"/>
  <c r="P124" i="49" s="1"/>
  <c r="N125" i="49"/>
  <c r="O125" i="49"/>
  <c r="P125" i="49" s="1"/>
  <c r="N129" i="49"/>
  <c r="O129" i="49"/>
  <c r="P129" i="49" s="1"/>
  <c r="N116" i="49"/>
  <c r="O116" i="49"/>
  <c r="P116" i="49" s="1"/>
  <c r="N117" i="49"/>
  <c r="O117" i="49"/>
  <c r="P117" i="49" s="1"/>
  <c r="O113" i="49"/>
  <c r="P113" i="49" s="1"/>
  <c r="N113" i="49"/>
  <c r="O123" i="49"/>
  <c r="P123" i="49" s="1"/>
  <c r="N123" i="49"/>
  <c r="N119" i="49"/>
  <c r="O119" i="49"/>
  <c r="P119" i="49" s="1"/>
  <c r="O111" i="49"/>
  <c r="P111" i="49" s="1"/>
  <c r="N111" i="49"/>
  <c r="O127" i="49"/>
  <c r="P127" i="49" s="1"/>
  <c r="N127" i="49"/>
  <c r="O112" i="49"/>
  <c r="P112" i="49" s="1"/>
  <c r="N112" i="49"/>
  <c r="N115" i="49"/>
  <c r="O115" i="49"/>
  <c r="P115" i="49" s="1"/>
  <c r="N134" i="49"/>
  <c r="O134" i="49"/>
  <c r="P134" i="49" s="1"/>
  <c r="M135" i="49"/>
  <c r="F24" i="47"/>
  <c r="G184" i="49"/>
  <c r="G159" i="49"/>
  <c r="F185" i="49"/>
  <c r="G110" i="49"/>
  <c r="G185" i="49" s="1"/>
  <c r="C218" i="49" s="1"/>
  <c r="D184" i="49"/>
  <c r="D209" i="49" s="1"/>
  <c r="F134" i="49"/>
  <c r="F159" i="49"/>
  <c r="C210" i="49"/>
  <c r="L106" i="48"/>
  <c r="L107" i="48" s="1"/>
  <c r="I68" i="48"/>
  <c r="F78" i="48"/>
  <c r="H111" i="48" s="1"/>
  <c r="I86" i="48"/>
  <c r="F70" i="48"/>
  <c r="H103" i="48" s="1"/>
  <c r="I84" i="48"/>
  <c r="F89" i="48"/>
  <c r="H122" i="48" s="1"/>
  <c r="I88" i="48"/>
  <c r="F76" i="48"/>
  <c r="H109" i="48" s="1"/>
  <c r="F84" i="48"/>
  <c r="H117" i="48" s="1"/>
  <c r="I73" i="48"/>
  <c r="F80" i="48"/>
  <c r="H113" i="48" s="1"/>
  <c r="I74" i="48"/>
  <c r="F77" i="48"/>
  <c r="H110" i="48" s="1"/>
  <c r="F69" i="48"/>
  <c r="H102" i="48" s="1"/>
  <c r="F82" i="48"/>
  <c r="H115" i="48" s="1"/>
  <c r="F83" i="48"/>
  <c r="H116" i="48" s="1"/>
  <c r="I77" i="48"/>
  <c r="I80" i="48"/>
  <c r="F79" i="48"/>
  <c r="H112" i="48" s="1"/>
  <c r="F73" i="48"/>
  <c r="H106" i="48" s="1"/>
  <c r="I72" i="48"/>
  <c r="I87" i="48"/>
  <c r="F88" i="48"/>
  <c r="H121" i="48" s="1"/>
  <c r="F81" i="48"/>
  <c r="H114" i="48" s="1"/>
  <c r="I79" i="48"/>
  <c r="I75" i="48"/>
  <c r="I81" i="48"/>
  <c r="F74" i="48"/>
  <c r="H107" i="48" s="1"/>
  <c r="F75" i="48"/>
  <c r="H108" i="48" s="1"/>
  <c r="F68" i="48"/>
  <c r="H101" i="48" s="1"/>
  <c r="F86" i="48"/>
  <c r="H119" i="48" s="1"/>
  <c r="F87" i="48"/>
  <c r="H120" i="48" s="1"/>
  <c r="I85" i="48"/>
  <c r="I76" i="48"/>
  <c r="F90" i="48"/>
  <c r="H123" i="48" s="1"/>
  <c r="I83" i="48"/>
  <c r="I70" i="48"/>
  <c r="F71" i="48"/>
  <c r="H104" i="48" s="1"/>
  <c r="F85" i="48"/>
  <c r="H118" i="48" s="1"/>
  <c r="I89" i="48"/>
  <c r="I69" i="48"/>
  <c r="F72" i="48"/>
  <c r="H105" i="48" s="1"/>
  <c r="I78" i="48"/>
  <c r="I90" i="48"/>
  <c r="I82" i="48"/>
  <c r="I71" i="48"/>
  <c r="Q29" i="48"/>
  <c r="R29" i="48"/>
  <c r="S29" i="48"/>
  <c r="H29" i="48"/>
  <c r="F29" i="48"/>
  <c r="C60" i="48" s="1"/>
  <c r="A350" i="49"/>
  <c r="A364" i="49"/>
  <c r="A370" i="49"/>
  <c r="F184" i="49"/>
  <c r="I310" i="49"/>
  <c r="K310" i="49"/>
  <c r="B373" i="49"/>
  <c r="A367" i="49"/>
  <c r="T5" i="48"/>
  <c r="W5" i="48" s="1"/>
  <c r="N112" i="25"/>
  <c r="C210" i="25" s="1"/>
  <c r="H46" i="46"/>
  <c r="G46" i="46"/>
  <c r="F46" i="46"/>
  <c r="E46" i="46"/>
  <c r="D46" i="46"/>
  <c r="C46" i="46"/>
  <c r="I28" i="46"/>
  <c r="F28" i="46"/>
  <c r="E28" i="46"/>
  <c r="H28" i="46"/>
  <c r="G28" i="46"/>
  <c r="D28" i="46"/>
  <c r="C28" i="46"/>
  <c r="N110" i="25"/>
  <c r="C208" i="25" s="1"/>
  <c r="N103" i="25"/>
  <c r="C201" i="25" s="1"/>
  <c r="S4" i="46"/>
  <c r="J4" i="46"/>
  <c r="F175" i="49" l="1"/>
  <c r="G175" i="49" s="1"/>
  <c r="F150" i="49"/>
  <c r="G150" i="49" s="1"/>
  <c r="F125" i="49"/>
  <c r="F118" i="49"/>
  <c r="F143" i="49"/>
  <c r="G143" i="49" s="1"/>
  <c r="F168" i="49"/>
  <c r="G168" i="49" s="1"/>
  <c r="O135" i="49"/>
  <c r="P135" i="49" s="1"/>
  <c r="N135" i="49"/>
  <c r="F152" i="49"/>
  <c r="G152" i="49" s="1"/>
  <c r="F177" i="49"/>
  <c r="G177" i="49" s="1"/>
  <c r="F127" i="49"/>
  <c r="F113" i="49"/>
  <c r="F138" i="49"/>
  <c r="G138" i="49" s="1"/>
  <c r="F163" i="49"/>
  <c r="G163" i="49" s="1"/>
  <c r="F182" i="49"/>
  <c r="G182" i="49" s="1"/>
  <c r="F157" i="49"/>
  <c r="G157" i="49" s="1"/>
  <c r="F132" i="49"/>
  <c r="F121" i="49"/>
  <c r="F146" i="49"/>
  <c r="G146" i="49" s="1"/>
  <c r="F171" i="49"/>
  <c r="G171" i="49" s="1"/>
  <c r="F117" i="49"/>
  <c r="F167" i="49"/>
  <c r="G167" i="49" s="1"/>
  <c r="F142" i="49"/>
  <c r="G142" i="49" s="1"/>
  <c r="F174" i="49"/>
  <c r="G174" i="49" s="1"/>
  <c r="F149" i="49"/>
  <c r="G149" i="49" s="1"/>
  <c r="F124" i="49"/>
  <c r="F176" i="49"/>
  <c r="G176" i="49" s="1"/>
  <c r="F151" i="49"/>
  <c r="G151" i="49" s="1"/>
  <c r="F126" i="49"/>
  <c r="F172" i="49"/>
  <c r="G172" i="49" s="1"/>
  <c r="F147" i="49"/>
  <c r="G147" i="49" s="1"/>
  <c r="F122" i="49"/>
  <c r="F136" i="49"/>
  <c r="G136" i="49" s="1"/>
  <c r="F111" i="49"/>
  <c r="F161" i="49"/>
  <c r="G161" i="49" s="1"/>
  <c r="F140" i="49"/>
  <c r="G140" i="49" s="1"/>
  <c r="F115" i="49"/>
  <c r="F165" i="49"/>
  <c r="G165" i="49" s="1"/>
  <c r="F144" i="49"/>
  <c r="G144" i="49" s="1"/>
  <c r="F169" i="49"/>
  <c r="G169" i="49" s="1"/>
  <c r="F119" i="49"/>
  <c r="F116" i="49"/>
  <c r="F166" i="49"/>
  <c r="G166" i="49" s="1"/>
  <c r="F141" i="49"/>
  <c r="G141" i="49" s="1"/>
  <c r="F120" i="49"/>
  <c r="F170" i="49"/>
  <c r="G170" i="49" s="1"/>
  <c r="F145" i="49"/>
  <c r="G145" i="49" s="1"/>
  <c r="F178" i="49"/>
  <c r="G178" i="49" s="1"/>
  <c r="F153" i="49"/>
  <c r="G153" i="49" s="1"/>
  <c r="F128" i="49"/>
  <c r="F139" i="49"/>
  <c r="G139" i="49" s="1"/>
  <c r="F114" i="49"/>
  <c r="F164" i="49"/>
  <c r="G164" i="49" s="1"/>
  <c r="F154" i="49"/>
  <c r="G154" i="49" s="1"/>
  <c r="F179" i="49"/>
  <c r="G179" i="49" s="1"/>
  <c r="F129" i="49"/>
  <c r="F158" i="49"/>
  <c r="G158" i="49" s="1"/>
  <c r="F183" i="49"/>
  <c r="G183" i="49" s="1"/>
  <c r="F133" i="49"/>
  <c r="F180" i="49"/>
  <c r="G180" i="49" s="1"/>
  <c r="F155" i="49"/>
  <c r="G155" i="49" s="1"/>
  <c r="F130" i="49"/>
  <c r="F112" i="49"/>
  <c r="F162" i="49"/>
  <c r="G162" i="49" s="1"/>
  <c r="F137" i="49"/>
  <c r="G137" i="49" s="1"/>
  <c r="F148" i="49"/>
  <c r="G148" i="49" s="1"/>
  <c r="F173" i="49"/>
  <c r="G173" i="49" s="1"/>
  <c r="F123" i="49"/>
  <c r="F181" i="49"/>
  <c r="G181" i="49" s="1"/>
  <c r="F156" i="49"/>
  <c r="G156" i="49" s="1"/>
  <c r="F131" i="49"/>
  <c r="E24" i="47"/>
  <c r="C24" i="47"/>
  <c r="F116" i="48"/>
  <c r="F112" i="48"/>
  <c r="F122" i="48"/>
  <c r="F115" i="48"/>
  <c r="F104" i="48"/>
  <c r="F118" i="48"/>
  <c r="F114" i="48"/>
  <c r="F108" i="48"/>
  <c r="F110" i="48"/>
  <c r="F121" i="48"/>
  <c r="F107" i="48"/>
  <c r="F102" i="48"/>
  <c r="F106" i="48"/>
  <c r="F105" i="48"/>
  <c r="F119" i="48"/>
  <c r="F117" i="48"/>
  <c r="F120" i="48"/>
  <c r="F103" i="48"/>
  <c r="F101" i="48"/>
  <c r="F113" i="48"/>
  <c r="F100" i="48"/>
  <c r="F123" i="48"/>
  <c r="F111" i="48"/>
  <c r="F109" i="48"/>
  <c r="D100" i="48"/>
  <c r="D24" i="47"/>
  <c r="F209" i="49"/>
  <c r="D123" i="48"/>
  <c r="D107" i="48"/>
  <c r="D115" i="48"/>
  <c r="D103" i="48"/>
  <c r="D117" i="48"/>
  <c r="D108" i="48"/>
  <c r="D111" i="48"/>
  <c r="D119" i="48"/>
  <c r="D112" i="48"/>
  <c r="D118" i="48"/>
  <c r="D116" i="48"/>
  <c r="D106" i="48"/>
  <c r="D104" i="48"/>
  <c r="D109" i="48"/>
  <c r="D121" i="48"/>
  <c r="D122" i="48"/>
  <c r="D102" i="48"/>
  <c r="D101" i="48"/>
  <c r="D113" i="48"/>
  <c r="D110" i="48"/>
  <c r="D114" i="48"/>
  <c r="D120" i="48"/>
  <c r="D105" i="48"/>
  <c r="E119" i="48"/>
  <c r="E105" i="48"/>
  <c r="E111" i="48"/>
  <c r="E109" i="48"/>
  <c r="E112" i="48"/>
  <c r="E122" i="48"/>
  <c r="E121" i="48"/>
  <c r="E107" i="48"/>
  <c r="E118" i="48"/>
  <c r="E102" i="48"/>
  <c r="E117" i="48"/>
  <c r="E103" i="48"/>
  <c r="E120" i="48"/>
  <c r="E123" i="48"/>
  <c r="E113" i="48"/>
  <c r="E101" i="48"/>
  <c r="E106" i="48"/>
  <c r="E115" i="48"/>
  <c r="E114" i="48"/>
  <c r="E104" i="48"/>
  <c r="E108" i="48"/>
  <c r="E110" i="48"/>
  <c r="E116" i="48"/>
  <c r="E100" i="48"/>
  <c r="X5" i="48"/>
  <c r="Y5" i="48" s="1"/>
  <c r="E36" i="48"/>
  <c r="F36" i="48" s="1"/>
  <c r="I36" i="48" s="1"/>
  <c r="U5" i="48"/>
  <c r="T29" i="48"/>
  <c r="U29" i="48" s="1"/>
  <c r="X4" i="46"/>
  <c r="N100" i="9" s="1"/>
  <c r="P28" i="46"/>
  <c r="N102" i="25"/>
  <c r="C200" i="25" s="1"/>
  <c r="N106" i="25"/>
  <c r="C204" i="25" s="1"/>
  <c r="N107" i="25"/>
  <c r="C205" i="25" s="1"/>
  <c r="N105" i="24"/>
  <c r="C203" i="24" s="1"/>
  <c r="N111" i="25"/>
  <c r="C209" i="25" s="1"/>
  <c r="N105" i="25"/>
  <c r="C203" i="25" s="1"/>
  <c r="N108" i="25"/>
  <c r="C206" i="25" s="1"/>
  <c r="N109" i="24"/>
  <c r="C207" i="24" s="1"/>
  <c r="N101" i="25"/>
  <c r="C199" i="25" s="1"/>
  <c r="N104" i="24"/>
  <c r="C202" i="24" s="1"/>
  <c r="N109" i="25"/>
  <c r="C207" i="25" s="1"/>
  <c r="N112" i="24"/>
  <c r="C210" i="24" s="1"/>
  <c r="N104" i="25"/>
  <c r="C202" i="25" s="1"/>
  <c r="N107" i="24"/>
  <c r="C205" i="24" s="1"/>
  <c r="J28" i="46"/>
  <c r="F29" i="46" s="1"/>
  <c r="N99" i="3"/>
  <c r="C197" i="3" s="1"/>
  <c r="N100" i="3"/>
  <c r="C198" i="3" s="1"/>
  <c r="N101" i="3"/>
  <c r="C199" i="3" s="1"/>
  <c r="N102" i="3"/>
  <c r="C200" i="3" s="1"/>
  <c r="N103" i="3"/>
  <c r="C201" i="3" s="1"/>
  <c r="N105" i="3"/>
  <c r="C203" i="3" s="1"/>
  <c r="N106" i="3"/>
  <c r="C204" i="3" s="1"/>
  <c r="N107" i="3"/>
  <c r="C205" i="3" s="1"/>
  <c r="N108" i="3"/>
  <c r="C206" i="3" s="1"/>
  <c r="N109" i="3"/>
  <c r="C207" i="3" s="1"/>
  <c r="N101" i="9"/>
  <c r="C199" i="9" s="1"/>
  <c r="N102" i="9"/>
  <c r="C200" i="9" s="1"/>
  <c r="N103" i="9"/>
  <c r="C201" i="9" s="1"/>
  <c r="N105" i="9"/>
  <c r="C203" i="9" s="1"/>
  <c r="N106" i="9"/>
  <c r="C204" i="9" s="1"/>
  <c r="N107" i="9"/>
  <c r="C205" i="9" s="1"/>
  <c r="N108" i="9"/>
  <c r="C206" i="9" s="1"/>
  <c r="N109" i="9"/>
  <c r="C207" i="9" s="1"/>
  <c r="N110" i="9"/>
  <c r="C208" i="9" s="1"/>
  <c r="N111" i="9"/>
  <c r="C209" i="9" s="1"/>
  <c r="N102" i="24"/>
  <c r="C200" i="24" s="1"/>
  <c r="N103" i="24"/>
  <c r="C201" i="24" s="1"/>
  <c r="N106" i="24"/>
  <c r="C204" i="24" s="1"/>
  <c r="N110" i="24"/>
  <c r="C208" i="24" s="1"/>
  <c r="K28" i="46"/>
  <c r="N108" i="24"/>
  <c r="C206" i="24" s="1"/>
  <c r="L28" i="46"/>
  <c r="N111" i="24"/>
  <c r="C209" i="24" s="1"/>
  <c r="N28" i="46"/>
  <c r="N101" i="24"/>
  <c r="C199" i="24" s="1"/>
  <c r="Q30" i="48"/>
  <c r="G134" i="49"/>
  <c r="J134" i="49" s="1"/>
  <c r="B374" i="49"/>
  <c r="D373" i="49"/>
  <c r="C382" i="49"/>
  <c r="C249" i="49"/>
  <c r="P31" i="48"/>
  <c r="O31" i="48"/>
  <c r="Q31" i="48"/>
  <c r="E31" i="48"/>
  <c r="D31" i="48"/>
  <c r="R31" i="48"/>
  <c r="S31" i="48"/>
  <c r="F31" i="48"/>
  <c r="F30" i="48"/>
  <c r="M28" i="46"/>
  <c r="N104" i="9"/>
  <c r="C202" i="9" s="1"/>
  <c r="N112" i="9"/>
  <c r="C210" i="9" s="1"/>
  <c r="G129" i="49" l="1"/>
  <c r="G204" i="49" s="1"/>
  <c r="C237" i="49" s="1"/>
  <c r="F204" i="49"/>
  <c r="G122" i="49"/>
  <c r="G197" i="49" s="1"/>
  <c r="C230" i="49" s="1"/>
  <c r="F197" i="49"/>
  <c r="F206" i="49"/>
  <c r="G131" i="49"/>
  <c r="G206" i="49" s="1"/>
  <c r="C239" i="49" s="1"/>
  <c r="F195" i="49"/>
  <c r="G120" i="49"/>
  <c r="G195" i="49" s="1"/>
  <c r="C228" i="49" s="1"/>
  <c r="G133" i="49"/>
  <c r="G208" i="49" s="1"/>
  <c r="C241" i="49" s="1"/>
  <c r="F208" i="49"/>
  <c r="G127" i="49"/>
  <c r="G202" i="49" s="1"/>
  <c r="C235" i="49" s="1"/>
  <c r="F202" i="49"/>
  <c r="G125" i="49"/>
  <c r="G200" i="49" s="1"/>
  <c r="C233" i="49" s="1"/>
  <c r="F200" i="49"/>
  <c r="G130" i="49"/>
  <c r="G205" i="49" s="1"/>
  <c r="C238" i="49" s="1"/>
  <c r="F205" i="49"/>
  <c r="G115" i="49"/>
  <c r="G190" i="49" s="1"/>
  <c r="C223" i="49" s="1"/>
  <c r="F190" i="49"/>
  <c r="G123" i="49"/>
  <c r="G198" i="49" s="1"/>
  <c r="C231" i="49" s="1"/>
  <c r="F198" i="49"/>
  <c r="G113" i="49"/>
  <c r="G188" i="49" s="1"/>
  <c r="C221" i="49" s="1"/>
  <c r="F188" i="49"/>
  <c r="G128" i="49"/>
  <c r="G203" i="49" s="1"/>
  <c r="C236" i="49" s="1"/>
  <c r="F203" i="49"/>
  <c r="G116" i="49"/>
  <c r="G191" i="49" s="1"/>
  <c r="C224" i="49" s="1"/>
  <c r="F191" i="49"/>
  <c r="F186" i="49"/>
  <c r="G111" i="49"/>
  <c r="G186" i="49" s="1"/>
  <c r="C219" i="49" s="1"/>
  <c r="G124" i="49"/>
  <c r="G199" i="49" s="1"/>
  <c r="C232" i="49" s="1"/>
  <c r="F199" i="49"/>
  <c r="G121" i="49"/>
  <c r="G196" i="49" s="1"/>
  <c r="C229" i="49" s="1"/>
  <c r="F196" i="49"/>
  <c r="G112" i="49"/>
  <c r="G187" i="49" s="1"/>
  <c r="C220" i="49" s="1"/>
  <c r="F187" i="49"/>
  <c r="G126" i="49"/>
  <c r="G201" i="49" s="1"/>
  <c r="C234" i="49" s="1"/>
  <c r="F201" i="49"/>
  <c r="G117" i="49"/>
  <c r="G192" i="49" s="1"/>
  <c r="C225" i="49" s="1"/>
  <c r="F192" i="49"/>
  <c r="G114" i="49"/>
  <c r="G189" i="49" s="1"/>
  <c r="C222" i="49" s="1"/>
  <c r="F189" i="49"/>
  <c r="F193" i="49"/>
  <c r="G118" i="49"/>
  <c r="G193" i="49" s="1"/>
  <c r="C226" i="49" s="1"/>
  <c r="G119" i="49"/>
  <c r="G194" i="49" s="1"/>
  <c r="C227" i="49" s="1"/>
  <c r="F194" i="49"/>
  <c r="F207" i="49"/>
  <c r="G132" i="49"/>
  <c r="G207" i="49" s="1"/>
  <c r="C240" i="49" s="1"/>
  <c r="G24" i="47"/>
  <c r="G36" i="48"/>
  <c r="J36" i="48"/>
  <c r="K36" i="48" s="1"/>
  <c r="G109" i="48"/>
  <c r="I109" i="48" s="1"/>
  <c r="G108" i="48"/>
  <c r="I108" i="48" s="1"/>
  <c r="G209" i="49"/>
  <c r="I210" i="49" s="1"/>
  <c r="G111" i="48"/>
  <c r="I111" i="48" s="1"/>
  <c r="G114" i="48"/>
  <c r="I114" i="48" s="1"/>
  <c r="G104" i="48"/>
  <c r="I104" i="48" s="1"/>
  <c r="G117" i="48"/>
  <c r="I117" i="48" s="1"/>
  <c r="G115" i="48"/>
  <c r="I115" i="48" s="1"/>
  <c r="G122" i="48"/>
  <c r="I122" i="48" s="1"/>
  <c r="G103" i="48"/>
  <c r="I103" i="48" s="1"/>
  <c r="G118" i="48"/>
  <c r="I118" i="48" s="1"/>
  <c r="G107" i="48"/>
  <c r="I107" i="48" s="1"/>
  <c r="G119" i="48"/>
  <c r="I119" i="48" s="1"/>
  <c r="G105" i="48"/>
  <c r="I105" i="48" s="1"/>
  <c r="G121" i="48"/>
  <c r="I121" i="48" s="1"/>
  <c r="G120" i="48"/>
  <c r="I120" i="48" s="1"/>
  <c r="G110" i="48"/>
  <c r="I110" i="48" s="1"/>
  <c r="G106" i="48"/>
  <c r="I106" i="48" s="1"/>
  <c r="G113" i="48"/>
  <c r="I113" i="48" s="1"/>
  <c r="G116" i="48"/>
  <c r="I116" i="48" s="1"/>
  <c r="G102" i="48"/>
  <c r="I102" i="48" s="1"/>
  <c r="G112" i="48"/>
  <c r="I112" i="48" s="1"/>
  <c r="G123" i="48"/>
  <c r="I123" i="48" s="1"/>
  <c r="E60" i="48"/>
  <c r="W29" i="48"/>
  <c r="V29" i="48"/>
  <c r="Q28" i="46"/>
  <c r="Y4" i="46"/>
  <c r="Y28" i="46" s="1"/>
  <c r="R4" i="46"/>
  <c r="N98" i="3"/>
  <c r="C196" i="3" s="1"/>
  <c r="V28" i="46"/>
  <c r="U28" i="46"/>
  <c r="T28" i="46"/>
  <c r="N100" i="24"/>
  <c r="N97" i="3"/>
  <c r="W28" i="46"/>
  <c r="N113" i="25" s="1"/>
  <c r="C211" i="25" s="1"/>
  <c r="N100" i="25"/>
  <c r="N124" i="25" s="1"/>
  <c r="N104" i="3"/>
  <c r="C202" i="3" s="1"/>
  <c r="H31" i="48"/>
  <c r="D374" i="49"/>
  <c r="E373" i="49"/>
  <c r="W34" i="48"/>
  <c r="T30" i="48"/>
  <c r="T31" i="48"/>
  <c r="M31" i="48"/>
  <c r="L31" i="48"/>
  <c r="X28" i="46"/>
  <c r="N113" i="9" s="1"/>
  <c r="C211" i="9" s="1"/>
  <c r="S28" i="46"/>
  <c r="C253" i="49" l="1"/>
  <c r="C386" i="49"/>
  <c r="C400" i="49"/>
  <c r="C267" i="49"/>
  <c r="C403" i="49"/>
  <c r="C270" i="49"/>
  <c r="C396" i="49"/>
  <c r="C263" i="49"/>
  <c r="C397" i="49"/>
  <c r="C264" i="49"/>
  <c r="C398" i="49"/>
  <c r="C265" i="49"/>
  <c r="C262" i="49"/>
  <c r="C395" i="49"/>
  <c r="C399" i="49"/>
  <c r="C266" i="49"/>
  <c r="C394" i="49"/>
  <c r="C261" i="49"/>
  <c r="C257" i="49"/>
  <c r="C390" i="49"/>
  <c r="C259" i="49"/>
  <c r="C392" i="49"/>
  <c r="C260" i="49"/>
  <c r="C393" i="49"/>
  <c r="C402" i="49"/>
  <c r="C269" i="49"/>
  <c r="C404" i="49"/>
  <c r="C271" i="49"/>
  <c r="C389" i="49"/>
  <c r="C256" i="49"/>
  <c r="C385" i="49"/>
  <c r="C252" i="49"/>
  <c r="C383" i="49"/>
  <c r="C250" i="49"/>
  <c r="C258" i="49"/>
  <c r="C391" i="49"/>
  <c r="C251" i="49"/>
  <c r="C384" i="49"/>
  <c r="C388" i="49"/>
  <c r="C255" i="49"/>
  <c r="C387" i="49"/>
  <c r="C254" i="49"/>
  <c r="C405" i="49"/>
  <c r="C272" i="49"/>
  <c r="C268" i="49"/>
  <c r="C401" i="49"/>
  <c r="F60" i="48"/>
  <c r="E61" i="48" s="1"/>
  <c r="R28" i="46"/>
  <c r="E4" i="53"/>
  <c r="E28" i="53" s="1"/>
  <c r="Z4" i="46"/>
  <c r="G101" i="48"/>
  <c r="I101" i="48" s="1"/>
  <c r="J209" i="49"/>
  <c r="J210" i="49" s="1"/>
  <c r="C242" i="49"/>
  <c r="F124" i="48"/>
  <c r="X29" i="48"/>
  <c r="Y29" i="48" s="1"/>
  <c r="N113" i="24"/>
  <c r="C211" i="24" s="1"/>
  <c r="N108" i="43"/>
  <c r="C206" i="43" s="1"/>
  <c r="N109" i="29"/>
  <c r="C207" i="29" s="1"/>
  <c r="N95" i="43"/>
  <c r="N96" i="29"/>
  <c r="N124" i="9"/>
  <c r="C195" i="3"/>
  <c r="N110" i="3"/>
  <c r="C208" i="3" s="1"/>
  <c r="E124" i="48"/>
  <c r="G100" i="48"/>
  <c r="D124" i="48"/>
  <c r="F373" i="49"/>
  <c r="E374" i="49"/>
  <c r="Z28" i="46"/>
  <c r="X29" i="46" s="1"/>
  <c r="F61" i="48" l="1"/>
  <c r="H61" i="48"/>
  <c r="I60" i="48"/>
  <c r="D61" i="48"/>
  <c r="J60" i="48"/>
  <c r="G60" i="48"/>
  <c r="N120" i="29"/>
  <c r="N124" i="24"/>
  <c r="C273" i="49"/>
  <c r="C274" i="49" s="1"/>
  <c r="C275" i="49" s="1"/>
  <c r="C406" i="49"/>
  <c r="C244" i="49"/>
  <c r="C243" i="49"/>
  <c r="C407" i="49"/>
  <c r="C219" i="3"/>
  <c r="D6" i="14" s="1"/>
  <c r="N121" i="3"/>
  <c r="AA31" i="48"/>
  <c r="X30" i="48"/>
  <c r="G124" i="48"/>
  <c r="E8" i="19" s="1"/>
  <c r="E9" i="22"/>
  <c r="K60" i="48" l="1"/>
  <c r="C408" i="49"/>
  <c r="Y159" i="24" l="1"/>
  <c r="X159" i="24"/>
  <c r="R159" i="24"/>
  <c r="S135" i="24"/>
  <c r="R159" i="25"/>
  <c r="Y159" i="25"/>
  <c r="X159" i="25"/>
  <c r="S135" i="25"/>
  <c r="S159" i="24" l="1"/>
  <c r="S159" i="25"/>
  <c r="U135" i="25"/>
  <c r="U159" i="25" l="1"/>
  <c r="R159" i="9" l="1"/>
  <c r="S135" i="9"/>
  <c r="T159" i="10"/>
  <c r="U138" i="12"/>
  <c r="T162" i="12"/>
  <c r="U162" i="12" l="1"/>
  <c r="Y138" i="12"/>
  <c r="Y162" i="12" s="1"/>
  <c r="S159" i="9"/>
  <c r="U135" i="10"/>
  <c r="U159" i="10" l="1"/>
  <c r="Q211" i="43" l="1"/>
  <c r="Q210" i="43" s="1"/>
  <c r="L216" i="43" s="1"/>
  <c r="C189" i="43"/>
  <c r="V154" i="43"/>
  <c r="U154" i="43"/>
  <c r="B154" i="43"/>
  <c r="G124" i="43"/>
  <c r="D122" i="43"/>
  <c r="B119" i="43"/>
  <c r="I32" i="43"/>
  <c r="I62" i="43" s="1"/>
  <c r="H62" i="43"/>
  <c r="G62" i="43"/>
  <c r="E62" i="43"/>
  <c r="E95" i="43" s="1"/>
  <c r="E119" i="43" s="1"/>
  <c r="K5" i="43"/>
  <c r="F22" i="43" l="1"/>
  <c r="J32" i="43"/>
  <c r="D62" i="43"/>
  <c r="D95" i="43" s="1"/>
  <c r="D119" i="43" s="1"/>
  <c r="F32" i="43"/>
  <c r="G17" i="43"/>
  <c r="E17" i="43"/>
  <c r="C62" i="43"/>
  <c r="F62" i="43" l="1"/>
  <c r="C95" i="43"/>
  <c r="C119" i="43" s="1"/>
  <c r="J62" i="43"/>
  <c r="F95" i="43" l="1"/>
  <c r="F119" i="43"/>
  <c r="E18" i="43"/>
  <c r="G18" i="43"/>
  <c r="D18" i="43"/>
  <c r="F18" i="43"/>
  <c r="E20" i="43" l="1"/>
  <c r="E21" i="43" s="1"/>
  <c r="N119" i="43" l="1"/>
  <c r="C193" i="43"/>
  <c r="C217" i="43" s="1"/>
  <c r="D6" i="56" s="1"/>
  <c r="C253" i="16" l="1"/>
  <c r="H30" i="16" l="1"/>
  <c r="I30" i="16"/>
  <c r="G30" i="16"/>
  <c r="T156" i="16" l="1"/>
  <c r="S156" i="16"/>
  <c r="B156" i="16"/>
  <c r="A125" i="15"/>
  <c r="D32" i="34" l="1"/>
  <c r="C37" i="34" l="1"/>
  <c r="E37" i="34"/>
  <c r="AU37" i="34"/>
  <c r="AS38" i="34"/>
  <c r="AQ39" i="34"/>
  <c r="AO40" i="34"/>
  <c r="AM41" i="34"/>
  <c r="AU41" i="34"/>
  <c r="AS42" i="34"/>
  <c r="AQ43" i="34"/>
  <c r="AO44" i="34"/>
  <c r="AM45" i="34"/>
  <c r="AU45" i="34"/>
  <c r="AS46" i="34"/>
  <c r="AQ47" i="34"/>
  <c r="AO48" i="34"/>
  <c r="AM49" i="34"/>
  <c r="AU49" i="34"/>
  <c r="AS50" i="34"/>
  <c r="AQ51" i="34"/>
  <c r="AO52" i="34"/>
  <c r="AM53" i="34"/>
  <c r="AU53" i="34"/>
  <c r="AS54" i="34"/>
  <c r="AQ55" i="34"/>
  <c r="AO56" i="34"/>
  <c r="AM57" i="34"/>
  <c r="AU57" i="34"/>
  <c r="AS58" i="34"/>
  <c r="AQ59" i="34"/>
  <c r="AO60" i="34"/>
  <c r="AR59" i="34"/>
  <c r="AP60" i="34"/>
  <c r="AM58" i="34"/>
  <c r="AS59" i="34"/>
  <c r="AQ60" i="34"/>
  <c r="AN38" i="34"/>
  <c r="AR40" i="34"/>
  <c r="AN42" i="34"/>
  <c r="AT43" i="34"/>
  <c r="AP45" i="34"/>
  <c r="AV46" i="34"/>
  <c r="AR48" i="34"/>
  <c r="AV50" i="34"/>
  <c r="AR52" i="34"/>
  <c r="AN54" i="34"/>
  <c r="AT55" i="34"/>
  <c r="AP57" i="34"/>
  <c r="AT59" i="34"/>
  <c r="AR60" i="34"/>
  <c r="AU39" i="34"/>
  <c r="AQ41" i="34"/>
  <c r="AU43" i="34"/>
  <c r="AO46" i="34"/>
  <c r="AU47" i="34"/>
  <c r="AQ49" i="34"/>
  <c r="AU51" i="34"/>
  <c r="AQ53" i="34"/>
  <c r="AU55" i="34"/>
  <c r="AQ57" i="34"/>
  <c r="AU59" i="34"/>
  <c r="AT38" i="34"/>
  <c r="AR39" i="34"/>
  <c r="AP40" i="34"/>
  <c r="AN41" i="34"/>
  <c r="AV41" i="34"/>
  <c r="AT42" i="34"/>
  <c r="AR43" i="34"/>
  <c r="AP44" i="34"/>
  <c r="AN45" i="34"/>
  <c r="AV45" i="34"/>
  <c r="AT46" i="34"/>
  <c r="AR47" i="34"/>
  <c r="AP48" i="34"/>
  <c r="AN49" i="34"/>
  <c r="AV49" i="34"/>
  <c r="AT50" i="34"/>
  <c r="AR51" i="34"/>
  <c r="AP52" i="34"/>
  <c r="AN53" i="34"/>
  <c r="AV53" i="34"/>
  <c r="AT54" i="34"/>
  <c r="AR55" i="34"/>
  <c r="AP56" i="34"/>
  <c r="AN57" i="34"/>
  <c r="AV57" i="34"/>
  <c r="AM38" i="34"/>
  <c r="AU38" i="34"/>
  <c r="AS39" i="34"/>
  <c r="AQ40" i="34"/>
  <c r="AO41" i="34"/>
  <c r="AM42" i="34"/>
  <c r="AU42" i="34"/>
  <c r="AS43" i="34"/>
  <c r="AQ44" i="34"/>
  <c r="AO45" i="34"/>
  <c r="AM46" i="34"/>
  <c r="AU46" i="34"/>
  <c r="AS47" i="34"/>
  <c r="AQ48" i="34"/>
  <c r="AO49" i="34"/>
  <c r="AM50" i="34"/>
  <c r="AU50" i="34"/>
  <c r="AS51" i="34"/>
  <c r="AQ52" i="34"/>
  <c r="AO53" i="34"/>
  <c r="AM54" i="34"/>
  <c r="AU54" i="34"/>
  <c r="AS55" i="34"/>
  <c r="AQ56" i="34"/>
  <c r="AO57" i="34"/>
  <c r="AU58" i="34"/>
  <c r="AV38" i="34"/>
  <c r="AT39" i="34"/>
  <c r="AP41" i="34"/>
  <c r="AV42" i="34"/>
  <c r="AR44" i="34"/>
  <c r="AN46" i="34"/>
  <c r="AT47" i="34"/>
  <c r="AN50" i="34"/>
  <c r="AT51" i="34"/>
  <c r="AP53" i="34"/>
  <c r="AV54" i="34"/>
  <c r="AR56" i="34"/>
  <c r="AV58" i="34"/>
  <c r="AO38" i="34"/>
  <c r="AS40" i="34"/>
  <c r="AM43" i="34"/>
  <c r="AS44" i="34"/>
  <c r="AM47" i="34"/>
  <c r="AO50" i="34"/>
  <c r="AS52" i="34"/>
  <c r="AM55" i="34"/>
  <c r="AO58" i="34"/>
  <c r="AS60" i="34"/>
  <c r="AN39" i="34"/>
  <c r="AT40" i="34"/>
  <c r="AP42" i="34"/>
  <c r="AV43" i="34"/>
  <c r="AR45" i="34"/>
  <c r="AN47" i="34"/>
  <c r="AT48" i="34"/>
  <c r="AP50" i="34"/>
  <c r="AV51" i="34"/>
  <c r="AR53" i="34"/>
  <c r="AN55" i="34"/>
  <c r="AT56" i="34"/>
  <c r="AP58" i="34"/>
  <c r="AV59" i="34"/>
  <c r="AQ38" i="34"/>
  <c r="AO39" i="34"/>
  <c r="AU40" i="34"/>
  <c r="AS41" i="34"/>
  <c r="AO43" i="34"/>
  <c r="AU44" i="34"/>
  <c r="AS45" i="34"/>
  <c r="AO47" i="34"/>
  <c r="AU48" i="34"/>
  <c r="AQ50" i="34"/>
  <c r="AM52" i="34"/>
  <c r="AS53" i="34"/>
  <c r="AO55" i="34"/>
  <c r="AU56" i="34"/>
  <c r="AQ58" i="34"/>
  <c r="AM60" i="34"/>
  <c r="AR38" i="34"/>
  <c r="AP39" i="34"/>
  <c r="AV40" i="34"/>
  <c r="AR42" i="34"/>
  <c r="AS37" i="34"/>
  <c r="AP49" i="34"/>
  <c r="AN58" i="34"/>
  <c r="AM39" i="34"/>
  <c r="AO42" i="34"/>
  <c r="AQ45" i="34"/>
  <c r="AS48" i="34"/>
  <c r="AM51" i="34"/>
  <c r="AO54" i="34"/>
  <c r="AS56" i="34"/>
  <c r="AM59" i="34"/>
  <c r="AP38" i="34"/>
  <c r="AV39" i="34"/>
  <c r="AR41" i="34"/>
  <c r="AN43" i="34"/>
  <c r="AT44" i="34"/>
  <c r="AP46" i="34"/>
  <c r="AV47" i="34"/>
  <c r="AR49" i="34"/>
  <c r="AN51" i="34"/>
  <c r="AT52" i="34"/>
  <c r="AP54" i="34"/>
  <c r="AV55" i="34"/>
  <c r="AR57" i="34"/>
  <c r="AN59" i="34"/>
  <c r="AT60" i="34"/>
  <c r="AM40" i="34"/>
  <c r="AQ42" i="34"/>
  <c r="AM44" i="34"/>
  <c r="AQ46" i="34"/>
  <c r="AM48" i="34"/>
  <c r="AS49" i="34"/>
  <c r="AO51" i="34"/>
  <c r="AU52" i="34"/>
  <c r="AQ54" i="34"/>
  <c r="AM56" i="34"/>
  <c r="AS57" i="34"/>
  <c r="AO59" i="34"/>
  <c r="AU60" i="34"/>
  <c r="AN40" i="34"/>
  <c r="AT41" i="34"/>
  <c r="AP43" i="34"/>
  <c r="AV44" i="34"/>
  <c r="AN44" i="34"/>
  <c r="AP51" i="34"/>
  <c r="AT57" i="34"/>
  <c r="AN52" i="34"/>
  <c r="AR58" i="34"/>
  <c r="AR46" i="34"/>
  <c r="AT58" i="34"/>
  <c r="AN48" i="34"/>
  <c r="AN56" i="34"/>
  <c r="AR50" i="34"/>
  <c r="AT45" i="34"/>
  <c r="AV52" i="34"/>
  <c r="AR54" i="34"/>
  <c r="AP55" i="34"/>
  <c r="AT49" i="34"/>
  <c r="AV56" i="34"/>
  <c r="AP47" i="34"/>
  <c r="AT53" i="34"/>
  <c r="AP59" i="34"/>
  <c r="AN60" i="34"/>
  <c r="AV48" i="34"/>
  <c r="AO37" i="34"/>
  <c r="AV60" i="34"/>
  <c r="AP37" i="34"/>
  <c r="AQ37" i="34"/>
  <c r="AM37" i="34"/>
  <c r="AT37" i="34"/>
  <c r="AR37" i="34"/>
  <c r="AN37" i="34"/>
  <c r="AV37" i="34"/>
  <c r="O37" i="34"/>
  <c r="AD60" i="34"/>
  <c r="L161" i="12" s="1"/>
  <c r="AH59" i="34"/>
  <c r="AD58" i="34"/>
  <c r="L159" i="12" s="1"/>
  <c r="AH57" i="34"/>
  <c r="AD56" i="34"/>
  <c r="L157" i="12" s="1"/>
  <c r="AH55" i="34"/>
  <c r="AD54" i="34"/>
  <c r="L155" i="12" s="1"/>
  <c r="AH53" i="34"/>
  <c r="AD52" i="34"/>
  <c r="L153" i="12" s="1"/>
  <c r="AH51" i="34"/>
  <c r="AD50" i="34"/>
  <c r="L151" i="12" s="1"/>
  <c r="AH49" i="34"/>
  <c r="AD48" i="34"/>
  <c r="L149" i="12" s="1"/>
  <c r="AH47" i="34"/>
  <c r="AD46" i="34"/>
  <c r="L147" i="12" s="1"/>
  <c r="AH45" i="34"/>
  <c r="AD44" i="34"/>
  <c r="L145" i="12" s="1"/>
  <c r="AH43" i="34"/>
  <c r="AD42" i="34"/>
  <c r="L143" i="12" s="1"/>
  <c r="AH41" i="34"/>
  <c r="AD40" i="34"/>
  <c r="L141" i="12" s="1"/>
  <c r="AH39" i="34"/>
  <c r="AD38" i="34"/>
  <c r="L139" i="12" s="1"/>
  <c r="AH37" i="34"/>
  <c r="V60" i="34"/>
  <c r="R59" i="34"/>
  <c r="V58" i="34"/>
  <c r="R57" i="34"/>
  <c r="V56" i="34"/>
  <c r="AC60" i="34"/>
  <c r="L158" i="10" s="1"/>
  <c r="AG59" i="34"/>
  <c r="AC58" i="34"/>
  <c r="L156" i="10" s="1"/>
  <c r="AG57" i="34"/>
  <c r="AC56" i="34"/>
  <c r="L154" i="10" s="1"/>
  <c r="AG55" i="34"/>
  <c r="AC54" i="34"/>
  <c r="L152" i="10" s="1"/>
  <c r="AG53" i="34"/>
  <c r="AC52" i="34"/>
  <c r="L150" i="10" s="1"/>
  <c r="AG51" i="34"/>
  <c r="AC50" i="34"/>
  <c r="L148" i="10" s="1"/>
  <c r="AG49" i="34"/>
  <c r="AC48" i="34"/>
  <c r="L146" i="10" s="1"/>
  <c r="AG47" i="34"/>
  <c r="AC46" i="34"/>
  <c r="L144" i="10" s="1"/>
  <c r="AG45" i="34"/>
  <c r="AC44" i="34"/>
  <c r="L142" i="10" s="1"/>
  <c r="AG43" i="34"/>
  <c r="AC42" i="34"/>
  <c r="L140" i="10" s="1"/>
  <c r="AG41" i="34"/>
  <c r="AC40" i="34"/>
  <c r="L138" i="10" s="1"/>
  <c r="AG39" i="34"/>
  <c r="AC38" i="34"/>
  <c r="L136" i="10" s="1"/>
  <c r="AG37" i="34"/>
  <c r="U60" i="34"/>
  <c r="Q59" i="34"/>
  <c r="K157" i="10" s="1"/>
  <c r="U58" i="34"/>
  <c r="Q57" i="34"/>
  <c r="K155" i="10" s="1"/>
  <c r="U56" i="34"/>
  <c r="AJ60" i="34"/>
  <c r="AB60" i="34"/>
  <c r="L158" i="24" s="1"/>
  <c r="AF59" i="34"/>
  <c r="L152" i="43" s="1"/>
  <c r="AJ58" i="34"/>
  <c r="AB58" i="34"/>
  <c r="L156" i="24" s="1"/>
  <c r="AF57" i="34"/>
  <c r="L150" i="43" s="1"/>
  <c r="AJ56" i="34"/>
  <c r="AB56" i="34"/>
  <c r="L154" i="24" s="1"/>
  <c r="AF55" i="34"/>
  <c r="L148" i="43" s="1"/>
  <c r="AJ54" i="34"/>
  <c r="AB54" i="34"/>
  <c r="L152" i="24" s="1"/>
  <c r="AF53" i="34"/>
  <c r="L146" i="43" s="1"/>
  <c r="AJ52" i="34"/>
  <c r="AB52" i="34"/>
  <c r="L150" i="24" s="1"/>
  <c r="AF51" i="34"/>
  <c r="L144" i="43" s="1"/>
  <c r="AJ50" i="34"/>
  <c r="AB50" i="34"/>
  <c r="L148" i="24" s="1"/>
  <c r="AF49" i="34"/>
  <c r="L142" i="43" s="1"/>
  <c r="AJ48" i="34"/>
  <c r="AB48" i="34"/>
  <c r="L146" i="24" s="1"/>
  <c r="AF47" i="34"/>
  <c r="L140" i="43" s="1"/>
  <c r="AJ46" i="34"/>
  <c r="AB46" i="34"/>
  <c r="L144" i="24" s="1"/>
  <c r="AF45" i="34"/>
  <c r="L138" i="43" s="1"/>
  <c r="AJ44" i="34"/>
  <c r="AB44" i="34"/>
  <c r="L142" i="24" s="1"/>
  <c r="AF43" i="34"/>
  <c r="L136" i="43" s="1"/>
  <c r="AJ42" i="34"/>
  <c r="AB42" i="34"/>
  <c r="L140" i="24" s="1"/>
  <c r="AF41" i="34"/>
  <c r="L134" i="43" s="1"/>
  <c r="AJ40" i="34"/>
  <c r="AB40" i="34"/>
  <c r="L138" i="24" s="1"/>
  <c r="AF39" i="34"/>
  <c r="L132" i="43" s="1"/>
  <c r="AJ38" i="34"/>
  <c r="AB38" i="34"/>
  <c r="L136" i="24" s="1"/>
  <c r="AF37" i="34"/>
  <c r="T60" i="34"/>
  <c r="X59" i="34"/>
  <c r="P59" i="34"/>
  <c r="K157" i="24" s="1"/>
  <c r="T58" i="34"/>
  <c r="X57" i="34"/>
  <c r="P57" i="34"/>
  <c r="K155" i="24" s="1"/>
  <c r="T56" i="34"/>
  <c r="X55" i="34"/>
  <c r="AI60" i="34"/>
  <c r="AA60" i="34"/>
  <c r="AE59" i="34"/>
  <c r="AI58" i="34"/>
  <c r="AA58" i="34"/>
  <c r="AE57" i="34"/>
  <c r="AI56" i="34"/>
  <c r="AA56" i="34"/>
  <c r="AE55" i="34"/>
  <c r="AI54" i="34"/>
  <c r="AA54" i="34"/>
  <c r="AE53" i="34"/>
  <c r="AI52" i="34"/>
  <c r="AA52" i="34"/>
  <c r="AE51" i="34"/>
  <c r="AI50" i="34"/>
  <c r="AA50" i="34"/>
  <c r="AE49" i="34"/>
  <c r="AI48" i="34"/>
  <c r="AA48" i="34"/>
  <c r="AE47" i="34"/>
  <c r="AI46" i="34"/>
  <c r="AA46" i="34"/>
  <c r="AE45" i="34"/>
  <c r="AI44" i="34"/>
  <c r="AA44" i="34"/>
  <c r="AE43" i="34"/>
  <c r="AI42" i="34"/>
  <c r="AA42" i="34"/>
  <c r="AE41" i="34"/>
  <c r="AI40" i="34"/>
  <c r="AA40" i="34"/>
  <c r="AE39" i="34"/>
  <c r="AI38" i="34"/>
  <c r="AA38" i="34"/>
  <c r="AE37" i="34"/>
  <c r="S60" i="34"/>
  <c r="K153" i="43" s="1"/>
  <c r="W59" i="34"/>
  <c r="O59" i="34"/>
  <c r="S58" i="34"/>
  <c r="K151" i="43" s="1"/>
  <c r="W57" i="34"/>
  <c r="O57" i="34"/>
  <c r="S56" i="34"/>
  <c r="K149" i="43" s="1"/>
  <c r="W55" i="34"/>
  <c r="AF60" i="34"/>
  <c r="L153" i="43" s="1"/>
  <c r="AJ59" i="34"/>
  <c r="AB59" i="34"/>
  <c r="L157" i="24" s="1"/>
  <c r="AF58" i="34"/>
  <c r="L151" i="43" s="1"/>
  <c r="AJ57" i="34"/>
  <c r="AB57" i="34"/>
  <c r="L155" i="24" s="1"/>
  <c r="AF56" i="34"/>
  <c r="L149" i="43" s="1"/>
  <c r="AJ55" i="34"/>
  <c r="AB55" i="34"/>
  <c r="L153" i="24" s="1"/>
  <c r="AF54" i="34"/>
  <c r="L147" i="43" s="1"/>
  <c r="AJ53" i="34"/>
  <c r="AB53" i="34"/>
  <c r="L151" i="24" s="1"/>
  <c r="AF52" i="34"/>
  <c r="L145" i="43" s="1"/>
  <c r="AJ51" i="34"/>
  <c r="AB51" i="34"/>
  <c r="L149" i="24" s="1"/>
  <c r="AF50" i="34"/>
  <c r="L143" i="43" s="1"/>
  <c r="AJ49" i="34"/>
  <c r="AB49" i="34"/>
  <c r="L147" i="24" s="1"/>
  <c r="AF48" i="34"/>
  <c r="L141" i="43" s="1"/>
  <c r="AJ47" i="34"/>
  <c r="AB47" i="34"/>
  <c r="L145" i="24" s="1"/>
  <c r="AF46" i="34"/>
  <c r="L139" i="43" s="1"/>
  <c r="AJ45" i="34"/>
  <c r="AB45" i="34"/>
  <c r="L143" i="24" s="1"/>
  <c r="AF44" i="34"/>
  <c r="L137" i="43" s="1"/>
  <c r="AJ43" i="34"/>
  <c r="AB43" i="34"/>
  <c r="L141" i="24" s="1"/>
  <c r="AF42" i="34"/>
  <c r="L135" i="43" s="1"/>
  <c r="AJ41" i="34"/>
  <c r="AB41" i="34"/>
  <c r="L139" i="24" s="1"/>
  <c r="AF40" i="34"/>
  <c r="L133" i="43" s="1"/>
  <c r="AJ39" i="34"/>
  <c r="AB39" i="34"/>
  <c r="L137" i="24" s="1"/>
  <c r="AF38" i="34"/>
  <c r="L131" i="43" s="1"/>
  <c r="AJ37" i="34"/>
  <c r="X60" i="34"/>
  <c r="P60" i="34"/>
  <c r="K158" i="24" s="1"/>
  <c r="T59" i="34"/>
  <c r="X58" i="34"/>
  <c r="P58" i="34"/>
  <c r="K156" i="24" s="1"/>
  <c r="T57" i="34"/>
  <c r="X56" i="34"/>
  <c r="P56" i="34"/>
  <c r="K154" i="24" s="1"/>
  <c r="T55" i="34"/>
  <c r="AE60" i="34"/>
  <c r="AI59" i="34"/>
  <c r="AA59" i="34"/>
  <c r="AE58" i="34"/>
  <c r="AI57" i="34"/>
  <c r="AA57" i="34"/>
  <c r="AE56" i="34"/>
  <c r="AI55" i="34"/>
  <c r="AA55" i="34"/>
  <c r="AE54" i="34"/>
  <c r="AI53" i="34"/>
  <c r="AA53" i="34"/>
  <c r="AE52" i="34"/>
  <c r="AI51" i="34"/>
  <c r="AA51" i="34"/>
  <c r="AE50" i="34"/>
  <c r="AI49" i="34"/>
  <c r="AA49" i="34"/>
  <c r="AE48" i="34"/>
  <c r="AI47" i="34"/>
  <c r="AA47" i="34"/>
  <c r="AE46" i="34"/>
  <c r="AI45" i="34"/>
  <c r="AA45" i="34"/>
  <c r="AE44" i="34"/>
  <c r="AI43" i="34"/>
  <c r="AA43" i="34"/>
  <c r="AE42" i="34"/>
  <c r="AI41" i="34"/>
  <c r="AA41" i="34"/>
  <c r="AE40" i="34"/>
  <c r="AI39" i="34"/>
  <c r="AA39" i="34"/>
  <c r="AE38" i="34"/>
  <c r="AI37" i="34"/>
  <c r="W60" i="34"/>
  <c r="O60" i="34"/>
  <c r="S59" i="34"/>
  <c r="K152" i="43" s="1"/>
  <c r="W58" i="34"/>
  <c r="O58" i="34"/>
  <c r="S57" i="34"/>
  <c r="K150" i="43" s="1"/>
  <c r="W56" i="34"/>
  <c r="O56" i="34"/>
  <c r="S55" i="34"/>
  <c r="K148" i="43" s="1"/>
  <c r="AD57" i="34"/>
  <c r="L158" i="12" s="1"/>
  <c r="AH54" i="34"/>
  <c r="AD49" i="34"/>
  <c r="L150" i="12" s="1"/>
  <c r="AH46" i="34"/>
  <c r="AD41" i="34"/>
  <c r="L142" i="12" s="1"/>
  <c r="AH38" i="34"/>
  <c r="R58" i="34"/>
  <c r="V55" i="34"/>
  <c r="X54" i="34"/>
  <c r="P54" i="34"/>
  <c r="K152" i="24" s="1"/>
  <c r="T53" i="34"/>
  <c r="X52" i="34"/>
  <c r="P52" i="34"/>
  <c r="T51" i="34"/>
  <c r="X50" i="34"/>
  <c r="P50" i="34"/>
  <c r="K148" i="24" s="1"/>
  <c r="T49" i="34"/>
  <c r="X48" i="34"/>
  <c r="P48" i="34"/>
  <c r="K146" i="24" s="1"/>
  <c r="T47" i="34"/>
  <c r="X46" i="34"/>
  <c r="P46" i="34"/>
  <c r="K144" i="24" s="1"/>
  <c r="T45" i="34"/>
  <c r="X44" i="34"/>
  <c r="P44" i="34"/>
  <c r="K142" i="24" s="1"/>
  <c r="T43" i="34"/>
  <c r="X42" i="34"/>
  <c r="P42" i="34"/>
  <c r="K140" i="24" s="1"/>
  <c r="T41" i="34"/>
  <c r="X40" i="34"/>
  <c r="P40" i="34"/>
  <c r="K138" i="24" s="1"/>
  <c r="T39" i="34"/>
  <c r="X38" i="34"/>
  <c r="P38" i="34"/>
  <c r="K136" i="24" s="1"/>
  <c r="T37" i="34"/>
  <c r="T42" i="34"/>
  <c r="S52" i="34"/>
  <c r="K145" i="43" s="1"/>
  <c r="O45" i="34"/>
  <c r="W39" i="34"/>
  <c r="AC57" i="34"/>
  <c r="L155" i="10" s="1"/>
  <c r="AG54" i="34"/>
  <c r="AC49" i="34"/>
  <c r="L147" i="10" s="1"/>
  <c r="AG46" i="34"/>
  <c r="AC41" i="34"/>
  <c r="L139" i="10" s="1"/>
  <c r="AG38" i="34"/>
  <c r="Q58" i="34"/>
  <c r="K156" i="10" s="1"/>
  <c r="U55" i="34"/>
  <c r="W54" i="34"/>
  <c r="O54" i="34"/>
  <c r="S53" i="34"/>
  <c r="K146" i="43" s="1"/>
  <c r="W52" i="34"/>
  <c r="O52" i="34"/>
  <c r="S51" i="34"/>
  <c r="K144" i="43" s="1"/>
  <c r="W50" i="34"/>
  <c r="O50" i="34"/>
  <c r="S49" i="34"/>
  <c r="K142" i="43" s="1"/>
  <c r="W48" i="34"/>
  <c r="O48" i="34"/>
  <c r="S47" i="34"/>
  <c r="K140" i="43" s="1"/>
  <c r="W46" i="34"/>
  <c r="O46" i="34"/>
  <c r="S45" i="34"/>
  <c r="K138" i="43" s="1"/>
  <c r="W44" i="34"/>
  <c r="O44" i="34"/>
  <c r="S43" i="34"/>
  <c r="K136" i="43" s="1"/>
  <c r="W42" i="34"/>
  <c r="O42" i="34"/>
  <c r="S41" i="34"/>
  <c r="K134" i="43" s="1"/>
  <c r="W40" i="34"/>
  <c r="O40" i="34"/>
  <c r="S39" i="34"/>
  <c r="K132" i="43" s="1"/>
  <c r="W38" i="34"/>
  <c r="O38" i="34"/>
  <c r="S37" i="34"/>
  <c r="X37" i="34"/>
  <c r="W51" i="34"/>
  <c r="W47" i="34"/>
  <c r="O43" i="34"/>
  <c r="O39" i="34"/>
  <c r="AD59" i="34"/>
  <c r="L160" i="12" s="1"/>
  <c r="AH56" i="34"/>
  <c r="AD51" i="34"/>
  <c r="L152" i="12" s="1"/>
  <c r="AH48" i="34"/>
  <c r="AD43" i="34"/>
  <c r="L144" i="12" s="1"/>
  <c r="AH40" i="34"/>
  <c r="R60" i="34"/>
  <c r="V57" i="34"/>
  <c r="R55" i="34"/>
  <c r="V54" i="34"/>
  <c r="R53" i="34"/>
  <c r="V52" i="34"/>
  <c r="R51" i="34"/>
  <c r="V50" i="34"/>
  <c r="R49" i="34"/>
  <c r="V48" i="34"/>
  <c r="R47" i="34"/>
  <c r="V46" i="34"/>
  <c r="R45" i="34"/>
  <c r="V44" i="34"/>
  <c r="R43" i="34"/>
  <c r="V42" i="34"/>
  <c r="R41" i="34"/>
  <c r="V40" i="34"/>
  <c r="R39" i="34"/>
  <c r="V38" i="34"/>
  <c r="R37" i="34"/>
  <c r="AH58" i="34"/>
  <c r="AD53" i="34"/>
  <c r="L154" i="12" s="1"/>
  <c r="AH42" i="34"/>
  <c r="AD37" i="34"/>
  <c r="T54" i="34"/>
  <c r="P53" i="34"/>
  <c r="K151" i="24" s="1"/>
  <c r="X51" i="34"/>
  <c r="T50" i="34"/>
  <c r="P49" i="34"/>
  <c r="K147" i="24" s="1"/>
  <c r="X47" i="34"/>
  <c r="T46" i="34"/>
  <c r="T44" i="34"/>
  <c r="X41" i="34"/>
  <c r="T40" i="34"/>
  <c r="P39" i="34"/>
  <c r="K137" i="24" s="1"/>
  <c r="P37" i="34"/>
  <c r="AC53" i="34"/>
  <c r="L151" i="10" s="1"/>
  <c r="AC37" i="34"/>
  <c r="S54" i="34"/>
  <c r="K147" i="43" s="1"/>
  <c r="O49" i="34"/>
  <c r="S46" i="34"/>
  <c r="K139" i="43" s="1"/>
  <c r="S42" i="34"/>
  <c r="K135" i="43" s="1"/>
  <c r="S38" i="34"/>
  <c r="K131" i="43" s="1"/>
  <c r="AC59" i="34"/>
  <c r="L157" i="10" s="1"/>
  <c r="AG56" i="34"/>
  <c r="AC51" i="34"/>
  <c r="L149" i="10" s="1"/>
  <c r="AG48" i="34"/>
  <c r="AC43" i="34"/>
  <c r="L141" i="10" s="1"/>
  <c r="AG40" i="34"/>
  <c r="Q60" i="34"/>
  <c r="K158" i="10" s="1"/>
  <c r="U57" i="34"/>
  <c r="Q55" i="34"/>
  <c r="K153" i="10" s="1"/>
  <c r="U54" i="34"/>
  <c r="Q53" i="34"/>
  <c r="K151" i="10" s="1"/>
  <c r="U52" i="34"/>
  <c r="Q51" i="34"/>
  <c r="K149" i="10" s="1"/>
  <c r="U50" i="34"/>
  <c r="Q49" i="34"/>
  <c r="K147" i="10" s="1"/>
  <c r="U48" i="34"/>
  <c r="Q47" i="34"/>
  <c r="K145" i="10" s="1"/>
  <c r="U46" i="34"/>
  <c r="Q45" i="34"/>
  <c r="K143" i="10" s="1"/>
  <c r="U44" i="34"/>
  <c r="Q43" i="34"/>
  <c r="K141" i="10" s="1"/>
  <c r="U42" i="34"/>
  <c r="Q41" i="34"/>
  <c r="K139" i="10" s="1"/>
  <c r="U40" i="34"/>
  <c r="Q39" i="34"/>
  <c r="K137" i="10" s="1"/>
  <c r="U38" i="34"/>
  <c r="Q37" i="34"/>
  <c r="P43" i="34"/>
  <c r="K141" i="24" s="1"/>
  <c r="U59" i="34"/>
  <c r="O53" i="34"/>
  <c r="W49" i="34"/>
  <c r="O47" i="34"/>
  <c r="W43" i="34"/>
  <c r="S40" i="34"/>
  <c r="K133" i="43" s="1"/>
  <c r="AH60" i="34"/>
  <c r="AD55" i="34"/>
  <c r="L156" i="12" s="1"/>
  <c r="AH52" i="34"/>
  <c r="AD47" i="34"/>
  <c r="L148" i="12" s="1"/>
  <c r="AH44" i="34"/>
  <c r="AD39" i="34"/>
  <c r="L140" i="12" s="1"/>
  <c r="R56" i="34"/>
  <c r="R54" i="34"/>
  <c r="V53" i="34"/>
  <c r="R52" i="34"/>
  <c r="V51" i="34"/>
  <c r="R50" i="34"/>
  <c r="V49" i="34"/>
  <c r="R48" i="34"/>
  <c r="V47" i="34"/>
  <c r="R46" i="34"/>
  <c r="V45" i="34"/>
  <c r="R44" i="34"/>
  <c r="V43" i="34"/>
  <c r="R42" i="34"/>
  <c r="V41" i="34"/>
  <c r="R40" i="34"/>
  <c r="V39" i="34"/>
  <c r="R38" i="34"/>
  <c r="V37" i="34"/>
  <c r="AH50" i="34"/>
  <c r="AD45" i="34"/>
  <c r="L146" i="12" s="1"/>
  <c r="V59" i="34"/>
  <c r="P55" i="34"/>
  <c r="K153" i="24" s="1"/>
  <c r="X53" i="34"/>
  <c r="T52" i="34"/>
  <c r="P51" i="34"/>
  <c r="K149" i="24" s="1"/>
  <c r="X49" i="34"/>
  <c r="T48" i="34"/>
  <c r="P47" i="34"/>
  <c r="K145" i="24" s="1"/>
  <c r="X45" i="34"/>
  <c r="X43" i="34"/>
  <c r="P41" i="34"/>
  <c r="K139" i="24" s="1"/>
  <c r="X39" i="34"/>
  <c r="T38" i="34"/>
  <c r="AG58" i="34"/>
  <c r="AG42" i="34"/>
  <c r="O55" i="34"/>
  <c r="S50" i="34"/>
  <c r="K143" i="43" s="1"/>
  <c r="W45" i="34"/>
  <c r="W41" i="34"/>
  <c r="AG60" i="34"/>
  <c r="AC55" i="34"/>
  <c r="L153" i="10" s="1"/>
  <c r="AG52" i="34"/>
  <c r="AC47" i="34"/>
  <c r="L145" i="10" s="1"/>
  <c r="AG44" i="34"/>
  <c r="AC39" i="34"/>
  <c r="L137" i="10" s="1"/>
  <c r="Q56" i="34"/>
  <c r="K154" i="10" s="1"/>
  <c r="Q54" i="34"/>
  <c r="K152" i="10" s="1"/>
  <c r="U53" i="34"/>
  <c r="Q52" i="34"/>
  <c r="K150" i="10" s="1"/>
  <c r="U51" i="34"/>
  <c r="Q50" i="34"/>
  <c r="K148" i="10" s="1"/>
  <c r="U49" i="34"/>
  <c r="Q48" i="34"/>
  <c r="K146" i="10" s="1"/>
  <c r="U47" i="34"/>
  <c r="Q46" i="34"/>
  <c r="K144" i="10" s="1"/>
  <c r="U45" i="34"/>
  <c r="Q44" i="34"/>
  <c r="K142" i="10" s="1"/>
  <c r="U43" i="34"/>
  <c r="Q42" i="34"/>
  <c r="K140" i="10" s="1"/>
  <c r="U41" i="34"/>
  <c r="Q40" i="34"/>
  <c r="K138" i="10" s="1"/>
  <c r="U39" i="34"/>
  <c r="Q38" i="34"/>
  <c r="K136" i="10" s="1"/>
  <c r="U37" i="34"/>
  <c r="P45" i="34"/>
  <c r="K143" i="24" s="1"/>
  <c r="AG50" i="34"/>
  <c r="AC45" i="34"/>
  <c r="L143" i="10" s="1"/>
  <c r="W53" i="34"/>
  <c r="O51" i="34"/>
  <c r="S48" i="34"/>
  <c r="K141" i="43" s="1"/>
  <c r="S44" i="34"/>
  <c r="K137" i="43" s="1"/>
  <c r="O41" i="34"/>
  <c r="W37" i="34"/>
  <c r="C38" i="34"/>
  <c r="K38" i="34"/>
  <c r="G39" i="34"/>
  <c r="C40" i="34"/>
  <c r="K40" i="34"/>
  <c r="G41" i="34"/>
  <c r="C42" i="34"/>
  <c r="K42" i="34"/>
  <c r="G43" i="34"/>
  <c r="C44" i="34"/>
  <c r="K44" i="34"/>
  <c r="G45" i="34"/>
  <c r="C46" i="34"/>
  <c r="K46" i="34"/>
  <c r="G47" i="34"/>
  <c r="C48" i="34"/>
  <c r="K48" i="34"/>
  <c r="G49" i="34"/>
  <c r="C50" i="34"/>
  <c r="K50" i="34"/>
  <c r="G51" i="34"/>
  <c r="C52" i="34"/>
  <c r="K52" i="34"/>
  <c r="G53" i="34"/>
  <c r="C54" i="34"/>
  <c r="K54" i="34"/>
  <c r="G55" i="34"/>
  <c r="C56" i="34"/>
  <c r="K56" i="34"/>
  <c r="G57" i="34"/>
  <c r="C58" i="34"/>
  <c r="K58" i="34"/>
  <c r="G59" i="34"/>
  <c r="C60" i="34"/>
  <c r="K60" i="34"/>
  <c r="I37" i="34"/>
  <c r="L38" i="34"/>
  <c r="H39" i="34"/>
  <c r="D40" i="34"/>
  <c r="L40" i="34"/>
  <c r="H41" i="34"/>
  <c r="D42" i="34"/>
  <c r="L42" i="34"/>
  <c r="H43" i="34"/>
  <c r="D44" i="34"/>
  <c r="L44" i="34"/>
  <c r="H45" i="34"/>
  <c r="D46" i="34"/>
  <c r="L46" i="34"/>
  <c r="H47" i="34"/>
  <c r="D48" i="34"/>
  <c r="L48" i="34"/>
  <c r="H49" i="34"/>
  <c r="D50" i="34"/>
  <c r="L50" i="34"/>
  <c r="H51" i="34"/>
  <c r="D52" i="34"/>
  <c r="J150" i="24" s="1"/>
  <c r="L52" i="34"/>
  <c r="H53" i="34"/>
  <c r="D54" i="34"/>
  <c r="L54" i="34"/>
  <c r="H55" i="34"/>
  <c r="D56" i="34"/>
  <c r="L56" i="34"/>
  <c r="H57" i="34"/>
  <c r="D58" i="34"/>
  <c r="L58" i="34"/>
  <c r="H59" i="34"/>
  <c r="D60" i="34"/>
  <c r="L60" i="34"/>
  <c r="J37" i="34"/>
  <c r="E38" i="34"/>
  <c r="I39" i="34"/>
  <c r="K137" i="25" s="1"/>
  <c r="E40" i="34"/>
  <c r="I41" i="34"/>
  <c r="K139" i="25" s="1"/>
  <c r="E42" i="34"/>
  <c r="I43" i="34"/>
  <c r="K141" i="25" s="1"/>
  <c r="D38" i="34"/>
  <c r="F38" i="34"/>
  <c r="E39" i="34"/>
  <c r="G40" i="34"/>
  <c r="F41" i="34"/>
  <c r="H42" i="34"/>
  <c r="J43" i="34"/>
  <c r="L141" i="25" s="1"/>
  <c r="H44" i="34"/>
  <c r="F45" i="34"/>
  <c r="F46" i="34"/>
  <c r="D47" i="34"/>
  <c r="L49" i="34"/>
  <c r="J50" i="34"/>
  <c r="L148" i="25" s="1"/>
  <c r="J51" i="34"/>
  <c r="L149" i="25" s="1"/>
  <c r="H52" i="34"/>
  <c r="F53" i="34"/>
  <c r="F54" i="34"/>
  <c r="D55" i="34"/>
  <c r="L57" i="34"/>
  <c r="J58" i="34"/>
  <c r="L156" i="25" s="1"/>
  <c r="J59" i="34"/>
  <c r="L157" i="25" s="1"/>
  <c r="H60" i="34"/>
  <c r="D37" i="34"/>
  <c r="J40" i="34"/>
  <c r="L138" i="25" s="1"/>
  <c r="I46" i="34"/>
  <c r="K144" i="25" s="1"/>
  <c r="E49" i="34"/>
  <c r="C51" i="34"/>
  <c r="I55" i="34"/>
  <c r="K153" i="25" s="1"/>
  <c r="E57" i="34"/>
  <c r="L39" i="34"/>
  <c r="L45" i="34"/>
  <c r="J47" i="34"/>
  <c r="L145" i="25" s="1"/>
  <c r="F49" i="34"/>
  <c r="D51" i="34"/>
  <c r="J54" i="34"/>
  <c r="L152" i="25" s="1"/>
  <c r="H56" i="34"/>
  <c r="D59" i="34"/>
  <c r="E44" i="34"/>
  <c r="K47" i="34"/>
  <c r="G50" i="34"/>
  <c r="C53" i="34"/>
  <c r="K55" i="34"/>
  <c r="G58" i="34"/>
  <c r="F42" i="34"/>
  <c r="F44" i="34"/>
  <c r="L47" i="34"/>
  <c r="J49" i="34"/>
  <c r="L147" i="25" s="1"/>
  <c r="F51" i="34"/>
  <c r="D53" i="34"/>
  <c r="J56" i="34"/>
  <c r="L154" i="25" s="1"/>
  <c r="F59" i="34"/>
  <c r="L37" i="34"/>
  <c r="F40" i="34"/>
  <c r="G42" i="34"/>
  <c r="G44" i="34"/>
  <c r="C47" i="34"/>
  <c r="I50" i="34"/>
  <c r="K148" i="25" s="1"/>
  <c r="G52" i="34"/>
  <c r="C55" i="34"/>
  <c r="I59" i="34"/>
  <c r="K157" i="25" s="1"/>
  <c r="G38" i="34"/>
  <c r="F39" i="34"/>
  <c r="H40" i="34"/>
  <c r="J41" i="34"/>
  <c r="L139" i="25" s="1"/>
  <c r="I42" i="34"/>
  <c r="K140" i="25" s="1"/>
  <c r="K43" i="34"/>
  <c r="I44" i="34"/>
  <c r="K142" i="25" s="1"/>
  <c r="I45" i="34"/>
  <c r="K143" i="25" s="1"/>
  <c r="G46" i="34"/>
  <c r="E47" i="34"/>
  <c r="E48" i="34"/>
  <c r="C49" i="34"/>
  <c r="K51" i="34"/>
  <c r="I52" i="34"/>
  <c r="K150" i="25" s="1"/>
  <c r="I53" i="34"/>
  <c r="K151" i="25" s="1"/>
  <c r="G54" i="34"/>
  <c r="E55" i="34"/>
  <c r="E56" i="34"/>
  <c r="C57" i="34"/>
  <c r="K59" i="34"/>
  <c r="I60" i="34"/>
  <c r="K158" i="25" s="1"/>
  <c r="I38" i="34"/>
  <c r="K136" i="25" s="1"/>
  <c r="L41" i="34"/>
  <c r="I47" i="34"/>
  <c r="K145" i="25" s="1"/>
  <c r="E50" i="34"/>
  <c r="K53" i="34"/>
  <c r="C59" i="34"/>
  <c r="G37" i="34"/>
  <c r="F57" i="34"/>
  <c r="H37" i="34"/>
  <c r="C41" i="34"/>
  <c r="I49" i="34"/>
  <c r="K147" i="25" s="1"/>
  <c r="E52" i="34"/>
  <c r="I57" i="34"/>
  <c r="K155" i="25" s="1"/>
  <c r="E60" i="34"/>
  <c r="K37" i="34"/>
  <c r="D41" i="34"/>
  <c r="H58" i="34"/>
  <c r="E41" i="34"/>
  <c r="E54" i="34"/>
  <c r="K57" i="34"/>
  <c r="H38" i="34"/>
  <c r="J39" i="34"/>
  <c r="L137" i="25" s="1"/>
  <c r="I40" i="34"/>
  <c r="K138" i="25" s="1"/>
  <c r="K41" i="34"/>
  <c r="J42" i="34"/>
  <c r="L140" i="25" s="1"/>
  <c r="L43" i="34"/>
  <c r="J44" i="34"/>
  <c r="L142" i="25" s="1"/>
  <c r="J45" i="34"/>
  <c r="L143" i="25" s="1"/>
  <c r="H46" i="34"/>
  <c r="F47" i="34"/>
  <c r="F48" i="34"/>
  <c r="D49" i="34"/>
  <c r="L51" i="34"/>
  <c r="J52" i="34"/>
  <c r="L150" i="25" s="1"/>
  <c r="J53" i="34"/>
  <c r="L151" i="25" s="1"/>
  <c r="H54" i="34"/>
  <c r="F55" i="34"/>
  <c r="F56" i="34"/>
  <c r="D57" i="34"/>
  <c r="L59" i="34"/>
  <c r="J60" i="34"/>
  <c r="L158" i="25" s="1"/>
  <c r="F37" i="34"/>
  <c r="K39" i="34"/>
  <c r="K45" i="34"/>
  <c r="G48" i="34"/>
  <c r="I54" i="34"/>
  <c r="K152" i="25" s="1"/>
  <c r="G56" i="34"/>
  <c r="E58" i="34"/>
  <c r="J38" i="34"/>
  <c r="L136" i="25" s="1"/>
  <c r="C43" i="34"/>
  <c r="J46" i="34"/>
  <c r="L144" i="25" s="1"/>
  <c r="H48" i="34"/>
  <c r="F50" i="34"/>
  <c r="L53" i="34"/>
  <c r="J55" i="34"/>
  <c r="L153" i="25" s="1"/>
  <c r="F58" i="34"/>
  <c r="D43" i="34"/>
  <c r="C45" i="34"/>
  <c r="I48" i="34"/>
  <c r="K146" i="25" s="1"/>
  <c r="E51" i="34"/>
  <c r="I56" i="34"/>
  <c r="K154" i="25" s="1"/>
  <c r="E59" i="34"/>
  <c r="C39" i="34"/>
  <c r="E43" i="34"/>
  <c r="D45" i="34"/>
  <c r="J48" i="34"/>
  <c r="L146" i="25" s="1"/>
  <c r="H50" i="34"/>
  <c r="F52" i="34"/>
  <c r="L55" i="34"/>
  <c r="J57" i="34"/>
  <c r="L155" i="25" s="1"/>
  <c r="F60" i="34"/>
  <c r="D39" i="34"/>
  <c r="F43" i="34"/>
  <c r="E45" i="34"/>
  <c r="E46" i="34"/>
  <c r="K49" i="34"/>
  <c r="I51" i="34"/>
  <c r="K149" i="25" s="1"/>
  <c r="E53" i="34"/>
  <c r="I58" i="34"/>
  <c r="K156" i="25" s="1"/>
  <c r="G60" i="34"/>
  <c r="L148" i="9" l="1"/>
  <c r="L155" i="9"/>
  <c r="J152" i="43"/>
  <c r="M152" i="43" s="1"/>
  <c r="K157" i="9"/>
  <c r="L143" i="9"/>
  <c r="J140" i="43"/>
  <c r="M140" i="43" s="1"/>
  <c r="K145" i="9"/>
  <c r="K158" i="9"/>
  <c r="J161" i="12"/>
  <c r="K154" i="9"/>
  <c r="J152" i="12"/>
  <c r="J143" i="43"/>
  <c r="M143" i="43" s="1"/>
  <c r="J154" i="12"/>
  <c r="L142" i="9"/>
  <c r="L147" i="9"/>
  <c r="J144" i="43"/>
  <c r="M144" i="43" s="1"/>
  <c r="K149" i="9"/>
  <c r="J147" i="43"/>
  <c r="M147" i="43" s="1"/>
  <c r="J143" i="12"/>
  <c r="J140" i="9"/>
  <c r="I151" i="43"/>
  <c r="L149" i="9"/>
  <c r="J155" i="12"/>
  <c r="J152" i="9"/>
  <c r="L137" i="9"/>
  <c r="J134" i="43"/>
  <c r="M134" i="43" s="1"/>
  <c r="K139" i="9"/>
  <c r="J157" i="12"/>
  <c r="J148" i="12"/>
  <c r="L138" i="9"/>
  <c r="K142" i="9"/>
  <c r="L150" i="9"/>
  <c r="L157" i="9"/>
  <c r="L141" i="9"/>
  <c r="I138" i="43"/>
  <c r="K143" i="9"/>
  <c r="L154" i="9"/>
  <c r="L139" i="9"/>
  <c r="I136" i="43"/>
  <c r="K141" i="9"/>
  <c r="I144" i="12"/>
  <c r="L156" i="9"/>
  <c r="I135" i="9"/>
  <c r="I145" i="43"/>
  <c r="K150" i="9"/>
  <c r="J146" i="12"/>
  <c r="L153" i="9"/>
  <c r="K155" i="9"/>
  <c r="J151" i="12"/>
  <c r="J148" i="9"/>
  <c r="I141" i="43"/>
  <c r="K146" i="9"/>
  <c r="L144" i="9"/>
  <c r="L136" i="9"/>
  <c r="J140" i="12"/>
  <c r="J135" i="43"/>
  <c r="M135" i="43" s="1"/>
  <c r="L158" i="9"/>
  <c r="L140" i="9"/>
  <c r="L151" i="9"/>
  <c r="K153" i="9"/>
  <c r="J132" i="43"/>
  <c r="M132" i="43" s="1"/>
  <c r="K137" i="9"/>
  <c r="I133" i="43"/>
  <c r="K138" i="9"/>
  <c r="I146" i="43"/>
  <c r="K151" i="9"/>
  <c r="J144" i="9"/>
  <c r="J139" i="12"/>
  <c r="J136" i="9"/>
  <c r="J159" i="12"/>
  <c r="J156" i="9"/>
  <c r="J158" i="12"/>
  <c r="L146" i="9"/>
  <c r="L152" i="9"/>
  <c r="J139" i="43"/>
  <c r="M139" i="43" s="1"/>
  <c r="J131" i="43"/>
  <c r="M131" i="43" s="1"/>
  <c r="J141" i="12"/>
  <c r="J145" i="12"/>
  <c r="J142" i="12"/>
  <c r="L145" i="9"/>
  <c r="J142" i="43"/>
  <c r="M142" i="43" s="1"/>
  <c r="K147" i="9"/>
  <c r="K144" i="12"/>
  <c r="K152" i="12"/>
  <c r="K147" i="12"/>
  <c r="K157" i="12"/>
  <c r="K154" i="12"/>
  <c r="K158" i="12"/>
  <c r="K141" i="12"/>
  <c r="K149" i="12"/>
  <c r="K153" i="12"/>
  <c r="K146" i="12"/>
  <c r="K140" i="12"/>
  <c r="K148" i="12"/>
  <c r="K156" i="12"/>
  <c r="K160" i="12"/>
  <c r="I139" i="12"/>
  <c r="K143" i="12"/>
  <c r="K151" i="12"/>
  <c r="K159" i="12"/>
  <c r="K142" i="12"/>
  <c r="K150" i="12"/>
  <c r="K161" i="12"/>
  <c r="J160" i="12"/>
  <c r="J137" i="10"/>
  <c r="M137" i="10" s="1"/>
  <c r="I137" i="10"/>
  <c r="I136" i="10"/>
  <c r="J136" i="10"/>
  <c r="M136" i="10" s="1"/>
  <c r="I143" i="10"/>
  <c r="J143" i="10"/>
  <c r="M143" i="10" s="1"/>
  <c r="I155" i="10"/>
  <c r="J155" i="10"/>
  <c r="M155" i="10" s="1"/>
  <c r="J138" i="10"/>
  <c r="M138" i="10" s="1"/>
  <c r="I138" i="10"/>
  <c r="I139" i="10"/>
  <c r="J139" i="10"/>
  <c r="M139" i="10" s="1"/>
  <c r="I153" i="43"/>
  <c r="J153" i="43"/>
  <c r="M153" i="43" s="1"/>
  <c r="I157" i="10"/>
  <c r="J157" i="10"/>
  <c r="M157" i="10" s="1"/>
  <c r="I157" i="12"/>
  <c r="J158" i="10"/>
  <c r="M158" i="10" s="1"/>
  <c r="I158" i="10"/>
  <c r="J150" i="12"/>
  <c r="I150" i="12"/>
  <c r="I150" i="43"/>
  <c r="J150" i="43"/>
  <c r="M150" i="43" s="1"/>
  <c r="I134" i="43"/>
  <c r="I147" i="43"/>
  <c r="J156" i="10"/>
  <c r="M156" i="10" s="1"/>
  <c r="I156" i="10"/>
  <c r="J149" i="12"/>
  <c r="I151" i="10"/>
  <c r="J151" i="10"/>
  <c r="M151" i="10" s="1"/>
  <c r="J156" i="12"/>
  <c r="I156" i="12"/>
  <c r="J146" i="10"/>
  <c r="M146" i="10" s="1"/>
  <c r="I146" i="10"/>
  <c r="J141" i="10"/>
  <c r="M141" i="10" s="1"/>
  <c r="I141" i="10"/>
  <c r="I149" i="10"/>
  <c r="J149" i="10"/>
  <c r="M149" i="10" s="1"/>
  <c r="J150" i="10"/>
  <c r="M150" i="10" s="1"/>
  <c r="I150" i="10"/>
  <c r="J148" i="10"/>
  <c r="M148" i="10" s="1"/>
  <c r="I148" i="10"/>
  <c r="J154" i="10"/>
  <c r="M154" i="10" s="1"/>
  <c r="I154" i="10"/>
  <c r="J145" i="10"/>
  <c r="M145" i="10" s="1"/>
  <c r="I145" i="10"/>
  <c r="I137" i="43"/>
  <c r="J137" i="43"/>
  <c r="M137" i="43" s="1"/>
  <c r="J149" i="43"/>
  <c r="M149" i="43" s="1"/>
  <c r="I149" i="43"/>
  <c r="I147" i="10"/>
  <c r="J147" i="10"/>
  <c r="M147" i="10" s="1"/>
  <c r="J147" i="12"/>
  <c r="J153" i="12"/>
  <c r="J140" i="10"/>
  <c r="M140" i="10" s="1"/>
  <c r="I140" i="10"/>
  <c r="J144" i="10"/>
  <c r="M144" i="10" s="1"/>
  <c r="I144" i="10"/>
  <c r="J152" i="10"/>
  <c r="M152" i="10" s="1"/>
  <c r="I152" i="10"/>
  <c r="I153" i="10"/>
  <c r="J153" i="10"/>
  <c r="M153" i="10" s="1"/>
  <c r="I131" i="43"/>
  <c r="J142" i="10"/>
  <c r="M142" i="10" s="1"/>
  <c r="I142" i="10"/>
  <c r="J148" i="43"/>
  <c r="M148" i="43" s="1"/>
  <c r="I148" i="43"/>
  <c r="J137" i="24"/>
  <c r="I137" i="24"/>
  <c r="I144" i="24"/>
  <c r="J144" i="24"/>
  <c r="I147" i="24"/>
  <c r="J147" i="24"/>
  <c r="I155" i="24"/>
  <c r="J155" i="24"/>
  <c r="I142" i="24"/>
  <c r="J142" i="24"/>
  <c r="I141" i="24"/>
  <c r="J141" i="24"/>
  <c r="I152" i="24"/>
  <c r="J152" i="24"/>
  <c r="J145" i="24"/>
  <c r="I145" i="24"/>
  <c r="I136" i="24"/>
  <c r="J136" i="24"/>
  <c r="J138" i="24"/>
  <c r="I138" i="24"/>
  <c r="I149" i="24"/>
  <c r="J149" i="24"/>
  <c r="I139" i="24"/>
  <c r="J139" i="24"/>
  <c r="I158" i="24"/>
  <c r="J158" i="24"/>
  <c r="I151" i="24"/>
  <c r="J151" i="24"/>
  <c r="J146" i="24"/>
  <c r="I146" i="24"/>
  <c r="I150" i="24"/>
  <c r="K150" i="24"/>
  <c r="I143" i="24"/>
  <c r="J143" i="24"/>
  <c r="I154" i="24"/>
  <c r="J154" i="24"/>
  <c r="J148" i="24"/>
  <c r="I148" i="24"/>
  <c r="I157" i="24"/>
  <c r="J157" i="24"/>
  <c r="I153" i="24"/>
  <c r="J153" i="24"/>
  <c r="J156" i="24"/>
  <c r="I156" i="24"/>
  <c r="J140" i="24"/>
  <c r="I140" i="24"/>
  <c r="K142" i="3"/>
  <c r="K141" i="3"/>
  <c r="L134" i="3"/>
  <c r="L150" i="3"/>
  <c r="L139" i="3"/>
  <c r="L155" i="3"/>
  <c r="K132" i="3"/>
  <c r="K147" i="3"/>
  <c r="L140" i="3"/>
  <c r="K154" i="3"/>
  <c r="L145" i="3"/>
  <c r="L151" i="3"/>
  <c r="K134" i="3"/>
  <c r="K143" i="3"/>
  <c r="L136" i="3"/>
  <c r="L152" i="3"/>
  <c r="L141" i="3"/>
  <c r="L135" i="3"/>
  <c r="K136" i="3"/>
  <c r="K144" i="3"/>
  <c r="K138" i="3"/>
  <c r="K133" i="3"/>
  <c r="K149" i="3"/>
  <c r="K151" i="3"/>
  <c r="L142" i="3"/>
  <c r="L147" i="3"/>
  <c r="K148" i="3"/>
  <c r="K137" i="3"/>
  <c r="K155" i="3"/>
  <c r="K150" i="3"/>
  <c r="K139" i="3"/>
  <c r="K140" i="3"/>
  <c r="L148" i="3"/>
  <c r="L137" i="3"/>
  <c r="L153" i="3"/>
  <c r="K145" i="3"/>
  <c r="L138" i="3"/>
  <c r="L154" i="3"/>
  <c r="K152" i="3"/>
  <c r="L143" i="3"/>
  <c r="L146" i="3"/>
  <c r="K146" i="3"/>
  <c r="K135" i="3"/>
  <c r="K153" i="3"/>
  <c r="L144" i="3"/>
  <c r="L133" i="3"/>
  <c r="L149" i="3"/>
  <c r="I132" i="43" l="1"/>
  <c r="J141" i="43"/>
  <c r="M141" i="43" s="1"/>
  <c r="J145" i="43"/>
  <c r="M145" i="43" s="1"/>
  <c r="I135" i="43"/>
  <c r="J138" i="43"/>
  <c r="M138" i="43" s="1"/>
  <c r="J151" i="43"/>
  <c r="M151" i="43" s="1"/>
  <c r="I142" i="43"/>
  <c r="I140" i="43"/>
  <c r="J144" i="12"/>
  <c r="I154" i="12"/>
  <c r="I139" i="43"/>
  <c r="I142" i="12"/>
  <c r="I158" i="12"/>
  <c r="I143" i="12"/>
  <c r="J136" i="43"/>
  <c r="M136" i="43" s="1"/>
  <c r="J146" i="43"/>
  <c r="M146" i="43" s="1"/>
  <c r="I152" i="43"/>
  <c r="I152" i="12"/>
  <c r="I153" i="12"/>
  <c r="I160" i="12"/>
  <c r="I147" i="12"/>
  <c r="I149" i="12"/>
  <c r="I141" i="12"/>
  <c r="I148" i="12"/>
  <c r="I136" i="25"/>
  <c r="J136" i="25"/>
  <c r="M136" i="25" s="1"/>
  <c r="I143" i="43"/>
  <c r="I145" i="9"/>
  <c r="J145" i="9"/>
  <c r="M145" i="9" s="1"/>
  <c r="I147" i="25"/>
  <c r="J147" i="25"/>
  <c r="M147" i="25" s="1"/>
  <c r="I149" i="9"/>
  <c r="J149" i="9"/>
  <c r="M149" i="9" s="1"/>
  <c r="I158" i="25"/>
  <c r="J158" i="25"/>
  <c r="M158" i="25" s="1"/>
  <c r="I144" i="25"/>
  <c r="J144" i="25"/>
  <c r="M144" i="25" s="1"/>
  <c r="I157" i="25"/>
  <c r="J157" i="25"/>
  <c r="M157" i="25" s="1"/>
  <c r="I151" i="12"/>
  <c r="I161" i="12"/>
  <c r="I140" i="12"/>
  <c r="I146" i="12"/>
  <c r="I136" i="9"/>
  <c r="K136" i="9"/>
  <c r="M136" i="9" s="1"/>
  <c r="I150" i="9"/>
  <c r="J150" i="9"/>
  <c r="M150" i="9" s="1"/>
  <c r="I140" i="9"/>
  <c r="K140" i="9"/>
  <c r="M140" i="9" s="1"/>
  <c r="I153" i="9"/>
  <c r="J153" i="9"/>
  <c r="M153" i="9" s="1"/>
  <c r="I156" i="25"/>
  <c r="J156" i="25"/>
  <c r="M156" i="25" s="1"/>
  <c r="I154" i="25"/>
  <c r="J154" i="25"/>
  <c r="M154" i="25" s="1"/>
  <c r="I154" i="9"/>
  <c r="J154" i="9"/>
  <c r="M154" i="9" s="1"/>
  <c r="I147" i="9"/>
  <c r="J147" i="9"/>
  <c r="M147" i="9" s="1"/>
  <c r="I146" i="9"/>
  <c r="J146" i="9"/>
  <c r="M146" i="9" s="1"/>
  <c r="I142" i="9"/>
  <c r="J142" i="9"/>
  <c r="M142" i="9" s="1"/>
  <c r="I138" i="25"/>
  <c r="J138" i="25"/>
  <c r="M138" i="25" s="1"/>
  <c r="I156" i="9"/>
  <c r="K156" i="9"/>
  <c r="M156" i="9" s="1"/>
  <c r="I148" i="9"/>
  <c r="K148" i="9"/>
  <c r="M148" i="9" s="1"/>
  <c r="I141" i="25"/>
  <c r="J141" i="25"/>
  <c r="M141" i="25" s="1"/>
  <c r="J137" i="25"/>
  <c r="M137" i="25" s="1"/>
  <c r="I137" i="25"/>
  <c r="I146" i="25"/>
  <c r="J146" i="25"/>
  <c r="M146" i="25" s="1"/>
  <c r="J152" i="25"/>
  <c r="M152" i="25" s="1"/>
  <c r="I152" i="25"/>
  <c r="I138" i="9"/>
  <c r="J138" i="9"/>
  <c r="M138" i="9" s="1"/>
  <c r="I139" i="25"/>
  <c r="J139" i="25"/>
  <c r="M139" i="25" s="1"/>
  <c r="I157" i="9"/>
  <c r="J157" i="9"/>
  <c r="M157" i="9" s="1"/>
  <c r="J133" i="43"/>
  <c r="M133" i="43" s="1"/>
  <c r="I145" i="25"/>
  <c r="J145" i="25"/>
  <c r="M145" i="25" s="1"/>
  <c r="I153" i="25"/>
  <c r="J153" i="25"/>
  <c r="M153" i="25" s="1"/>
  <c r="J150" i="25"/>
  <c r="M150" i="25" s="1"/>
  <c r="I150" i="25"/>
  <c r="I142" i="25"/>
  <c r="J142" i="25"/>
  <c r="M142" i="25" s="1"/>
  <c r="I155" i="25"/>
  <c r="J155" i="25"/>
  <c r="M155" i="25" s="1"/>
  <c r="I144" i="43"/>
  <c r="I159" i="12"/>
  <c r="I155" i="12"/>
  <c r="I145" i="12"/>
  <c r="I139" i="9"/>
  <c r="J139" i="9"/>
  <c r="M139" i="9" s="1"/>
  <c r="I144" i="9"/>
  <c r="K144" i="9"/>
  <c r="M144" i="9" s="1"/>
  <c r="I155" i="9"/>
  <c r="J155" i="9"/>
  <c r="M155" i="9" s="1"/>
  <c r="J151" i="25"/>
  <c r="M151" i="25" s="1"/>
  <c r="I151" i="25"/>
  <c r="I137" i="9"/>
  <c r="J137" i="9"/>
  <c r="M137" i="9" s="1"/>
  <c r="I143" i="9"/>
  <c r="J143" i="9"/>
  <c r="M143" i="9" s="1"/>
  <c r="I141" i="9"/>
  <c r="J141" i="9"/>
  <c r="M141" i="9" s="1"/>
  <c r="I152" i="9"/>
  <c r="K152" i="9"/>
  <c r="M152" i="9" s="1"/>
  <c r="I151" i="9"/>
  <c r="J151" i="9"/>
  <c r="M151" i="9" s="1"/>
  <c r="J143" i="25"/>
  <c r="M143" i="25" s="1"/>
  <c r="I143" i="25"/>
  <c r="I158" i="9"/>
  <c r="J158" i="9"/>
  <c r="M158" i="9" s="1"/>
  <c r="I140" i="25"/>
  <c r="J140" i="25"/>
  <c r="M140" i="25" s="1"/>
  <c r="J149" i="25"/>
  <c r="M149" i="25" s="1"/>
  <c r="I149" i="25"/>
  <c r="J148" i="25"/>
  <c r="M148" i="25" s="1"/>
  <c r="I148" i="25"/>
  <c r="M151" i="12"/>
  <c r="M161" i="12"/>
  <c r="M140" i="12"/>
  <c r="M152" i="12"/>
  <c r="M141" i="12"/>
  <c r="M146" i="12"/>
  <c r="M148" i="12"/>
  <c r="M144" i="12"/>
  <c r="K155" i="12"/>
  <c r="M155" i="12" s="1"/>
  <c r="K139" i="12"/>
  <c r="M139" i="12" s="1"/>
  <c r="K145" i="12"/>
  <c r="M145" i="12" s="1"/>
  <c r="M142" i="12"/>
  <c r="M147" i="12"/>
  <c r="M149" i="12"/>
  <c r="M157" i="12"/>
  <c r="M160" i="12"/>
  <c r="M154" i="12"/>
  <c r="M156" i="12"/>
  <c r="M150" i="12"/>
  <c r="M159" i="12"/>
  <c r="M153" i="12"/>
  <c r="M158" i="12"/>
  <c r="M143" i="12"/>
  <c r="M149" i="24"/>
  <c r="M141" i="24"/>
  <c r="M138" i="24"/>
  <c r="M157" i="24"/>
  <c r="M150" i="24"/>
  <c r="M158" i="24"/>
  <c r="M136" i="24"/>
  <c r="M142" i="24"/>
  <c r="M145" i="24"/>
  <c r="M152" i="24"/>
  <c r="M151" i="24"/>
  <c r="M144" i="24"/>
  <c r="M140" i="24"/>
  <c r="M148" i="24"/>
  <c r="M154" i="24"/>
  <c r="M156" i="24"/>
  <c r="M146" i="24"/>
  <c r="M147" i="24"/>
  <c r="M153" i="24"/>
  <c r="M143" i="24"/>
  <c r="M139" i="24"/>
  <c r="M155" i="24"/>
  <c r="M137" i="24"/>
  <c r="J152" i="3"/>
  <c r="I152" i="3"/>
  <c r="I143" i="3"/>
  <c r="J143" i="3"/>
  <c r="J155" i="3"/>
  <c r="I155" i="3"/>
  <c r="J138" i="3"/>
  <c r="I138" i="3"/>
  <c r="I141" i="3"/>
  <c r="J141" i="3"/>
  <c r="J136" i="3"/>
  <c r="I136" i="3"/>
  <c r="I137" i="3"/>
  <c r="J137" i="3"/>
  <c r="J151" i="3"/>
  <c r="I151" i="3"/>
  <c r="I135" i="3"/>
  <c r="J135" i="3"/>
  <c r="I150" i="3"/>
  <c r="J150" i="3"/>
  <c r="I146" i="3"/>
  <c r="J146" i="3"/>
  <c r="J153" i="3"/>
  <c r="I153" i="3"/>
  <c r="J154" i="3"/>
  <c r="I154" i="3"/>
  <c r="J142" i="3"/>
  <c r="I142" i="3"/>
  <c r="J145" i="3"/>
  <c r="I145" i="3"/>
  <c r="I140" i="3"/>
  <c r="J140" i="3"/>
  <c r="J149" i="3"/>
  <c r="I149" i="3"/>
  <c r="J134" i="3"/>
  <c r="I134" i="3"/>
  <c r="I147" i="3"/>
  <c r="J147" i="3"/>
  <c r="J144" i="3"/>
  <c r="I144" i="3"/>
  <c r="J139" i="3"/>
  <c r="I139" i="3"/>
  <c r="I133" i="3"/>
  <c r="J133" i="3"/>
  <c r="J132" i="3"/>
  <c r="J148" i="3"/>
  <c r="I148" i="3"/>
  <c r="I130" i="43"/>
  <c r="J130" i="43"/>
  <c r="K130" i="43"/>
  <c r="L130" i="43"/>
  <c r="K5" i="29"/>
  <c r="K5" i="12"/>
  <c r="K5" i="10"/>
  <c r="K5" i="9"/>
  <c r="K5" i="25"/>
  <c r="M148" i="3" l="1"/>
  <c r="M145" i="3"/>
  <c r="M153" i="3"/>
  <c r="M144" i="3"/>
  <c r="M149" i="3"/>
  <c r="M146" i="3"/>
  <c r="M138" i="3"/>
  <c r="M137" i="3"/>
  <c r="M155" i="3"/>
  <c r="M147" i="3"/>
  <c r="M133" i="3"/>
  <c r="M143" i="3"/>
  <c r="M151" i="3"/>
  <c r="M140" i="3"/>
  <c r="M150" i="3"/>
  <c r="M154" i="3"/>
  <c r="M136" i="3"/>
  <c r="M142" i="3"/>
  <c r="M139" i="3"/>
  <c r="M134" i="3"/>
  <c r="M135" i="3"/>
  <c r="M141" i="3"/>
  <c r="M152" i="3"/>
  <c r="F20" i="12"/>
  <c r="D13" i="10"/>
  <c r="D16" i="24"/>
  <c r="F14" i="12"/>
  <c r="F15" i="12"/>
  <c r="D16" i="12"/>
  <c r="F16" i="12"/>
  <c r="D15" i="12"/>
  <c r="F14" i="10"/>
  <c r="F14" i="24"/>
  <c r="D14" i="12"/>
  <c r="D14" i="10"/>
  <c r="D14" i="24"/>
  <c r="F13" i="12"/>
  <c r="F13" i="24"/>
  <c r="D13" i="12"/>
  <c r="D13" i="24"/>
  <c r="D20" i="12"/>
  <c r="F13" i="10"/>
  <c r="F16" i="24"/>
  <c r="M130" i="43"/>
  <c r="F17" i="43" l="1"/>
  <c r="D20" i="43" s="1"/>
  <c r="D21" i="43" s="1"/>
  <c r="D17" i="43" l="1"/>
  <c r="C190" i="29"/>
  <c r="V28" i="31" l="1"/>
  <c r="F60" i="24" s="1"/>
  <c r="R28" i="31"/>
  <c r="V27" i="31"/>
  <c r="F59" i="24" s="1"/>
  <c r="R27" i="31"/>
  <c r="V26" i="31"/>
  <c r="F58" i="24" s="1"/>
  <c r="R26" i="31"/>
  <c r="V25" i="31"/>
  <c r="F57" i="24" s="1"/>
  <c r="R25" i="31"/>
  <c r="V24" i="31"/>
  <c r="F56" i="24" s="1"/>
  <c r="R24" i="31"/>
  <c r="V23" i="31"/>
  <c r="F55" i="24" s="1"/>
  <c r="R23" i="31"/>
  <c r="V22" i="31"/>
  <c r="F54" i="24" s="1"/>
  <c r="R22" i="31"/>
  <c r="V21" i="31"/>
  <c r="F53" i="24" s="1"/>
  <c r="R21" i="31"/>
  <c r="V20" i="31"/>
  <c r="F52" i="24" s="1"/>
  <c r="R20" i="31"/>
  <c r="V19" i="31"/>
  <c r="F51" i="24" s="1"/>
  <c r="R19" i="31"/>
  <c r="V18" i="31"/>
  <c r="F50" i="24" s="1"/>
  <c r="R18" i="31"/>
  <c r="AP6" i="31"/>
  <c r="BB6" i="31"/>
  <c r="AL6" i="31"/>
  <c r="AD6" i="31"/>
  <c r="Z6" i="31"/>
  <c r="V6" i="31"/>
  <c r="F38" i="24" s="1"/>
  <c r="R6" i="31"/>
  <c r="AP5" i="31"/>
  <c r="CJ5" i="23"/>
  <c r="BB5" i="31" s="1"/>
  <c r="AL5" i="31"/>
  <c r="AD5" i="31"/>
  <c r="Z5" i="31"/>
  <c r="V5" i="31"/>
  <c r="F37" i="24" s="1"/>
  <c r="R5" i="31"/>
  <c r="E29" i="23"/>
  <c r="E30" i="23" l="1"/>
  <c r="C30" i="23"/>
  <c r="D30" i="23"/>
  <c r="F27" i="24" l="1"/>
  <c r="B4" i="20" l="1"/>
  <c r="C91" i="16"/>
  <c r="C83" i="16"/>
  <c r="C116" i="16" s="1"/>
  <c r="D83" i="16"/>
  <c r="D116" i="16" s="1"/>
  <c r="E83" i="16"/>
  <c r="E116" i="16" s="1"/>
  <c r="B43" i="14"/>
  <c r="B76" i="14" s="1"/>
  <c r="C2" i="14"/>
  <c r="C197" i="12"/>
  <c r="C194" i="10"/>
  <c r="C194" i="9"/>
  <c r="C194" i="25"/>
  <c r="C194" i="24"/>
  <c r="Q212" i="29"/>
  <c r="Q211" i="29" s="1"/>
  <c r="L217" i="29" s="1"/>
  <c r="V155" i="29"/>
  <c r="U155" i="29"/>
  <c r="B155" i="29"/>
  <c r="G125" i="29"/>
  <c r="D123" i="29"/>
  <c r="B120" i="29"/>
  <c r="F23" i="29"/>
  <c r="C15" i="29"/>
  <c r="B15" i="29"/>
  <c r="Q219" i="12"/>
  <c r="Q218" i="12" s="1"/>
  <c r="L224" i="12" s="1"/>
  <c r="AB162" i="12"/>
  <c r="AA162" i="12"/>
  <c r="B162" i="12"/>
  <c r="B127" i="12"/>
  <c r="I40" i="12"/>
  <c r="I70" i="12" s="1"/>
  <c r="H40" i="12"/>
  <c r="H70" i="12" s="1"/>
  <c r="G40" i="12"/>
  <c r="G70" i="12" s="1"/>
  <c r="F30" i="12"/>
  <c r="B22" i="12"/>
  <c r="Q205" i="10"/>
  <c r="Q204" i="10" s="1"/>
  <c r="L210" i="10" s="1"/>
  <c r="AB159" i="10"/>
  <c r="AA159" i="10"/>
  <c r="B159" i="10"/>
  <c r="B124" i="10"/>
  <c r="I37" i="10"/>
  <c r="I67" i="10" s="1"/>
  <c r="H37" i="10"/>
  <c r="H67" i="10" s="1"/>
  <c r="G37" i="10"/>
  <c r="G67" i="10" s="1"/>
  <c r="F27" i="10"/>
  <c r="C19" i="10"/>
  <c r="D19" i="10" s="1"/>
  <c r="B19" i="10"/>
  <c r="Q216" i="9"/>
  <c r="Q215" i="9" s="1"/>
  <c r="L221" i="9" s="1"/>
  <c r="Y159" i="9"/>
  <c r="X159" i="9"/>
  <c r="B159" i="9"/>
  <c r="B124" i="9"/>
  <c r="I67" i="9"/>
  <c r="H67" i="9"/>
  <c r="G67" i="9"/>
  <c r="F27" i="9"/>
  <c r="G19" i="9"/>
  <c r="F19" i="9"/>
  <c r="E19" i="9"/>
  <c r="D19" i="9"/>
  <c r="C19" i="9"/>
  <c r="B19" i="9"/>
  <c r="D19" i="25"/>
  <c r="E19" i="25"/>
  <c r="F19" i="25"/>
  <c r="G19" i="25"/>
  <c r="Q216" i="25"/>
  <c r="Q215" i="25" s="1"/>
  <c r="B159" i="25"/>
  <c r="B124" i="25"/>
  <c r="I37" i="25"/>
  <c r="H37" i="25"/>
  <c r="G37" i="25"/>
  <c r="F27" i="25"/>
  <c r="D10" i="18" l="1"/>
  <c r="B2" i="22" s="1"/>
  <c r="H217" i="16"/>
  <c r="F116" i="16"/>
  <c r="L142" i="29"/>
  <c r="K150" i="29"/>
  <c r="L152" i="29"/>
  <c r="L154" i="29"/>
  <c r="L133" i="29"/>
  <c r="K135" i="29"/>
  <c r="K141" i="29"/>
  <c r="K145" i="29"/>
  <c r="L140" i="29"/>
  <c r="K143" i="29"/>
  <c r="K149" i="29"/>
  <c r="K153" i="29"/>
  <c r="L139" i="29"/>
  <c r="K147" i="29"/>
  <c r="L149" i="29"/>
  <c r="L153" i="29"/>
  <c r="K136" i="29"/>
  <c r="K138" i="29"/>
  <c r="L151" i="29"/>
  <c r="K134" i="29"/>
  <c r="L136" i="29"/>
  <c r="K144" i="29"/>
  <c r="K132" i="29"/>
  <c r="K133" i="29"/>
  <c r="K137" i="29"/>
  <c r="L150" i="29"/>
  <c r="L132" i="29"/>
  <c r="L137" i="29"/>
  <c r="K140" i="29"/>
  <c r="L135" i="29"/>
  <c r="K139" i="29"/>
  <c r="L141" i="29"/>
  <c r="L145" i="29"/>
  <c r="K148" i="29"/>
  <c r="L143" i="29"/>
  <c r="L148" i="29"/>
  <c r="K151" i="29"/>
  <c r="L147" i="29"/>
  <c r="L138" i="29"/>
  <c r="K146" i="29"/>
  <c r="L134" i="29"/>
  <c r="K142" i="29"/>
  <c r="L144" i="29"/>
  <c r="L146" i="29"/>
  <c r="K152" i="29"/>
  <c r="K154" i="29"/>
  <c r="G63" i="29"/>
  <c r="H63" i="29"/>
  <c r="I63" i="29"/>
  <c r="E15" i="29"/>
  <c r="F19" i="29" s="1"/>
  <c r="D15" i="29"/>
  <c r="F18" i="29" s="1"/>
  <c r="F15" i="29"/>
  <c r="I67" i="25"/>
  <c r="G67" i="25"/>
  <c r="H67" i="25"/>
  <c r="Y135" i="10"/>
  <c r="J131" i="29"/>
  <c r="L131" i="29"/>
  <c r="K131" i="29"/>
  <c r="G22" i="25"/>
  <c r="E22" i="25"/>
  <c r="G23" i="25"/>
  <c r="E23" i="25"/>
  <c r="D23" i="25"/>
  <c r="F23" i="25"/>
  <c r="K135" i="25"/>
  <c r="L135" i="25"/>
  <c r="J135" i="25"/>
  <c r="F22" i="25"/>
  <c r="D22" i="25"/>
  <c r="U135" i="9"/>
  <c r="G23" i="9"/>
  <c r="E23" i="9"/>
  <c r="F23" i="9"/>
  <c r="D23" i="9"/>
  <c r="K135" i="9"/>
  <c r="J135" i="9"/>
  <c r="L135" i="9"/>
  <c r="L135" i="10"/>
  <c r="K135" i="10"/>
  <c r="J135" i="10"/>
  <c r="L138" i="12"/>
  <c r="J138" i="12"/>
  <c r="K138" i="12"/>
  <c r="C190" i="43"/>
  <c r="A56" i="15"/>
  <c r="C254" i="16"/>
  <c r="F22" i="9"/>
  <c r="D22" i="9"/>
  <c r="G22" i="9"/>
  <c r="E22" i="9"/>
  <c r="D67" i="9"/>
  <c r="D100" i="9" s="1"/>
  <c r="D124" i="9" s="1"/>
  <c r="D67" i="25"/>
  <c r="D100" i="25" s="1"/>
  <c r="D124" i="25" s="1"/>
  <c r="E67" i="9"/>
  <c r="E100" i="9" s="1"/>
  <c r="E124" i="9" s="1"/>
  <c r="E67" i="25"/>
  <c r="E100" i="25" s="1"/>
  <c r="E124" i="25" s="1"/>
  <c r="D67" i="10"/>
  <c r="D100" i="10" s="1"/>
  <c r="E70" i="12"/>
  <c r="E103" i="12" s="1"/>
  <c r="E127" i="12" s="1"/>
  <c r="E67" i="10"/>
  <c r="E100" i="10" s="1"/>
  <c r="E63" i="29"/>
  <c r="E19" i="10"/>
  <c r="N9" i="33" s="1"/>
  <c r="N23" i="33" s="1"/>
  <c r="F19" i="10"/>
  <c r="G22" i="10" s="1"/>
  <c r="G19" i="10"/>
  <c r="G23" i="10" s="1"/>
  <c r="A156" i="15"/>
  <c r="A193" i="15" s="1"/>
  <c r="F22" i="10"/>
  <c r="D22" i="10"/>
  <c r="G15" i="29"/>
  <c r="C198" i="12"/>
  <c r="C191" i="29"/>
  <c r="B5" i="20"/>
  <c r="D11" i="18" s="1"/>
  <c r="I16" i="18" s="1"/>
  <c r="C195" i="24"/>
  <c r="C70" i="12"/>
  <c r="C103" i="12" s="1"/>
  <c r="C127" i="12" s="1"/>
  <c r="C67" i="10"/>
  <c r="C67" i="25"/>
  <c r="C3" i="14"/>
  <c r="C195" i="25"/>
  <c r="C195" i="9"/>
  <c r="C195" i="10"/>
  <c r="F37" i="25"/>
  <c r="D70" i="12"/>
  <c r="D103" i="12" s="1"/>
  <c r="D127" i="12" s="1"/>
  <c r="C67" i="9"/>
  <c r="F33" i="29"/>
  <c r="C63" i="29"/>
  <c r="D63" i="29"/>
  <c r="J33" i="29"/>
  <c r="J40" i="12"/>
  <c r="F40" i="12"/>
  <c r="J37" i="10"/>
  <c r="F37" i="10"/>
  <c r="J37" i="25"/>
  <c r="C19" i="24"/>
  <c r="B19" i="24"/>
  <c r="Q216" i="24"/>
  <c r="Q215" i="24" s="1"/>
  <c r="L221" i="24" s="1"/>
  <c r="B159" i="24"/>
  <c r="B124" i="24"/>
  <c r="I37" i="24"/>
  <c r="I67" i="24" s="1"/>
  <c r="H37" i="24"/>
  <c r="H67" i="24" s="1"/>
  <c r="G37" i="24"/>
  <c r="G67" i="24" s="1"/>
  <c r="E67" i="24"/>
  <c r="E100" i="24" s="1"/>
  <c r="E124" i="24" s="1"/>
  <c r="D67" i="24"/>
  <c r="D100" i="24" s="1"/>
  <c r="D124" i="24" s="1"/>
  <c r="B52" i="14"/>
  <c r="C108" i="57" l="1"/>
  <c r="B108" i="57"/>
  <c r="E108" i="57"/>
  <c r="K217" i="16"/>
  <c r="F247" i="16" s="1"/>
  <c r="L217" i="16"/>
  <c r="G247" i="16" s="1"/>
  <c r="J217" i="16"/>
  <c r="E247" i="16" s="1"/>
  <c r="I134" i="29"/>
  <c r="J134" i="29"/>
  <c r="J152" i="29"/>
  <c r="I152" i="29"/>
  <c r="J154" i="29"/>
  <c r="I154" i="29"/>
  <c r="I148" i="29"/>
  <c r="J148" i="29"/>
  <c r="I142" i="29"/>
  <c r="J142" i="29"/>
  <c r="I149" i="29"/>
  <c r="J149" i="29"/>
  <c r="I150" i="29"/>
  <c r="J150" i="29"/>
  <c r="I151" i="29"/>
  <c r="J151" i="29"/>
  <c r="I143" i="29"/>
  <c r="J143" i="29"/>
  <c r="J136" i="29"/>
  <c r="I136" i="29"/>
  <c r="J137" i="29"/>
  <c r="I137" i="29"/>
  <c r="J153" i="29"/>
  <c r="I153" i="29"/>
  <c r="I135" i="29"/>
  <c r="J135" i="29"/>
  <c r="I146" i="29"/>
  <c r="J146" i="29"/>
  <c r="J139" i="29"/>
  <c r="I139" i="29"/>
  <c r="I133" i="29"/>
  <c r="J133" i="29"/>
  <c r="I147" i="29"/>
  <c r="J147" i="29"/>
  <c r="J145" i="29"/>
  <c r="I145" i="29"/>
  <c r="I141" i="29"/>
  <c r="J141" i="29"/>
  <c r="J138" i="29"/>
  <c r="I138" i="29"/>
  <c r="J140" i="29"/>
  <c r="I140" i="29"/>
  <c r="J144" i="29"/>
  <c r="I144" i="29"/>
  <c r="I132" i="29"/>
  <c r="J132" i="29"/>
  <c r="D19" i="29"/>
  <c r="D18" i="29"/>
  <c r="G18" i="29"/>
  <c r="D21" i="29" s="1"/>
  <c r="D22" i="29" s="1"/>
  <c r="E18" i="29"/>
  <c r="E25" i="25"/>
  <c r="E26" i="25" s="1"/>
  <c r="D25" i="25"/>
  <c r="D26" i="25" s="1"/>
  <c r="Y159" i="10"/>
  <c r="U148" i="24"/>
  <c r="U152" i="24"/>
  <c r="U149" i="24"/>
  <c r="U140" i="24"/>
  <c r="U138" i="24"/>
  <c r="U156" i="24"/>
  <c r="U154" i="24"/>
  <c r="U136" i="24"/>
  <c r="U146" i="24"/>
  <c r="U151" i="24"/>
  <c r="U143" i="24"/>
  <c r="U141" i="24"/>
  <c r="U144" i="24"/>
  <c r="U153" i="24"/>
  <c r="U145" i="24"/>
  <c r="U158" i="24"/>
  <c r="U155" i="24"/>
  <c r="U157" i="24"/>
  <c r="U142" i="24"/>
  <c r="U150" i="24"/>
  <c r="U147" i="24"/>
  <c r="U139" i="24"/>
  <c r="U137" i="24"/>
  <c r="U135" i="24"/>
  <c r="C220" i="3"/>
  <c r="I135" i="25"/>
  <c r="I131" i="29"/>
  <c r="E96" i="29"/>
  <c r="E120" i="29" s="1"/>
  <c r="F23" i="10"/>
  <c r="E25" i="10" s="1"/>
  <c r="E26" i="10" s="1"/>
  <c r="I15" i="18"/>
  <c r="D96" i="29"/>
  <c r="D120" i="29" s="1"/>
  <c r="M135" i="25"/>
  <c r="K135" i="24"/>
  <c r="U159" i="9"/>
  <c r="E25" i="9"/>
  <c r="E26" i="9" s="1"/>
  <c r="I138" i="12"/>
  <c r="I135" i="10"/>
  <c r="C218" i="43"/>
  <c r="D25" i="9"/>
  <c r="D26" i="9" s="1"/>
  <c r="M131" i="29"/>
  <c r="F67" i="25"/>
  <c r="J67" i="25"/>
  <c r="C100" i="25"/>
  <c r="J67" i="10"/>
  <c r="F67" i="10"/>
  <c r="C100" i="10"/>
  <c r="M135" i="10"/>
  <c r="M138" i="12"/>
  <c r="C100" i="9"/>
  <c r="C124" i="9" s="1"/>
  <c r="M135" i="9"/>
  <c r="D23" i="10"/>
  <c r="E22" i="10"/>
  <c r="E23" i="10"/>
  <c r="D25" i="10"/>
  <c r="D26" i="10" s="1"/>
  <c r="E19" i="29"/>
  <c r="G19" i="29"/>
  <c r="E21" i="29" s="1"/>
  <c r="E22" i="29" s="1"/>
  <c r="E19" i="24"/>
  <c r="D19" i="24"/>
  <c r="G19" i="24"/>
  <c r="F19" i="24"/>
  <c r="F67" i="9"/>
  <c r="J67" i="9"/>
  <c r="E3" i="22"/>
  <c r="F70" i="12"/>
  <c r="J70" i="12"/>
  <c r="E124" i="10"/>
  <c r="F63" i="29"/>
  <c r="C96" i="29"/>
  <c r="C120" i="29" s="1"/>
  <c r="J63" i="29"/>
  <c r="F103" i="12"/>
  <c r="M21" i="33"/>
  <c r="J37" i="24"/>
  <c r="C67" i="24"/>
  <c r="F100" i="25" l="1"/>
  <c r="C124" i="25"/>
  <c r="F124" i="25" s="1"/>
  <c r="M217" i="16"/>
  <c r="H247" i="16" s="1"/>
  <c r="M151" i="29"/>
  <c r="M138" i="29"/>
  <c r="M137" i="29"/>
  <c r="M146" i="29"/>
  <c r="M144" i="29"/>
  <c r="M145" i="29"/>
  <c r="M136" i="29"/>
  <c r="M152" i="29"/>
  <c r="M133" i="29"/>
  <c r="M148" i="29"/>
  <c r="M153" i="29"/>
  <c r="M150" i="29"/>
  <c r="M139" i="29"/>
  <c r="M154" i="29"/>
  <c r="M147" i="29"/>
  <c r="M135" i="29"/>
  <c r="M143" i="29"/>
  <c r="M142" i="29"/>
  <c r="M134" i="29"/>
  <c r="M132" i="29"/>
  <c r="M141" i="29"/>
  <c r="M149" i="29"/>
  <c r="M140" i="29"/>
  <c r="U159" i="24"/>
  <c r="J135" i="24"/>
  <c r="F100" i="9"/>
  <c r="F100" i="10"/>
  <c r="D23" i="24"/>
  <c r="F23" i="24"/>
  <c r="G22" i="24"/>
  <c r="E22" i="24"/>
  <c r="G23" i="24"/>
  <c r="E23" i="24"/>
  <c r="F22" i="24"/>
  <c r="D22" i="24"/>
  <c r="F124" i="9"/>
  <c r="F120" i="29"/>
  <c r="F96" i="29"/>
  <c r="F127" i="12"/>
  <c r="C124" i="10"/>
  <c r="D124" i="10"/>
  <c r="C100" i="24"/>
  <c r="C124" i="24" s="1"/>
  <c r="J67" i="24"/>
  <c r="F67" i="24"/>
  <c r="F124" i="10" l="1"/>
  <c r="D25" i="24"/>
  <c r="D26" i="24" s="1"/>
  <c r="E25" i="24"/>
  <c r="E26" i="24" s="1"/>
  <c r="F100" i="24"/>
  <c r="F124" i="24"/>
  <c r="C198" i="9" l="1"/>
  <c r="C198" i="25"/>
  <c r="C194" i="29" l="1"/>
  <c r="C222" i="9" l="1"/>
  <c r="D10" i="14" s="1"/>
  <c r="C218" i="29"/>
  <c r="D7" i="56" s="1"/>
  <c r="C222" i="25"/>
  <c r="D11" i="14" s="1"/>
  <c r="C198" i="24"/>
  <c r="C222" i="24" s="1"/>
  <c r="D7" i="14" s="1"/>
  <c r="G9" i="22" l="1"/>
  <c r="F10" i="22"/>
  <c r="G10" i="22"/>
  <c r="E18" i="16" l="1"/>
  <c r="T280" i="16"/>
  <c r="G126" i="16"/>
  <c r="D124" i="16"/>
  <c r="F20" i="16"/>
  <c r="B3" i="22"/>
  <c r="K139" i="16" l="1"/>
  <c r="K145" i="16"/>
  <c r="K146" i="16"/>
  <c r="K148" i="16"/>
  <c r="L142" i="16"/>
  <c r="K140" i="16"/>
  <c r="K154" i="16"/>
  <c r="L138" i="16"/>
  <c r="L153" i="16"/>
  <c r="K134" i="16"/>
  <c r="K143" i="16"/>
  <c r="L134" i="16"/>
  <c r="L143" i="16"/>
  <c r="L152" i="16"/>
  <c r="L139" i="16"/>
  <c r="L145" i="16"/>
  <c r="L146" i="16"/>
  <c r="L148" i="16"/>
  <c r="K155" i="16"/>
  <c r="L144" i="16"/>
  <c r="L151" i="16"/>
  <c r="K137" i="16"/>
  <c r="K138" i="16"/>
  <c r="K147" i="16"/>
  <c r="K153" i="16"/>
  <c r="L137" i="16"/>
  <c r="L147" i="16"/>
  <c r="K133" i="16"/>
  <c r="K149" i="16"/>
  <c r="K150" i="16"/>
  <c r="L133" i="16"/>
  <c r="L149" i="16"/>
  <c r="K135" i="16"/>
  <c r="K141" i="16"/>
  <c r="K142" i="16"/>
  <c r="K144" i="16"/>
  <c r="K151" i="16"/>
  <c r="L155" i="16"/>
  <c r="L135" i="16"/>
  <c r="L141" i="16"/>
  <c r="L140" i="16"/>
  <c r="L154" i="16"/>
  <c r="K136" i="16"/>
  <c r="K152" i="16"/>
  <c r="L136" i="16"/>
  <c r="L150" i="16"/>
  <c r="F30" i="16"/>
  <c r="E19" i="16"/>
  <c r="I150" i="16" l="1"/>
  <c r="J150" i="16"/>
  <c r="J151" i="16"/>
  <c r="I151" i="16"/>
  <c r="I136" i="16"/>
  <c r="J136" i="16"/>
  <c r="J147" i="16"/>
  <c r="I147" i="16"/>
  <c r="I152" i="16"/>
  <c r="J152" i="16"/>
  <c r="I134" i="16"/>
  <c r="J134" i="16"/>
  <c r="J135" i="16"/>
  <c r="I135" i="16"/>
  <c r="I138" i="16"/>
  <c r="J138" i="16"/>
  <c r="J143" i="16"/>
  <c r="I143" i="16"/>
  <c r="I146" i="16"/>
  <c r="J146" i="16"/>
  <c r="I144" i="16"/>
  <c r="J144" i="16"/>
  <c r="J148" i="16"/>
  <c r="I148" i="16"/>
  <c r="I145" i="16"/>
  <c r="J145" i="16"/>
  <c r="J140" i="16"/>
  <c r="I140" i="16"/>
  <c r="I142" i="16"/>
  <c r="J142" i="16"/>
  <c r="I149" i="16"/>
  <c r="J149" i="16"/>
  <c r="J155" i="16"/>
  <c r="I155" i="16"/>
  <c r="I153" i="16"/>
  <c r="J153" i="16"/>
  <c r="J139" i="16"/>
  <c r="I139" i="16"/>
  <c r="I133" i="16"/>
  <c r="J133" i="16"/>
  <c r="I137" i="16"/>
  <c r="J137" i="16"/>
  <c r="J141" i="16"/>
  <c r="I141" i="16"/>
  <c r="I154" i="16"/>
  <c r="J154" i="16"/>
  <c r="K132" i="16"/>
  <c r="L132" i="16"/>
  <c r="F83" i="16"/>
  <c r="M154" i="16" l="1"/>
  <c r="M139" i="16"/>
  <c r="M135" i="16"/>
  <c r="M153" i="16"/>
  <c r="M146" i="16"/>
  <c r="M134" i="16"/>
  <c r="M141" i="16"/>
  <c r="M151" i="16"/>
  <c r="M148" i="16"/>
  <c r="M147" i="16"/>
  <c r="M142" i="16"/>
  <c r="M144" i="16"/>
  <c r="M136" i="16"/>
  <c r="M137" i="16"/>
  <c r="M145" i="16"/>
  <c r="M152" i="16"/>
  <c r="M150" i="16"/>
  <c r="M133" i="16"/>
  <c r="M149" i="16"/>
  <c r="M138" i="16"/>
  <c r="M155" i="16"/>
  <c r="M143" i="16"/>
  <c r="M132" i="16"/>
  <c r="B117" i="16"/>
  <c r="G83" i="16"/>
  <c r="H83" i="16" l="1"/>
  <c r="D18" i="16"/>
  <c r="D19" i="16" s="1"/>
  <c r="H60" i="16"/>
  <c r="I83" i="16"/>
  <c r="J83" i="16" l="1"/>
  <c r="I60" i="16"/>
  <c r="J30" i="16"/>
  <c r="G60" i="16"/>
  <c r="U41" i="16" l="1"/>
  <c r="U45" i="16"/>
  <c r="U53" i="16"/>
  <c r="U39" i="16"/>
  <c r="U52" i="16"/>
  <c r="U31" i="16"/>
  <c r="U35" i="16"/>
  <c r="U50" i="16"/>
  <c r="U49" i="16"/>
  <c r="U43" i="16"/>
  <c r="U36" i="16"/>
  <c r="U42" i="16"/>
  <c r="U51" i="16"/>
  <c r="U44" i="16"/>
  <c r="U37" i="16"/>
  <c r="U47" i="16"/>
  <c r="U38" i="16"/>
  <c r="U48" i="16"/>
  <c r="U46" i="16"/>
  <c r="U33" i="16"/>
  <c r="U40" i="16"/>
  <c r="U32" i="16"/>
  <c r="U34" i="16"/>
  <c r="U30" i="16"/>
  <c r="Q81" i="15" l="1"/>
  <c r="C223" i="9" l="1"/>
  <c r="C223" i="25"/>
  <c r="C219" i="29"/>
  <c r="C223" i="24"/>
  <c r="C60" i="16" l="1"/>
  <c r="D60" i="16"/>
  <c r="E60" i="16"/>
  <c r="E93" i="16" l="1"/>
  <c r="E117" i="16" s="1"/>
  <c r="C93" i="16"/>
  <c r="C117" i="16" s="1"/>
  <c r="D93" i="16"/>
  <c r="D117" i="16" s="1"/>
  <c r="F60" i="16"/>
  <c r="J60" i="16"/>
  <c r="F117" i="16" l="1"/>
  <c r="M140" i="16"/>
  <c r="H194" i="16"/>
  <c r="F93" i="16"/>
  <c r="K194" i="16" l="1"/>
  <c r="F224" i="16" s="1"/>
  <c r="J194" i="16"/>
  <c r="L194" i="16"/>
  <c r="G224" i="16" s="1"/>
  <c r="M194" i="16" l="1"/>
  <c r="H224" i="16" s="1"/>
  <c r="E224" i="16"/>
  <c r="H8" i="19" l="1"/>
  <c r="H8" i="22" s="1"/>
  <c r="H10" i="19"/>
  <c r="H9" i="19"/>
  <c r="I17" i="18"/>
  <c r="H9" i="22" l="1"/>
  <c r="H7" i="19"/>
  <c r="H10" i="22"/>
  <c r="H11" i="19" l="1"/>
  <c r="H7" i="22"/>
  <c r="H11" i="22" l="1"/>
  <c r="H12" i="19"/>
  <c r="H12" i="22" l="1"/>
  <c r="AA37" i="34"/>
  <c r="L132" i="3" l="1"/>
  <c r="I132" i="3"/>
  <c r="M132" i="3" l="1"/>
  <c r="AB37" i="34"/>
  <c r="I135" i="24" l="1"/>
  <c r="L135" i="24"/>
  <c r="M135" i="24" s="1"/>
  <c r="K112" i="15" l="1"/>
  <c r="K103" i="15"/>
  <c r="K102" i="15"/>
  <c r="K96" i="15"/>
  <c r="K111" i="15"/>
  <c r="K113" i="15"/>
  <c r="K100" i="15"/>
  <c r="K105" i="15"/>
  <c r="K104" i="15"/>
  <c r="K97" i="15"/>
  <c r="K108" i="15"/>
  <c r="K95" i="15"/>
  <c r="K107" i="15"/>
  <c r="K98" i="15"/>
  <c r="K110" i="15"/>
  <c r="K109" i="15"/>
  <c r="K101" i="15"/>
  <c r="K106" i="15"/>
  <c r="K99" i="15"/>
  <c r="K116" i="15"/>
  <c r="K94" i="15"/>
  <c r="K115" i="15"/>
  <c r="K114" i="15"/>
  <c r="K93" i="15"/>
  <c r="L109" i="15" l="1"/>
  <c r="L101" i="15"/>
  <c r="L107" i="15"/>
  <c r="L116" i="15"/>
  <c r="L98" i="15"/>
  <c r="L112" i="15"/>
  <c r="L100" i="15"/>
  <c r="L114" i="15"/>
  <c r="L102" i="15"/>
  <c r="L111" i="15"/>
  <c r="L110" i="15"/>
  <c r="L97" i="15"/>
  <c r="L113" i="15"/>
  <c r="L103" i="15"/>
  <c r="L104" i="15"/>
  <c r="L106" i="15"/>
  <c r="L95" i="15"/>
  <c r="L99" i="15"/>
  <c r="L108" i="15"/>
  <c r="L96" i="15"/>
  <c r="L105" i="15"/>
  <c r="L115" i="15"/>
  <c r="L93" i="15"/>
  <c r="M96" i="15" l="1"/>
  <c r="M106" i="15"/>
  <c r="M110" i="15"/>
  <c r="M104" i="15"/>
  <c r="M97" i="15"/>
  <c r="M114" i="15"/>
  <c r="M108" i="15"/>
  <c r="M111" i="15"/>
  <c r="M103" i="15"/>
  <c r="M113" i="15"/>
  <c r="M100" i="15"/>
  <c r="M115" i="15"/>
  <c r="M99" i="15"/>
  <c r="M102" i="15"/>
  <c r="M112" i="15"/>
  <c r="M107" i="15"/>
  <c r="M105" i="15"/>
  <c r="M95" i="15"/>
  <c r="M98" i="15"/>
  <c r="M116" i="15"/>
  <c r="M101" i="15"/>
  <c r="M109" i="15"/>
  <c r="M93" i="15"/>
  <c r="I76" i="29"/>
  <c r="H76" i="29"/>
  <c r="G76" i="29"/>
  <c r="J46" i="29"/>
  <c r="L94" i="15" l="1"/>
  <c r="J76" i="29"/>
  <c r="M94" i="15" l="1"/>
  <c r="E7" i="19" l="1"/>
  <c r="E8" i="22"/>
  <c r="E7" i="22" l="1"/>
  <c r="S132" i="3" l="1"/>
  <c r="U132" i="3" s="1"/>
  <c r="S145" i="3" l="1"/>
  <c r="R156" i="3"/>
  <c r="S134" i="3"/>
  <c r="S133" i="3"/>
  <c r="U133" i="3" s="1"/>
  <c r="S156" i="3" l="1"/>
  <c r="U134" i="3"/>
  <c r="U156" i="3" s="1"/>
  <c r="U145" i="3"/>
  <c r="E67" i="48" l="1"/>
  <c r="F67" i="48" l="1"/>
  <c r="H100" i="48" s="1"/>
  <c r="G4" i="53"/>
  <c r="E91" i="48"/>
  <c r="F91" i="48"/>
  <c r="D91" i="48"/>
  <c r="G67" i="48"/>
  <c r="G28" i="53" l="1"/>
  <c r="H67" i="48"/>
  <c r="G91" i="48"/>
  <c r="I100" i="48"/>
  <c r="I124" i="48" s="1"/>
  <c r="H124" i="48"/>
  <c r="E10" i="19" s="1"/>
  <c r="J67" i="48" l="1"/>
  <c r="J74" i="48"/>
  <c r="J83" i="48"/>
  <c r="J75" i="48"/>
  <c r="J82" i="48"/>
  <c r="J73" i="48"/>
  <c r="J81" i="48"/>
  <c r="J78" i="48"/>
  <c r="J85" i="48"/>
  <c r="J77" i="48"/>
  <c r="J72" i="48"/>
  <c r="J79" i="48"/>
  <c r="J69" i="48"/>
  <c r="J80" i="48"/>
  <c r="J87" i="48"/>
  <c r="J71" i="48"/>
  <c r="J88" i="48"/>
  <c r="J86" i="48"/>
  <c r="J70" i="48"/>
  <c r="J89" i="48"/>
  <c r="J68" i="48"/>
  <c r="J76" i="48"/>
  <c r="J84" i="48"/>
  <c r="J90" i="48"/>
  <c r="I67" i="48"/>
  <c r="I91" i="48" s="1"/>
  <c r="H91" i="48"/>
  <c r="J91" i="48"/>
  <c r="K91" i="48" l="1"/>
  <c r="E11" i="19" l="1"/>
  <c r="E10" i="22"/>
  <c r="E11" i="22" l="1"/>
  <c r="E12" i="19"/>
  <c r="H68" i="49"/>
  <c r="H93" i="49" s="1"/>
  <c r="B229" i="49" s="1"/>
  <c r="B393" i="49" s="1"/>
  <c r="D393" i="49" s="1"/>
  <c r="E393" i="49" s="1"/>
  <c r="F393" i="49" s="1"/>
  <c r="H66" i="49"/>
  <c r="H91" i="49" s="1"/>
  <c r="B227" i="49" s="1"/>
  <c r="B391" i="49" s="1"/>
  <c r="D391" i="49" s="1"/>
  <c r="E391" i="49" s="1"/>
  <c r="F391" i="49" s="1"/>
  <c r="H65" i="49"/>
  <c r="H90" i="49" s="1"/>
  <c r="B226" i="49" s="1"/>
  <c r="B390" i="49" s="1"/>
  <c r="D390" i="49" s="1"/>
  <c r="E390" i="49" s="1"/>
  <c r="F390" i="49" s="1"/>
  <c r="H60" i="49"/>
  <c r="H85" i="49" s="1"/>
  <c r="B221" i="49" s="1"/>
  <c r="B385" i="49" s="1"/>
  <c r="D385" i="49" s="1"/>
  <c r="E385" i="49" s="1"/>
  <c r="F385" i="49" s="1"/>
  <c r="H67" i="49"/>
  <c r="H92" i="49" s="1"/>
  <c r="B228" i="49" s="1"/>
  <c r="B392" i="49" s="1"/>
  <c r="D392" i="49" s="1"/>
  <c r="E392" i="49" s="1"/>
  <c r="F392" i="49" s="1"/>
  <c r="H61" i="49"/>
  <c r="H86" i="49" s="1"/>
  <c r="B222" i="49" s="1"/>
  <c r="B386" i="49" s="1"/>
  <c r="D386" i="49" s="1"/>
  <c r="E386" i="49" s="1"/>
  <c r="F386" i="49" s="1"/>
  <c r="H59" i="49"/>
  <c r="H84" i="49" s="1"/>
  <c r="B220" i="49" s="1"/>
  <c r="B384" i="49" s="1"/>
  <c r="D384" i="49" s="1"/>
  <c r="E384" i="49" s="1"/>
  <c r="F384" i="49" s="1"/>
  <c r="G82" i="49"/>
  <c r="H69" i="49"/>
  <c r="H94" i="49" s="1"/>
  <c r="B230" i="49" s="1"/>
  <c r="B394" i="49" s="1"/>
  <c r="D394" i="49" s="1"/>
  <c r="E394" i="49" s="1"/>
  <c r="F394" i="49" s="1"/>
  <c r="H73" i="49"/>
  <c r="H98" i="49" s="1"/>
  <c r="B234" i="49" s="1"/>
  <c r="B398" i="49" s="1"/>
  <c r="D398" i="49" s="1"/>
  <c r="E398" i="49" s="1"/>
  <c r="F398" i="49" s="1"/>
  <c r="H64" i="49"/>
  <c r="H89" i="49" s="1"/>
  <c r="B225" i="49" s="1"/>
  <c r="B389" i="49" s="1"/>
  <c r="D389" i="49" s="1"/>
  <c r="E389" i="49" s="1"/>
  <c r="F389" i="49" s="1"/>
  <c r="H63" i="49"/>
  <c r="H88" i="49" s="1"/>
  <c r="B224" i="49" s="1"/>
  <c r="B388" i="49" s="1"/>
  <c r="D388" i="49" s="1"/>
  <c r="E388" i="49" s="1"/>
  <c r="F388" i="49" s="1"/>
  <c r="H71" i="49"/>
  <c r="H96" i="49" s="1"/>
  <c r="B232" i="49" s="1"/>
  <c r="B396" i="49" s="1"/>
  <c r="D396" i="49" s="1"/>
  <c r="E396" i="49" s="1"/>
  <c r="F396" i="49" s="1"/>
  <c r="H72" i="49"/>
  <c r="H97" i="49" s="1"/>
  <c r="B233" i="49" s="1"/>
  <c r="B397" i="49" s="1"/>
  <c r="D397" i="49" s="1"/>
  <c r="E397" i="49" s="1"/>
  <c r="F397" i="49" s="1"/>
  <c r="H79" i="49"/>
  <c r="H104" i="49" s="1"/>
  <c r="B240" i="49" s="1"/>
  <c r="B404" i="49" s="1"/>
  <c r="D404" i="49" s="1"/>
  <c r="E404" i="49" s="1"/>
  <c r="F404" i="49" s="1"/>
  <c r="H58" i="49"/>
  <c r="H83" i="49" s="1"/>
  <c r="B219" i="49" s="1"/>
  <c r="B383" i="49" s="1"/>
  <c r="D383" i="49" s="1"/>
  <c r="E383" i="49" s="1"/>
  <c r="F383" i="49" s="1"/>
  <c r="H62" i="49"/>
  <c r="H87" i="49" s="1"/>
  <c r="B223" i="49" s="1"/>
  <c r="B387" i="49" s="1"/>
  <c r="D387" i="49" s="1"/>
  <c r="E387" i="49" s="1"/>
  <c r="F387" i="49" s="1"/>
  <c r="H80" i="49"/>
  <c r="H105" i="49" s="1"/>
  <c r="B241" i="49" s="1"/>
  <c r="B405" i="49" s="1"/>
  <c r="D405" i="49" s="1"/>
  <c r="E405" i="49" s="1"/>
  <c r="F405" i="49" s="1"/>
  <c r="H57" i="49"/>
  <c r="H76" i="49"/>
  <c r="H101" i="49" s="1"/>
  <c r="B237" i="49" s="1"/>
  <c r="B401" i="49" s="1"/>
  <c r="D401" i="49" s="1"/>
  <c r="E401" i="49" s="1"/>
  <c r="F401" i="49" s="1"/>
  <c r="H77" i="49"/>
  <c r="H102" i="49" s="1"/>
  <c r="B238" i="49" s="1"/>
  <c r="B402" i="49" s="1"/>
  <c r="D402" i="49" s="1"/>
  <c r="E402" i="49" s="1"/>
  <c r="F402" i="49" s="1"/>
  <c r="H74" i="49"/>
  <c r="H99" i="49" s="1"/>
  <c r="B235" i="49" s="1"/>
  <c r="B399" i="49" s="1"/>
  <c r="D399" i="49" s="1"/>
  <c r="E399" i="49" s="1"/>
  <c r="F399" i="49" s="1"/>
  <c r="H75" i="49"/>
  <c r="H100" i="49" s="1"/>
  <c r="B236" i="49" s="1"/>
  <c r="B400" i="49" s="1"/>
  <c r="D400" i="49" s="1"/>
  <c r="E400" i="49" s="1"/>
  <c r="F400" i="49" s="1"/>
  <c r="H78" i="49"/>
  <c r="H103" i="49" s="1"/>
  <c r="B239" i="49" s="1"/>
  <c r="B403" i="49" s="1"/>
  <c r="D403" i="49" s="1"/>
  <c r="E403" i="49" s="1"/>
  <c r="F403" i="49" s="1"/>
  <c r="H70" i="49"/>
  <c r="H95" i="49" s="1"/>
  <c r="B231" i="49" s="1"/>
  <c r="B395" i="49" s="1"/>
  <c r="D395" i="49" s="1"/>
  <c r="E395" i="49" s="1"/>
  <c r="F395" i="49" s="1"/>
  <c r="E12" i="22" l="1"/>
  <c r="H81" i="49"/>
  <c r="H106" i="49" s="1"/>
  <c r="J107" i="49" s="1"/>
  <c r="J108" i="49" s="1"/>
  <c r="B254" i="49"/>
  <c r="D223" i="49"/>
  <c r="B263" i="49"/>
  <c r="D232" i="49"/>
  <c r="D228" i="49"/>
  <c r="B259" i="49"/>
  <c r="B252" i="49"/>
  <c r="D221" i="49"/>
  <c r="D225" i="49"/>
  <c r="B256" i="49"/>
  <c r="D226" i="49"/>
  <c r="B257" i="49"/>
  <c r="D233" i="49"/>
  <c r="B264" i="49"/>
  <c r="B262" i="49"/>
  <c r="D231" i="49"/>
  <c r="B272" i="49"/>
  <c r="D241" i="49"/>
  <c r="B270" i="49"/>
  <c r="D239" i="49"/>
  <c r="D224" i="49"/>
  <c r="B255" i="49"/>
  <c r="D235" i="49"/>
  <c r="B266" i="49"/>
  <c r="D240" i="49"/>
  <c r="B271" i="49"/>
  <c r="B265" i="49"/>
  <c r="D234" i="49"/>
  <c r="B258" i="49"/>
  <c r="D227" i="49"/>
  <c r="B269" i="49"/>
  <c r="D238" i="49"/>
  <c r="H82" i="49"/>
  <c r="B218" i="49" s="1"/>
  <c r="B382" i="49" s="1"/>
  <c r="D382" i="49" s="1"/>
  <c r="D230" i="49"/>
  <c r="B261" i="49"/>
  <c r="D229" i="49"/>
  <c r="B260" i="49"/>
  <c r="D220" i="49"/>
  <c r="B251" i="49"/>
  <c r="D222" i="49"/>
  <c r="B253" i="49"/>
  <c r="D236" i="49"/>
  <c r="B267" i="49"/>
  <c r="B250" i="49"/>
  <c r="D219" i="49"/>
  <c r="B268" i="49"/>
  <c r="D237" i="49"/>
  <c r="B249" i="49" l="1"/>
  <c r="D218" i="49"/>
  <c r="D249" i="49" s="1"/>
  <c r="B242" i="49"/>
  <c r="D242" i="49" s="1"/>
  <c r="J106" i="49"/>
  <c r="E237" i="49"/>
  <c r="D268" i="49"/>
  <c r="D258" i="49"/>
  <c r="E227" i="49"/>
  <c r="D250" i="49"/>
  <c r="E219" i="49"/>
  <c r="E224" i="49"/>
  <c r="D255" i="49"/>
  <c r="E233" i="49"/>
  <c r="D264" i="49"/>
  <c r="E228" i="49"/>
  <c r="D259" i="49"/>
  <c r="E235" i="49"/>
  <c r="D266" i="49"/>
  <c r="E229" i="49"/>
  <c r="D260" i="49"/>
  <c r="D265" i="49"/>
  <c r="E234" i="49"/>
  <c r="D270" i="49"/>
  <c r="E239" i="49"/>
  <c r="E232" i="49"/>
  <c r="D263" i="49"/>
  <c r="D257" i="49"/>
  <c r="E226" i="49"/>
  <c r="D267" i="49"/>
  <c r="E236" i="49"/>
  <c r="D261" i="49"/>
  <c r="E230" i="49"/>
  <c r="E241" i="49"/>
  <c r="D272" i="49"/>
  <c r="D254" i="49"/>
  <c r="E223" i="49"/>
  <c r="E240" i="49"/>
  <c r="D271" i="49"/>
  <c r="E225" i="49"/>
  <c r="D256" i="49"/>
  <c r="E220" i="49"/>
  <c r="D251" i="49"/>
  <c r="D253" i="49"/>
  <c r="E222" i="49"/>
  <c r="E238" i="49"/>
  <c r="D269" i="49"/>
  <c r="E231" i="49"/>
  <c r="D262" i="49"/>
  <c r="D252" i="49"/>
  <c r="E221" i="49"/>
  <c r="E382" i="49"/>
  <c r="B243" i="49"/>
  <c r="B273" i="49"/>
  <c r="B274" i="49" s="1"/>
  <c r="B275" i="49" s="1"/>
  <c r="B407" i="49" l="1"/>
  <c r="D407" i="49" s="1"/>
  <c r="E407" i="49" s="1"/>
  <c r="F407" i="49" s="1"/>
  <c r="E218" i="49"/>
  <c r="F218" i="49" s="1"/>
  <c r="B244" i="49"/>
  <c r="B406" i="49"/>
  <c r="D406" i="49" s="1"/>
  <c r="E406" i="49" s="1"/>
  <c r="F406" i="49" s="1"/>
  <c r="F221" i="49"/>
  <c r="E252" i="49"/>
  <c r="F252" i="49" s="1"/>
  <c r="E253" i="49"/>
  <c r="F253" i="49" s="1"/>
  <c r="F222" i="49"/>
  <c r="F226" i="49"/>
  <c r="E257" i="49"/>
  <c r="F257" i="49" s="1"/>
  <c r="F229" i="49"/>
  <c r="E260" i="49"/>
  <c r="F260" i="49" s="1"/>
  <c r="F241" i="49"/>
  <c r="E272" i="49"/>
  <c r="F272" i="49" s="1"/>
  <c r="E261" i="49"/>
  <c r="F261" i="49" s="1"/>
  <c r="F230" i="49"/>
  <c r="E270" i="49"/>
  <c r="F270" i="49" s="1"/>
  <c r="F239" i="49"/>
  <c r="F231" i="49"/>
  <c r="E262" i="49"/>
  <c r="F262" i="49" s="1"/>
  <c r="F228" i="49"/>
  <c r="E259" i="49"/>
  <c r="F259" i="49" s="1"/>
  <c r="E254" i="49"/>
  <c r="F254" i="49" s="1"/>
  <c r="F223" i="49"/>
  <c r="F224" i="49"/>
  <c r="E255" i="49"/>
  <c r="F255" i="49" s="1"/>
  <c r="F219" i="49"/>
  <c r="E250" i="49"/>
  <c r="F250" i="49" s="1"/>
  <c r="F232" i="49"/>
  <c r="E263" i="49"/>
  <c r="F263" i="49" s="1"/>
  <c r="F236" i="49"/>
  <c r="E267" i="49"/>
  <c r="F267" i="49" s="1"/>
  <c r="E265" i="49"/>
  <c r="F265" i="49" s="1"/>
  <c r="F234" i="49"/>
  <c r="F220" i="49"/>
  <c r="E251" i="49"/>
  <c r="F251" i="49" s="1"/>
  <c r="F235" i="49"/>
  <c r="E266" i="49"/>
  <c r="F266" i="49" s="1"/>
  <c r="E258" i="49"/>
  <c r="F258" i="49" s="1"/>
  <c r="F227" i="49"/>
  <c r="F225" i="49"/>
  <c r="E256" i="49"/>
  <c r="F256" i="49" s="1"/>
  <c r="E269" i="49"/>
  <c r="F269" i="49" s="1"/>
  <c r="F238" i="49"/>
  <c r="F240" i="49"/>
  <c r="E271" i="49"/>
  <c r="F271" i="49" s="1"/>
  <c r="F233" i="49"/>
  <c r="E264" i="49"/>
  <c r="F264" i="49" s="1"/>
  <c r="F237" i="49"/>
  <c r="E268" i="49"/>
  <c r="F268" i="49" s="1"/>
  <c r="E242" i="49"/>
  <c r="D243" i="49"/>
  <c r="D273" i="49"/>
  <c r="D274" i="49" s="1"/>
  <c r="D275" i="49" s="1"/>
  <c r="D244" i="49"/>
  <c r="F382" i="49"/>
  <c r="E244" i="49" l="1"/>
  <c r="D408" i="49"/>
  <c r="B408" i="49"/>
  <c r="B409" i="49"/>
  <c r="G8" i="19"/>
  <c r="G7" i="19" s="1"/>
  <c r="E408" i="49"/>
  <c r="E249" i="49"/>
  <c r="F249" i="49" s="1"/>
  <c r="G8" i="22"/>
  <c r="E273" i="49"/>
  <c r="E243" i="49"/>
  <c r="F242" i="49"/>
  <c r="G7" i="22" l="1"/>
  <c r="G11" i="19"/>
  <c r="F273" i="49"/>
  <c r="F274" i="49" s="1"/>
  <c r="E274" i="49"/>
  <c r="E275" i="49" s="1"/>
  <c r="G12" i="19" l="1"/>
  <c r="G11" i="22"/>
  <c r="G12" i="22" l="1"/>
  <c r="N24" i="20" l="1"/>
  <c r="N32" i="20"/>
  <c r="N40" i="20"/>
  <c r="N35" i="20"/>
  <c r="N28" i="20"/>
  <c r="N29" i="20"/>
  <c r="N22" i="20"/>
  <c r="N38" i="20"/>
  <c r="N39" i="20"/>
  <c r="N25" i="20"/>
  <c r="N33" i="20"/>
  <c r="N41" i="20"/>
  <c r="N27" i="20"/>
  <c r="N44" i="20"/>
  <c r="N23" i="20"/>
  <c r="N26" i="20"/>
  <c r="N34" i="20"/>
  <c r="N42" i="20"/>
  <c r="N43" i="20"/>
  <c r="N36" i="20"/>
  <c r="N37" i="20"/>
  <c r="N30" i="20"/>
  <c r="N31" i="20"/>
  <c r="N21" i="20" l="1"/>
  <c r="N45" i="20" s="1"/>
  <c r="D11" i="20" s="1"/>
  <c r="G45" i="20"/>
  <c r="U6" i="23"/>
  <c r="U7" i="23"/>
  <c r="U8" i="23"/>
  <c r="U9" i="23"/>
  <c r="U10" i="23"/>
  <c r="U11" i="23"/>
  <c r="U12" i="23"/>
  <c r="U13" i="23"/>
  <c r="U14" i="23"/>
  <c r="U15" i="23"/>
  <c r="U16" i="23"/>
  <c r="U17" i="23"/>
  <c r="U18" i="23"/>
  <c r="U19" i="23"/>
  <c r="U20" i="23"/>
  <c r="U21" i="23"/>
  <c r="U22" i="23"/>
  <c r="U23" i="23"/>
  <c r="U24" i="23"/>
  <c r="U25" i="23"/>
  <c r="U26" i="23"/>
  <c r="U27" i="23"/>
  <c r="U28" i="23"/>
  <c r="B53" i="3" l="1"/>
  <c r="C24" i="31"/>
  <c r="C24" i="30"/>
  <c r="C52" i="47"/>
  <c r="B60" i="10"/>
  <c r="E28" i="31"/>
  <c r="E28" i="30"/>
  <c r="G17" i="30"/>
  <c r="B49" i="9"/>
  <c r="G17" i="31"/>
  <c r="B56" i="3"/>
  <c r="C27" i="30"/>
  <c r="C27" i="31"/>
  <c r="C13" i="30"/>
  <c r="C13" i="31"/>
  <c r="B42" i="3"/>
  <c r="B48" i="9"/>
  <c r="G16" i="31"/>
  <c r="G16" i="30"/>
  <c r="C48" i="47"/>
  <c r="B56" i="10"/>
  <c r="E24" i="31"/>
  <c r="E24" i="30"/>
  <c r="B42" i="9"/>
  <c r="G10" i="31"/>
  <c r="G10" i="30"/>
  <c r="C26" i="30"/>
  <c r="B55" i="3"/>
  <c r="C26" i="31"/>
  <c r="B48" i="3"/>
  <c r="C19" i="30"/>
  <c r="C19" i="31"/>
  <c r="C20" i="30"/>
  <c r="B49" i="3"/>
  <c r="C20" i="31"/>
  <c r="G6" i="30"/>
  <c r="B38" i="9"/>
  <c r="G6" i="31"/>
  <c r="C31" i="47"/>
  <c r="B39" i="10"/>
  <c r="E7" i="31"/>
  <c r="E7" i="30"/>
  <c r="B57" i="9"/>
  <c r="G25" i="30"/>
  <c r="G25" i="31"/>
  <c r="B38" i="3"/>
  <c r="C9" i="30"/>
  <c r="C9" i="31"/>
  <c r="C34" i="47"/>
  <c r="E10" i="30"/>
  <c r="E10" i="31"/>
  <c r="B42" i="10"/>
  <c r="B59" i="9"/>
  <c r="G27" i="31"/>
  <c r="G27" i="30"/>
  <c r="B52" i="9"/>
  <c r="G20" i="31"/>
  <c r="G20" i="30"/>
  <c r="B45" i="9"/>
  <c r="G13" i="30"/>
  <c r="G13" i="31"/>
  <c r="C38" i="47"/>
  <c r="B46" i="10"/>
  <c r="E14" i="31"/>
  <c r="E14" i="30"/>
  <c r="B52" i="3"/>
  <c r="C23" i="31"/>
  <c r="C23" i="30"/>
  <c r="C5" i="31"/>
  <c r="F29" i="23"/>
  <c r="C28" i="34" s="1"/>
  <c r="C61" i="34" s="1"/>
  <c r="C5" i="30"/>
  <c r="B34" i="3"/>
  <c r="G23" i="30"/>
  <c r="G23" i="31"/>
  <c r="B55" i="9"/>
  <c r="B56" i="9"/>
  <c r="G24" i="30"/>
  <c r="G24" i="31"/>
  <c r="C8" i="30"/>
  <c r="C8" i="31"/>
  <c r="B37" i="3"/>
  <c r="B58" i="9"/>
  <c r="G26" i="31"/>
  <c r="G26" i="30"/>
  <c r="B51" i="9"/>
  <c r="G19" i="31"/>
  <c r="G19" i="30"/>
  <c r="B44" i="9"/>
  <c r="G12" i="31"/>
  <c r="G12" i="30"/>
  <c r="G21" i="30"/>
  <c r="G21" i="31"/>
  <c r="B53" i="9"/>
  <c r="C30" i="47"/>
  <c r="B38" i="10"/>
  <c r="E6" i="30"/>
  <c r="E6" i="31"/>
  <c r="B36" i="3"/>
  <c r="C7" i="31"/>
  <c r="C7" i="30"/>
  <c r="C33" i="47"/>
  <c r="B41" i="10"/>
  <c r="E9" i="31"/>
  <c r="E9" i="30"/>
  <c r="B46" i="3"/>
  <c r="C17" i="31"/>
  <c r="C17" i="30"/>
  <c r="C50" i="47"/>
  <c r="E26" i="30"/>
  <c r="E26" i="31"/>
  <c r="B58" i="10"/>
  <c r="C43" i="47"/>
  <c r="B51" i="10"/>
  <c r="E19" i="30"/>
  <c r="E19" i="31"/>
  <c r="G28" i="31"/>
  <c r="G28" i="30"/>
  <c r="B60" i="9"/>
  <c r="C37" i="47"/>
  <c r="E13" i="30"/>
  <c r="B45" i="10"/>
  <c r="E13" i="31"/>
  <c r="C22" i="30"/>
  <c r="B51" i="3"/>
  <c r="C22" i="31"/>
  <c r="C28" i="31"/>
  <c r="B57" i="3"/>
  <c r="C28" i="30"/>
  <c r="G22" i="31"/>
  <c r="G22" i="30"/>
  <c r="B54" i="9"/>
  <c r="C39" i="47"/>
  <c r="E15" i="30"/>
  <c r="B47" i="10"/>
  <c r="E15" i="31"/>
  <c r="B40" i="9"/>
  <c r="G8" i="31"/>
  <c r="G8" i="30"/>
  <c r="C10" i="31"/>
  <c r="C10" i="30"/>
  <c r="B39" i="3"/>
  <c r="B47" i="9"/>
  <c r="G15" i="31"/>
  <c r="G15" i="30"/>
  <c r="B50" i="9"/>
  <c r="G18" i="30"/>
  <c r="G18" i="31"/>
  <c r="B41" i="3"/>
  <c r="C12" i="30"/>
  <c r="C12" i="31"/>
  <c r="C47" i="47"/>
  <c r="B55" i="10"/>
  <c r="E23" i="31"/>
  <c r="E23" i="30"/>
  <c r="U5" i="23"/>
  <c r="P29" i="23"/>
  <c r="C32" i="47"/>
  <c r="E8" i="30"/>
  <c r="E8" i="31"/>
  <c r="B40" i="10"/>
  <c r="B45" i="3"/>
  <c r="C16" i="31"/>
  <c r="C16" i="30"/>
  <c r="C42" i="47"/>
  <c r="B50" i="10"/>
  <c r="E18" i="31"/>
  <c r="E18" i="30"/>
  <c r="C35" i="47"/>
  <c r="E11" i="30"/>
  <c r="B43" i="10"/>
  <c r="E11" i="31"/>
  <c r="C36" i="47"/>
  <c r="E12" i="30"/>
  <c r="B44" i="10"/>
  <c r="E12" i="31"/>
  <c r="C45" i="47"/>
  <c r="B53" i="10"/>
  <c r="E21" i="31"/>
  <c r="E21" i="30"/>
  <c r="C6" i="30"/>
  <c r="B35" i="3"/>
  <c r="C6" i="31"/>
  <c r="G9" i="30"/>
  <c r="B41" i="9"/>
  <c r="G9" i="31"/>
  <c r="C41" i="47"/>
  <c r="E17" i="30"/>
  <c r="B49" i="10"/>
  <c r="E17" i="31"/>
  <c r="C25" i="30"/>
  <c r="B54" i="3"/>
  <c r="C25" i="31"/>
  <c r="B47" i="3"/>
  <c r="C18" i="30"/>
  <c r="C18" i="31"/>
  <c r="C11" i="30"/>
  <c r="B40" i="3"/>
  <c r="C11" i="31"/>
  <c r="C44" i="47"/>
  <c r="E20" i="30"/>
  <c r="B52" i="10"/>
  <c r="E20" i="31"/>
  <c r="C29" i="47"/>
  <c r="B37" i="10"/>
  <c r="E5" i="30"/>
  <c r="E5" i="31"/>
  <c r="H29" i="23"/>
  <c r="BF29" i="23" s="1"/>
  <c r="X29" i="31" s="1"/>
  <c r="P63" i="30" s="1"/>
  <c r="G7" i="30"/>
  <c r="B39" i="9"/>
  <c r="G7" i="31"/>
  <c r="B37" i="9"/>
  <c r="J29" i="23"/>
  <c r="BP29" i="23" s="1"/>
  <c r="AH29" i="31" s="1"/>
  <c r="G5" i="31"/>
  <c r="G5" i="30"/>
  <c r="C46" i="47"/>
  <c r="E22" i="30"/>
  <c r="B54" i="10"/>
  <c r="E22" i="31"/>
  <c r="C15" i="30"/>
  <c r="C15" i="31"/>
  <c r="B44" i="3"/>
  <c r="C40" i="47"/>
  <c r="E16" i="31"/>
  <c r="E16" i="30"/>
  <c r="B48" i="10"/>
  <c r="C51" i="47"/>
  <c r="B59" i="10"/>
  <c r="E27" i="31"/>
  <c r="E27" i="30"/>
  <c r="C21" i="30"/>
  <c r="B50" i="3"/>
  <c r="C21" i="31"/>
  <c r="C49" i="47"/>
  <c r="B57" i="10"/>
  <c r="E25" i="31"/>
  <c r="E25" i="30"/>
  <c r="B43" i="9"/>
  <c r="G11" i="30"/>
  <c r="G11" i="31"/>
  <c r="B46" i="9"/>
  <c r="G14" i="30"/>
  <c r="G14" i="31"/>
  <c r="B43" i="3"/>
  <c r="C14" i="31"/>
  <c r="C14" i="30"/>
  <c r="D12" i="20"/>
  <c r="D13" i="20"/>
  <c r="BG29" i="23" l="1"/>
  <c r="Y29" i="31" s="1"/>
  <c r="AA63" i="30" s="1"/>
  <c r="BH29" i="23"/>
  <c r="Z29" i="31" s="1"/>
  <c r="Q28" i="34"/>
  <c r="Q61" i="34" s="1"/>
  <c r="BN29" i="23"/>
  <c r="AF29" i="31" s="1"/>
  <c r="R63" i="30" s="1"/>
  <c r="BO29" i="23"/>
  <c r="AG29" i="31" s="1"/>
  <c r="AC63" i="30" s="1"/>
  <c r="AO29" i="23"/>
  <c r="AC28" i="34"/>
  <c r="AC61" i="34" s="1"/>
  <c r="AW29" i="23"/>
  <c r="E28" i="34"/>
  <c r="E61" i="34" s="1"/>
  <c r="AN4" i="60"/>
  <c r="R98" i="30"/>
  <c r="G98" i="30"/>
  <c r="AC98" i="30"/>
  <c r="G29" i="30"/>
  <c r="G92" i="30" s="1"/>
  <c r="AJ27" i="60"/>
  <c r="Y121" i="30"/>
  <c r="N121" i="30"/>
  <c r="C121" i="30"/>
  <c r="I116" i="9"/>
  <c r="O151" i="9"/>
  <c r="P151" i="9"/>
  <c r="H116" i="9"/>
  <c r="N151" i="9"/>
  <c r="G116" i="9"/>
  <c r="N53" i="9"/>
  <c r="G68" i="14" s="1"/>
  <c r="B83" i="9"/>
  <c r="L53" i="9"/>
  <c r="M53" i="9"/>
  <c r="K53" i="9"/>
  <c r="AJ4" i="60"/>
  <c r="C98" i="30"/>
  <c r="N98" i="30"/>
  <c r="C29" i="30"/>
  <c r="N92" i="30" s="1"/>
  <c r="Y98" i="30"/>
  <c r="AJ22" i="60"/>
  <c r="Y116" i="30"/>
  <c r="C116" i="30"/>
  <c r="N116" i="30"/>
  <c r="AN12" i="60"/>
  <c r="AC106" i="30"/>
  <c r="G106" i="30"/>
  <c r="R106" i="30"/>
  <c r="AL24" i="60"/>
  <c r="P118" i="30"/>
  <c r="AA118" i="30"/>
  <c r="E118" i="30"/>
  <c r="I100" i="10"/>
  <c r="B61" i="10"/>
  <c r="B62" i="10" s="1"/>
  <c r="G100" i="10"/>
  <c r="L37" i="10"/>
  <c r="AB41" i="10"/>
  <c r="K37" i="10"/>
  <c r="M37" i="10"/>
  <c r="B67" i="10"/>
  <c r="P135" i="10"/>
  <c r="AC41" i="10"/>
  <c r="N135" i="10"/>
  <c r="O135" i="10"/>
  <c r="H100" i="10"/>
  <c r="AN14" i="60"/>
  <c r="G108" i="30"/>
  <c r="R108" i="30"/>
  <c r="AC108" i="30"/>
  <c r="G102" i="3"/>
  <c r="H102" i="3"/>
  <c r="M39" i="3"/>
  <c r="K39" i="3"/>
  <c r="L39" i="3"/>
  <c r="P137" i="3"/>
  <c r="O137" i="3"/>
  <c r="B69" i="3"/>
  <c r="I102" i="3"/>
  <c r="N39" i="3"/>
  <c r="C57" i="14" s="1"/>
  <c r="N137" i="3"/>
  <c r="G119" i="10"/>
  <c r="H119" i="10"/>
  <c r="I119" i="10"/>
  <c r="K56" i="10"/>
  <c r="P154" i="10"/>
  <c r="N154" i="10"/>
  <c r="M56" i="10"/>
  <c r="B86" i="10"/>
  <c r="L56" i="10"/>
  <c r="O154" i="10"/>
  <c r="AL15" i="60"/>
  <c r="E109" i="30"/>
  <c r="P109" i="30"/>
  <c r="AA109" i="30"/>
  <c r="I112" i="9"/>
  <c r="G112" i="9"/>
  <c r="H112" i="9"/>
  <c r="L49" i="9"/>
  <c r="K49" i="9"/>
  <c r="O147" i="9"/>
  <c r="N49" i="9"/>
  <c r="G64" i="14" s="1"/>
  <c r="N147" i="9"/>
  <c r="P147" i="9"/>
  <c r="B79" i="9"/>
  <c r="M49" i="9"/>
  <c r="AJ14" i="60"/>
  <c r="N108" i="30"/>
  <c r="Y108" i="30"/>
  <c r="C108" i="30"/>
  <c r="G106" i="9"/>
  <c r="I106" i="9"/>
  <c r="B73" i="9"/>
  <c r="L43" i="9"/>
  <c r="P141" i="9"/>
  <c r="N141" i="9"/>
  <c r="K43" i="9"/>
  <c r="H106" i="9"/>
  <c r="O141" i="9"/>
  <c r="N43" i="9"/>
  <c r="G58" i="14" s="1"/>
  <c r="M43" i="9"/>
  <c r="AL4" i="60"/>
  <c r="P98" i="30"/>
  <c r="E98" i="30"/>
  <c r="AA98" i="30"/>
  <c r="E29" i="30"/>
  <c r="AA92" i="30" s="1"/>
  <c r="AL16" i="60"/>
  <c r="E110" i="30"/>
  <c r="P110" i="30"/>
  <c r="AA110" i="30"/>
  <c r="G113" i="9"/>
  <c r="I113" i="9"/>
  <c r="O148" i="9"/>
  <c r="M50" i="9"/>
  <c r="L50" i="9"/>
  <c r="B80" i="9"/>
  <c r="H113" i="9"/>
  <c r="N50" i="9"/>
  <c r="G65" i="14" s="1"/>
  <c r="N148" i="9"/>
  <c r="K50" i="9"/>
  <c r="P148" i="9"/>
  <c r="AL8" i="60"/>
  <c r="AA102" i="30"/>
  <c r="E102" i="30"/>
  <c r="P102" i="30"/>
  <c r="I118" i="9"/>
  <c r="G118" i="9"/>
  <c r="M55" i="9"/>
  <c r="O153" i="9"/>
  <c r="N153" i="9"/>
  <c r="H118" i="9"/>
  <c r="B85" i="9"/>
  <c r="N55" i="9"/>
  <c r="G70" i="14" s="1"/>
  <c r="L55" i="9"/>
  <c r="K55" i="9"/>
  <c r="P153" i="9"/>
  <c r="I119" i="3"/>
  <c r="H119" i="3"/>
  <c r="N154" i="3"/>
  <c r="L56" i="3"/>
  <c r="M56" i="3"/>
  <c r="P154" i="3"/>
  <c r="N56" i="3"/>
  <c r="C74" i="14" s="1"/>
  <c r="G119" i="3"/>
  <c r="K56" i="3"/>
  <c r="O154" i="3"/>
  <c r="B86" i="3"/>
  <c r="G107" i="3"/>
  <c r="P142" i="3"/>
  <c r="I107" i="3"/>
  <c r="N44" i="3"/>
  <c r="C62" i="14" s="1"/>
  <c r="O142" i="3"/>
  <c r="N142" i="3"/>
  <c r="H107" i="3"/>
  <c r="B74" i="3"/>
  <c r="L44" i="3"/>
  <c r="K44" i="3"/>
  <c r="M44" i="3"/>
  <c r="G29" i="31"/>
  <c r="AL17" i="60"/>
  <c r="E111" i="30"/>
  <c r="P111" i="30"/>
  <c r="AA111" i="30"/>
  <c r="AJ15" i="60"/>
  <c r="C109" i="30"/>
  <c r="Y109" i="30"/>
  <c r="N109" i="30"/>
  <c r="AN21" i="60"/>
  <c r="AC115" i="30"/>
  <c r="G115" i="30"/>
  <c r="R115" i="30"/>
  <c r="G120" i="3"/>
  <c r="H120" i="3"/>
  <c r="K57" i="3"/>
  <c r="I120" i="3"/>
  <c r="M57" i="3"/>
  <c r="N57" i="3"/>
  <c r="C75" i="14" s="1"/>
  <c r="O155" i="3"/>
  <c r="N155" i="3"/>
  <c r="L57" i="3"/>
  <c r="P155" i="3"/>
  <c r="B87" i="3"/>
  <c r="AJ21" i="60"/>
  <c r="N115" i="30"/>
  <c r="Y115" i="30"/>
  <c r="C115" i="30"/>
  <c r="AJ6" i="60"/>
  <c r="C100" i="30"/>
  <c r="N100" i="30"/>
  <c r="Y100" i="30"/>
  <c r="AN25" i="60"/>
  <c r="G119" i="30"/>
  <c r="R119" i="30"/>
  <c r="AC119" i="30"/>
  <c r="H108" i="9"/>
  <c r="N143" i="9"/>
  <c r="M45" i="9"/>
  <c r="N45" i="9"/>
  <c r="G60" i="14" s="1"/>
  <c r="K45" i="9"/>
  <c r="I108" i="9"/>
  <c r="G108" i="9"/>
  <c r="B75" i="9"/>
  <c r="L45" i="9"/>
  <c r="O143" i="9"/>
  <c r="P143" i="9"/>
  <c r="AJ12" i="60"/>
  <c r="C106" i="30"/>
  <c r="N106" i="30"/>
  <c r="Y106" i="30"/>
  <c r="M43" i="3"/>
  <c r="G106" i="3"/>
  <c r="I106" i="3"/>
  <c r="O141" i="3"/>
  <c r="B73" i="3"/>
  <c r="K43" i="3"/>
  <c r="L43" i="3"/>
  <c r="P141" i="3"/>
  <c r="N141" i="3"/>
  <c r="H106" i="3"/>
  <c r="N43" i="3"/>
  <c r="C61" i="14" s="1"/>
  <c r="C53" i="47"/>
  <c r="E41" i="47" s="1"/>
  <c r="F41" i="47" s="1"/>
  <c r="H107" i="10"/>
  <c r="M44" i="10"/>
  <c r="K44" i="10"/>
  <c r="L44" i="10"/>
  <c r="G107" i="10"/>
  <c r="O142" i="10"/>
  <c r="I107" i="10"/>
  <c r="N142" i="10"/>
  <c r="P142" i="10"/>
  <c r="B74" i="10"/>
  <c r="AJ9" i="60"/>
  <c r="N103" i="30"/>
  <c r="C103" i="30"/>
  <c r="Y103" i="30"/>
  <c r="AL18" i="60"/>
  <c r="E112" i="30"/>
  <c r="AA112" i="30"/>
  <c r="P112" i="30"/>
  <c r="AN20" i="60"/>
  <c r="R114" i="30"/>
  <c r="AC114" i="30"/>
  <c r="G114" i="30"/>
  <c r="H100" i="3"/>
  <c r="I100" i="3"/>
  <c r="G100" i="3"/>
  <c r="M37" i="3"/>
  <c r="P135" i="3"/>
  <c r="O135" i="3"/>
  <c r="B67" i="3"/>
  <c r="L37" i="3"/>
  <c r="N135" i="3"/>
  <c r="K37" i="3"/>
  <c r="N37" i="3"/>
  <c r="C55" i="14" s="1"/>
  <c r="AN22" i="60"/>
  <c r="R116" i="30"/>
  <c r="AC116" i="30"/>
  <c r="G116" i="30"/>
  <c r="C29" i="31"/>
  <c r="P29" i="31" s="1"/>
  <c r="N63" i="30" s="1"/>
  <c r="AL9" i="60"/>
  <c r="AA103" i="30"/>
  <c r="E103" i="30"/>
  <c r="P103" i="30"/>
  <c r="G118" i="3"/>
  <c r="H118" i="3"/>
  <c r="I118" i="3"/>
  <c r="L55" i="3"/>
  <c r="M55" i="3"/>
  <c r="K55" i="3"/>
  <c r="O153" i="3"/>
  <c r="P153" i="3"/>
  <c r="B85" i="3"/>
  <c r="N55" i="3"/>
  <c r="C73" i="14" s="1"/>
  <c r="N153" i="3"/>
  <c r="I113" i="3"/>
  <c r="G113" i="3"/>
  <c r="K50" i="3"/>
  <c r="M50" i="3"/>
  <c r="H113" i="3"/>
  <c r="L50" i="3"/>
  <c r="O148" i="3"/>
  <c r="P148" i="3"/>
  <c r="B80" i="3"/>
  <c r="N50" i="3"/>
  <c r="C68" i="14" s="1"/>
  <c r="N148" i="3"/>
  <c r="P133" i="3"/>
  <c r="O133" i="3"/>
  <c r="I98" i="3"/>
  <c r="N133" i="3"/>
  <c r="H98" i="3"/>
  <c r="M35" i="3"/>
  <c r="L35" i="3"/>
  <c r="K35" i="3"/>
  <c r="N35" i="3"/>
  <c r="C53" i="14" s="1"/>
  <c r="B65" i="3"/>
  <c r="G98" i="3"/>
  <c r="H113" i="10"/>
  <c r="I113" i="10"/>
  <c r="M50" i="10"/>
  <c r="L50" i="10"/>
  <c r="B80" i="10"/>
  <c r="O148" i="10"/>
  <c r="N148" i="10"/>
  <c r="K50" i="10"/>
  <c r="P148" i="10"/>
  <c r="G113" i="10"/>
  <c r="G108" i="3"/>
  <c r="P143" i="3"/>
  <c r="H108" i="3"/>
  <c r="N143" i="3"/>
  <c r="B75" i="3"/>
  <c r="M45" i="3"/>
  <c r="K45" i="3"/>
  <c r="L45" i="3"/>
  <c r="O143" i="3"/>
  <c r="I108" i="3"/>
  <c r="N45" i="3"/>
  <c r="C63" i="14" s="1"/>
  <c r="AL22" i="60"/>
  <c r="P116" i="30"/>
  <c r="AA116" i="30"/>
  <c r="E116" i="30"/>
  <c r="G110" i="9"/>
  <c r="I110" i="9"/>
  <c r="H110" i="9"/>
  <c r="K47" i="9"/>
  <c r="N47" i="9"/>
  <c r="G62" i="14" s="1"/>
  <c r="O145" i="9"/>
  <c r="P145" i="9"/>
  <c r="L47" i="9"/>
  <c r="B77" i="9"/>
  <c r="M47" i="9"/>
  <c r="N145" i="9"/>
  <c r="I99" i="3"/>
  <c r="O134" i="3"/>
  <c r="P134" i="3"/>
  <c r="M36" i="3"/>
  <c r="L36" i="3"/>
  <c r="G99" i="3"/>
  <c r="H99" i="3"/>
  <c r="K36" i="3"/>
  <c r="B66" i="3"/>
  <c r="N36" i="3"/>
  <c r="C54" i="14" s="1"/>
  <c r="N134" i="3"/>
  <c r="AN11" i="60"/>
  <c r="AC105" i="30"/>
  <c r="R105" i="30"/>
  <c r="G105" i="30"/>
  <c r="G121" i="9"/>
  <c r="B88" i="9"/>
  <c r="K58" i="9"/>
  <c r="I121" i="9"/>
  <c r="L58" i="9"/>
  <c r="P156" i="9"/>
  <c r="O156" i="9"/>
  <c r="H121" i="9"/>
  <c r="M58" i="9"/>
  <c r="N58" i="9"/>
  <c r="G73" i="14" s="1"/>
  <c r="N156" i="9"/>
  <c r="H101" i="3"/>
  <c r="B68" i="3"/>
  <c r="G101" i="3"/>
  <c r="M38" i="3"/>
  <c r="I101" i="3"/>
  <c r="K38" i="3"/>
  <c r="N38" i="3"/>
  <c r="C56" i="14" s="1"/>
  <c r="L38" i="3"/>
  <c r="P136" i="3"/>
  <c r="O136" i="3"/>
  <c r="N136" i="3"/>
  <c r="H112" i="3"/>
  <c r="I112" i="3"/>
  <c r="G112" i="3"/>
  <c r="O147" i="3"/>
  <c r="P147" i="3"/>
  <c r="N147" i="3"/>
  <c r="L49" i="3"/>
  <c r="K49" i="3"/>
  <c r="M49" i="3"/>
  <c r="B79" i="3"/>
  <c r="N49" i="3"/>
  <c r="C67" i="14" s="1"/>
  <c r="AJ25" i="60"/>
  <c r="N119" i="30"/>
  <c r="Y119" i="30"/>
  <c r="C119" i="30"/>
  <c r="AJ13" i="60"/>
  <c r="C107" i="30"/>
  <c r="N107" i="30"/>
  <c r="Y107" i="30"/>
  <c r="U29" i="23"/>
  <c r="G117" i="9"/>
  <c r="B84" i="9"/>
  <c r="K54" i="9"/>
  <c r="O152" i="9"/>
  <c r="M54" i="9"/>
  <c r="N152" i="9"/>
  <c r="L54" i="9"/>
  <c r="I117" i="9"/>
  <c r="H117" i="9"/>
  <c r="N54" i="9"/>
  <c r="G69" i="14" s="1"/>
  <c r="P152" i="9"/>
  <c r="H114" i="3"/>
  <c r="G114" i="3"/>
  <c r="K51" i="3"/>
  <c r="N51" i="3"/>
  <c r="C69" i="14" s="1"/>
  <c r="O149" i="3"/>
  <c r="I114" i="3"/>
  <c r="N149" i="3"/>
  <c r="B81" i="3"/>
  <c r="L51" i="3"/>
  <c r="M51" i="3"/>
  <c r="P149" i="3"/>
  <c r="G114" i="9"/>
  <c r="N51" i="9"/>
  <c r="G66" i="14" s="1"/>
  <c r="P149" i="9"/>
  <c r="M51" i="9"/>
  <c r="K51" i="9"/>
  <c r="B81" i="9"/>
  <c r="L51" i="9"/>
  <c r="H114" i="9"/>
  <c r="I114" i="9"/>
  <c r="O149" i="9"/>
  <c r="N149" i="9"/>
  <c r="O140" i="10"/>
  <c r="P140" i="10"/>
  <c r="N140" i="10"/>
  <c r="K42" i="10"/>
  <c r="H105" i="10"/>
  <c r="L42" i="10"/>
  <c r="I105" i="10"/>
  <c r="M42" i="10"/>
  <c r="B72" i="10"/>
  <c r="G105" i="10"/>
  <c r="G111" i="10"/>
  <c r="K48" i="10"/>
  <c r="H111" i="10"/>
  <c r="I111" i="10"/>
  <c r="N146" i="10"/>
  <c r="L48" i="10"/>
  <c r="O146" i="10"/>
  <c r="P146" i="10"/>
  <c r="B78" i="10"/>
  <c r="M48" i="10"/>
  <c r="O28" i="34"/>
  <c r="O61" i="34" s="1"/>
  <c r="H102" i="10"/>
  <c r="G102" i="10"/>
  <c r="B69" i="10"/>
  <c r="L39" i="10"/>
  <c r="O137" i="10"/>
  <c r="N137" i="10"/>
  <c r="I102" i="10"/>
  <c r="P137" i="10"/>
  <c r="K39" i="10"/>
  <c r="M39" i="10"/>
  <c r="G104" i="10"/>
  <c r="I104" i="10"/>
  <c r="O139" i="10"/>
  <c r="P139" i="10"/>
  <c r="N139" i="10"/>
  <c r="H104" i="10"/>
  <c r="B71" i="10"/>
  <c r="K41" i="10"/>
  <c r="L41" i="10"/>
  <c r="M41" i="10"/>
  <c r="AZ29" i="23"/>
  <c r="N52" i="3"/>
  <c r="C70" i="14" s="1"/>
  <c r="H115" i="3"/>
  <c r="O150" i="3"/>
  <c r="I115" i="3"/>
  <c r="P150" i="3"/>
  <c r="B82" i="3"/>
  <c r="K52" i="3"/>
  <c r="G115" i="3"/>
  <c r="M52" i="3"/>
  <c r="N150" i="3"/>
  <c r="L52" i="3"/>
  <c r="AN19" i="60"/>
  <c r="R113" i="30"/>
  <c r="AC113" i="30"/>
  <c r="G113" i="30"/>
  <c r="AJ8" i="60"/>
  <c r="Y102" i="30"/>
  <c r="C102" i="30"/>
  <c r="N102" i="30"/>
  <c r="M57" i="10"/>
  <c r="O155" i="10"/>
  <c r="P155" i="10"/>
  <c r="H120" i="10"/>
  <c r="I120" i="10"/>
  <c r="B87" i="10"/>
  <c r="L57" i="10"/>
  <c r="G120" i="10"/>
  <c r="K57" i="10"/>
  <c r="N155" i="10"/>
  <c r="AE28" i="34"/>
  <c r="AE61" i="34" s="1"/>
  <c r="G100" i="9"/>
  <c r="P135" i="9"/>
  <c r="N135" i="9"/>
  <c r="M37" i="9"/>
  <c r="O135" i="9"/>
  <c r="N37" i="9"/>
  <c r="K37" i="9"/>
  <c r="B67" i="9"/>
  <c r="H100" i="9"/>
  <c r="I100" i="9"/>
  <c r="L37" i="9"/>
  <c r="B61" i="9"/>
  <c r="H61" i="9" s="1"/>
  <c r="G104" i="9"/>
  <c r="P139" i="9"/>
  <c r="O139" i="9"/>
  <c r="N41" i="9"/>
  <c r="G56" i="14" s="1"/>
  <c r="N139" i="9"/>
  <c r="I104" i="9"/>
  <c r="B71" i="9"/>
  <c r="L41" i="9"/>
  <c r="K41" i="9"/>
  <c r="M41" i="9"/>
  <c r="H104" i="9"/>
  <c r="AL11" i="60"/>
  <c r="P105" i="30"/>
  <c r="AA105" i="30"/>
  <c r="E105" i="30"/>
  <c r="G108" i="10"/>
  <c r="H108" i="10"/>
  <c r="M45" i="10"/>
  <c r="B75" i="10"/>
  <c r="K45" i="10"/>
  <c r="I108" i="10"/>
  <c r="P143" i="10"/>
  <c r="N143" i="10"/>
  <c r="L45" i="10"/>
  <c r="O143" i="10"/>
  <c r="I114" i="10"/>
  <c r="K51" i="10"/>
  <c r="M51" i="10"/>
  <c r="L51" i="10"/>
  <c r="G114" i="10"/>
  <c r="H114" i="10"/>
  <c r="O149" i="10"/>
  <c r="N149" i="10"/>
  <c r="B81" i="10"/>
  <c r="P149" i="10"/>
  <c r="AY29" i="23"/>
  <c r="AL13" i="60"/>
  <c r="E107" i="30"/>
  <c r="P107" i="30"/>
  <c r="AA107" i="30"/>
  <c r="AJ18" i="60"/>
  <c r="N112" i="30"/>
  <c r="Y112" i="30"/>
  <c r="C112" i="30"/>
  <c r="AN15" i="60"/>
  <c r="G109" i="30"/>
  <c r="R109" i="30"/>
  <c r="AC109" i="30"/>
  <c r="AN16" i="60"/>
  <c r="G110" i="30"/>
  <c r="R110" i="30"/>
  <c r="AC110" i="30"/>
  <c r="AN13" i="60"/>
  <c r="AC107" i="30"/>
  <c r="G107" i="30"/>
  <c r="R107" i="30"/>
  <c r="AJ20" i="60"/>
  <c r="N114" i="30"/>
  <c r="Y114" i="30"/>
  <c r="C114" i="30"/>
  <c r="S28" i="34"/>
  <c r="S61" i="34" s="1"/>
  <c r="G115" i="10"/>
  <c r="I115" i="10"/>
  <c r="H115" i="10"/>
  <c r="O150" i="10"/>
  <c r="N150" i="10"/>
  <c r="K52" i="10"/>
  <c r="L52" i="10"/>
  <c r="B82" i="10"/>
  <c r="M52" i="10"/>
  <c r="P150" i="10"/>
  <c r="AN8" i="60"/>
  <c r="G102" i="30"/>
  <c r="AC102" i="30"/>
  <c r="R102" i="30"/>
  <c r="H103" i="10"/>
  <c r="I103" i="10"/>
  <c r="G103" i="10"/>
  <c r="M40" i="10"/>
  <c r="O138" i="10"/>
  <c r="P138" i="10"/>
  <c r="N138" i="10"/>
  <c r="B70" i="10"/>
  <c r="L40" i="10"/>
  <c r="K40" i="10"/>
  <c r="AL12" i="60"/>
  <c r="AA106" i="30"/>
  <c r="E106" i="30"/>
  <c r="P106" i="30"/>
  <c r="G115" i="9"/>
  <c r="I115" i="9"/>
  <c r="L52" i="9"/>
  <c r="B82" i="9"/>
  <c r="K52" i="9"/>
  <c r="P150" i="9"/>
  <c r="O150" i="9"/>
  <c r="H115" i="9"/>
  <c r="N52" i="9"/>
  <c r="G67" i="14" s="1"/>
  <c r="N150" i="9"/>
  <c r="M52" i="9"/>
  <c r="AN9" i="60"/>
  <c r="G103" i="30"/>
  <c r="R103" i="30"/>
  <c r="AC103" i="30"/>
  <c r="K46" i="9"/>
  <c r="I109" i="9"/>
  <c r="G109" i="9"/>
  <c r="M46" i="9"/>
  <c r="N144" i="9"/>
  <c r="P144" i="9"/>
  <c r="B76" i="9"/>
  <c r="H109" i="9"/>
  <c r="N46" i="9"/>
  <c r="G61" i="14" s="1"/>
  <c r="L46" i="9"/>
  <c r="O144" i="9"/>
  <c r="AL26" i="60"/>
  <c r="E120" i="30"/>
  <c r="P120" i="30"/>
  <c r="AA120" i="30"/>
  <c r="G117" i="10"/>
  <c r="L54" i="10"/>
  <c r="H117" i="10"/>
  <c r="B84" i="10"/>
  <c r="I117" i="10"/>
  <c r="P152" i="10"/>
  <c r="N152" i="10"/>
  <c r="M54" i="10"/>
  <c r="K54" i="10"/>
  <c r="O152" i="10"/>
  <c r="G28" i="34"/>
  <c r="G61" i="34" s="1"/>
  <c r="I102" i="9"/>
  <c r="G102" i="9"/>
  <c r="L39" i="9"/>
  <c r="M39" i="9"/>
  <c r="O137" i="9"/>
  <c r="P137" i="9"/>
  <c r="N137" i="9"/>
  <c r="N39" i="9"/>
  <c r="G54" i="14" s="1"/>
  <c r="H102" i="9"/>
  <c r="K39" i="9"/>
  <c r="B69" i="9"/>
  <c r="AL19" i="60"/>
  <c r="P113" i="30"/>
  <c r="AA113" i="30"/>
  <c r="E113" i="30"/>
  <c r="I103" i="3"/>
  <c r="G103" i="3"/>
  <c r="M40" i="3"/>
  <c r="H103" i="3"/>
  <c r="L40" i="3"/>
  <c r="N40" i="3"/>
  <c r="C58" i="14" s="1"/>
  <c r="O138" i="3"/>
  <c r="N138" i="3"/>
  <c r="B70" i="3"/>
  <c r="K40" i="3"/>
  <c r="P138" i="3"/>
  <c r="I110" i="3"/>
  <c r="H110" i="3"/>
  <c r="O145" i="3"/>
  <c r="N145" i="3"/>
  <c r="B77" i="3"/>
  <c r="L47" i="3"/>
  <c r="K47" i="3"/>
  <c r="N47" i="3"/>
  <c r="C65" i="14" s="1"/>
  <c r="P145" i="3"/>
  <c r="G110" i="3"/>
  <c r="M47" i="3"/>
  <c r="AJ24" i="60"/>
  <c r="Y118" i="30"/>
  <c r="N118" i="30"/>
  <c r="C118" i="30"/>
  <c r="AL20" i="60"/>
  <c r="E114" i="30"/>
  <c r="AA114" i="30"/>
  <c r="P114" i="30"/>
  <c r="H118" i="10"/>
  <c r="G118" i="10"/>
  <c r="M55" i="10"/>
  <c r="L55" i="10"/>
  <c r="I118" i="10"/>
  <c r="N153" i="10"/>
  <c r="B85" i="10"/>
  <c r="K55" i="10"/>
  <c r="O153" i="10"/>
  <c r="P153" i="10"/>
  <c r="H104" i="3"/>
  <c r="G104" i="3"/>
  <c r="K41" i="3"/>
  <c r="L41" i="3"/>
  <c r="N41" i="3"/>
  <c r="C59" i="14" s="1"/>
  <c r="O139" i="3"/>
  <c r="I104" i="3"/>
  <c r="N139" i="3"/>
  <c r="M41" i="3"/>
  <c r="P139" i="3"/>
  <c r="B71" i="3"/>
  <c r="H110" i="10"/>
  <c r="G110" i="10"/>
  <c r="I110" i="10"/>
  <c r="O145" i="10"/>
  <c r="B77" i="10"/>
  <c r="L47" i="10"/>
  <c r="N145" i="10"/>
  <c r="K47" i="10"/>
  <c r="P145" i="10"/>
  <c r="M47" i="10"/>
  <c r="H121" i="10"/>
  <c r="G121" i="10"/>
  <c r="M58" i="10"/>
  <c r="L58" i="10"/>
  <c r="N156" i="10"/>
  <c r="B88" i="10"/>
  <c r="K58" i="10"/>
  <c r="I121" i="10"/>
  <c r="O156" i="10"/>
  <c r="P156" i="10"/>
  <c r="AJ16" i="60"/>
  <c r="C110" i="30"/>
  <c r="N110" i="30"/>
  <c r="Y110" i="30"/>
  <c r="AL5" i="60"/>
  <c r="E99" i="30"/>
  <c r="P99" i="30"/>
  <c r="AA99" i="30"/>
  <c r="G107" i="9"/>
  <c r="N44" i="9"/>
  <c r="G59" i="14" s="1"/>
  <c r="B74" i="9"/>
  <c r="I107" i="9"/>
  <c r="K44" i="9"/>
  <c r="O142" i="9"/>
  <c r="H107" i="9"/>
  <c r="N142" i="9"/>
  <c r="M44" i="9"/>
  <c r="P142" i="9"/>
  <c r="L44" i="9"/>
  <c r="AA28" i="34"/>
  <c r="AA61" i="34" s="1"/>
  <c r="G109" i="10"/>
  <c r="H109" i="10"/>
  <c r="B76" i="10"/>
  <c r="I109" i="10"/>
  <c r="L46" i="10"/>
  <c r="P144" i="10"/>
  <c r="N144" i="10"/>
  <c r="K46" i="10"/>
  <c r="M46" i="10"/>
  <c r="O144" i="10"/>
  <c r="AN26" i="60"/>
  <c r="AC120" i="30"/>
  <c r="G120" i="30"/>
  <c r="R120" i="30"/>
  <c r="AN24" i="60"/>
  <c r="G118" i="30"/>
  <c r="R118" i="30"/>
  <c r="AC118" i="30"/>
  <c r="AN5" i="60"/>
  <c r="AC99" i="30"/>
  <c r="G99" i="30"/>
  <c r="R99" i="30"/>
  <c r="G111" i="9"/>
  <c r="L48" i="9"/>
  <c r="N48" i="9"/>
  <c r="G63" i="14" s="1"/>
  <c r="P146" i="9"/>
  <c r="B78" i="9"/>
  <c r="M48" i="9"/>
  <c r="O146" i="9"/>
  <c r="H111" i="9"/>
  <c r="N146" i="9"/>
  <c r="I111" i="9"/>
  <c r="K48" i="9"/>
  <c r="AJ23" i="60"/>
  <c r="C117" i="30"/>
  <c r="Y117" i="30"/>
  <c r="N117" i="30"/>
  <c r="AJ17" i="60"/>
  <c r="N111" i="30"/>
  <c r="C111" i="30"/>
  <c r="Y111" i="30"/>
  <c r="I117" i="3"/>
  <c r="G117" i="3"/>
  <c r="K54" i="3"/>
  <c r="N54" i="3"/>
  <c r="C72" i="14" s="1"/>
  <c r="N152" i="3"/>
  <c r="H117" i="3"/>
  <c r="B84" i="3"/>
  <c r="L54" i="3"/>
  <c r="M54" i="3"/>
  <c r="P152" i="3"/>
  <c r="O152" i="3"/>
  <c r="AJ11" i="60"/>
  <c r="C105" i="30"/>
  <c r="N105" i="30"/>
  <c r="Y105" i="30"/>
  <c r="AN7" i="60"/>
  <c r="G101" i="30"/>
  <c r="R101" i="30"/>
  <c r="AC101" i="30"/>
  <c r="E43" i="47"/>
  <c r="F43" i="47" s="1"/>
  <c r="AX29" i="23"/>
  <c r="I101" i="9"/>
  <c r="M38" i="9"/>
  <c r="O136" i="9"/>
  <c r="K38" i="9"/>
  <c r="G101" i="9"/>
  <c r="H101" i="9"/>
  <c r="B68" i="9"/>
  <c r="L38" i="9"/>
  <c r="N38" i="9"/>
  <c r="G53" i="14" s="1"/>
  <c r="P136" i="9"/>
  <c r="N136" i="9"/>
  <c r="I111" i="3"/>
  <c r="G111" i="3"/>
  <c r="H111" i="3"/>
  <c r="P146" i="3"/>
  <c r="N146" i="3"/>
  <c r="B78" i="3"/>
  <c r="K48" i="3"/>
  <c r="L48" i="3"/>
  <c r="M48" i="3"/>
  <c r="N48" i="3"/>
  <c r="C66" i="14" s="1"/>
  <c r="O146" i="3"/>
  <c r="AL27" i="60"/>
  <c r="P121" i="30"/>
  <c r="E121" i="30"/>
  <c r="AA121" i="30"/>
  <c r="AL21" i="60"/>
  <c r="E115" i="30"/>
  <c r="P115" i="30"/>
  <c r="AA115" i="30"/>
  <c r="BM29" i="23"/>
  <c r="AE29" i="31" s="1"/>
  <c r="G63" i="30" s="1"/>
  <c r="AN6" i="60"/>
  <c r="AC100" i="30"/>
  <c r="G100" i="30"/>
  <c r="R100" i="30"/>
  <c r="AM29" i="23"/>
  <c r="E44" i="47"/>
  <c r="F44" i="47" s="1"/>
  <c r="AJ10" i="60"/>
  <c r="Y104" i="30"/>
  <c r="C104" i="30"/>
  <c r="N104" i="30"/>
  <c r="G106" i="10"/>
  <c r="H106" i="10"/>
  <c r="N141" i="10"/>
  <c r="I106" i="10"/>
  <c r="B73" i="10"/>
  <c r="M43" i="10"/>
  <c r="L43" i="10"/>
  <c r="K43" i="10"/>
  <c r="P141" i="10"/>
  <c r="O141" i="10"/>
  <c r="AL7" i="60"/>
  <c r="P101" i="30"/>
  <c r="AA101" i="30"/>
  <c r="E101" i="30"/>
  <c r="B70" i="9"/>
  <c r="N138" i="9"/>
  <c r="G103" i="9"/>
  <c r="H103" i="9"/>
  <c r="I103" i="9"/>
  <c r="L40" i="9"/>
  <c r="M40" i="9"/>
  <c r="N40" i="9"/>
  <c r="G55" i="14" s="1"/>
  <c r="P138" i="9"/>
  <c r="O138" i="9"/>
  <c r="K40" i="9"/>
  <c r="AL14" i="60"/>
  <c r="P108" i="30"/>
  <c r="AA108" i="30"/>
  <c r="E108" i="30"/>
  <c r="G123" i="9"/>
  <c r="I123" i="9"/>
  <c r="B90" i="9"/>
  <c r="M60" i="9"/>
  <c r="L60" i="9"/>
  <c r="O158" i="9"/>
  <c r="K60" i="9"/>
  <c r="P158" i="9"/>
  <c r="N158" i="9"/>
  <c r="N60" i="9"/>
  <c r="G75" i="14" s="1"/>
  <c r="H123" i="9"/>
  <c r="K38" i="10"/>
  <c r="G101" i="10"/>
  <c r="H101" i="10"/>
  <c r="B68" i="10"/>
  <c r="L38" i="10"/>
  <c r="O136" i="10"/>
  <c r="P136" i="10"/>
  <c r="M38" i="10"/>
  <c r="I101" i="10"/>
  <c r="N136" i="10"/>
  <c r="AN18" i="60"/>
  <c r="G112" i="30"/>
  <c r="R112" i="30"/>
  <c r="AC112" i="30"/>
  <c r="AN23" i="60"/>
  <c r="R117" i="30"/>
  <c r="AC117" i="30"/>
  <c r="G117" i="30"/>
  <c r="AK29" i="23"/>
  <c r="G120" i="9"/>
  <c r="I120" i="9"/>
  <c r="H120" i="9"/>
  <c r="O155" i="9"/>
  <c r="K57" i="9"/>
  <c r="P155" i="9"/>
  <c r="M57" i="9"/>
  <c r="N155" i="9"/>
  <c r="L57" i="9"/>
  <c r="N57" i="9"/>
  <c r="G72" i="14" s="1"/>
  <c r="B87" i="9"/>
  <c r="I105" i="9"/>
  <c r="N42" i="9"/>
  <c r="G57" i="14" s="1"/>
  <c r="B72" i="9"/>
  <c r="K42" i="9"/>
  <c r="L42" i="9"/>
  <c r="H105" i="9"/>
  <c r="G105" i="9"/>
  <c r="O140" i="9"/>
  <c r="N140" i="9"/>
  <c r="M42" i="9"/>
  <c r="P140" i="9"/>
  <c r="I123" i="10"/>
  <c r="G123" i="10"/>
  <c r="H123" i="10"/>
  <c r="P158" i="10"/>
  <c r="N158" i="10"/>
  <c r="K60" i="10"/>
  <c r="L60" i="10"/>
  <c r="M60" i="10"/>
  <c r="O158" i="10"/>
  <c r="B90" i="10"/>
  <c r="E49" i="47"/>
  <c r="F49" i="47" s="1"/>
  <c r="AJ5" i="60"/>
  <c r="C99" i="30"/>
  <c r="N99" i="30"/>
  <c r="Y99" i="30"/>
  <c r="AJ7" i="60"/>
  <c r="N101" i="30"/>
  <c r="Y101" i="30"/>
  <c r="C101" i="30"/>
  <c r="AJ19" i="60"/>
  <c r="N113" i="30"/>
  <c r="Y113" i="30"/>
  <c r="C113" i="30"/>
  <c r="AN10" i="60"/>
  <c r="G104" i="30"/>
  <c r="R104" i="30"/>
  <c r="AC104" i="30"/>
  <c r="G122" i="10"/>
  <c r="I122" i="10"/>
  <c r="H122" i="10"/>
  <c r="P157" i="10"/>
  <c r="O157" i="10"/>
  <c r="N157" i="10"/>
  <c r="B89" i="10"/>
  <c r="M59" i="10"/>
  <c r="L59" i="10"/>
  <c r="K59" i="10"/>
  <c r="BE29" i="23"/>
  <c r="W29" i="31" s="1"/>
  <c r="E63" i="30" s="1"/>
  <c r="AL63" i="30" s="1"/>
  <c r="E29" i="31"/>
  <c r="G112" i="10"/>
  <c r="H112" i="10"/>
  <c r="M49" i="10"/>
  <c r="K49" i="10"/>
  <c r="L49" i="10"/>
  <c r="I112" i="10"/>
  <c r="O147" i="10"/>
  <c r="B79" i="10"/>
  <c r="P147" i="10"/>
  <c r="N147" i="10"/>
  <c r="H116" i="10"/>
  <c r="O151" i="10"/>
  <c r="I116" i="10"/>
  <c r="N151" i="10"/>
  <c r="M53" i="10"/>
  <c r="K53" i="10"/>
  <c r="G116" i="10"/>
  <c r="B83" i="10"/>
  <c r="P151" i="10"/>
  <c r="L53" i="10"/>
  <c r="AL10" i="60"/>
  <c r="AA104" i="30"/>
  <c r="P104" i="30"/>
  <c r="E104" i="30"/>
  <c r="AN17" i="60"/>
  <c r="G111" i="30"/>
  <c r="R111" i="30"/>
  <c r="AC111" i="30"/>
  <c r="AN27" i="60"/>
  <c r="G121" i="30"/>
  <c r="AC121" i="30"/>
  <c r="R121" i="30"/>
  <c r="AL25" i="60"/>
  <c r="E119" i="30"/>
  <c r="AA119" i="30"/>
  <c r="P119" i="30"/>
  <c r="H109" i="3"/>
  <c r="I109" i="3"/>
  <c r="N46" i="3"/>
  <c r="C64" i="14" s="1"/>
  <c r="P144" i="3"/>
  <c r="O144" i="3"/>
  <c r="G109" i="3"/>
  <c r="B76" i="3"/>
  <c r="L46" i="3"/>
  <c r="M46" i="3"/>
  <c r="K46" i="3"/>
  <c r="N144" i="3"/>
  <c r="E30" i="47"/>
  <c r="F30" i="47" s="1"/>
  <c r="K56" i="9"/>
  <c r="M56" i="9"/>
  <c r="N56" i="9"/>
  <c r="G71" i="14" s="1"/>
  <c r="P154" i="9"/>
  <c r="O154" i="9"/>
  <c r="L56" i="9"/>
  <c r="N154" i="9"/>
  <c r="I119" i="9"/>
  <c r="G119" i="9"/>
  <c r="B86" i="9"/>
  <c r="H119" i="9"/>
  <c r="H97" i="3"/>
  <c r="I97" i="3"/>
  <c r="G97" i="3"/>
  <c r="M34" i="3"/>
  <c r="O132" i="3"/>
  <c r="N132" i="3"/>
  <c r="B64" i="3"/>
  <c r="P132" i="3"/>
  <c r="B58" i="3"/>
  <c r="B59" i="3" s="1"/>
  <c r="K34" i="3"/>
  <c r="N34" i="3"/>
  <c r="L34" i="3"/>
  <c r="G122" i="9"/>
  <c r="M59" i="9"/>
  <c r="I122" i="9"/>
  <c r="P157" i="9"/>
  <c r="O157" i="9"/>
  <c r="K59" i="9"/>
  <c r="N59" i="9"/>
  <c r="G74" i="14" s="1"/>
  <c r="L59" i="9"/>
  <c r="H122" i="9"/>
  <c r="N157" i="9"/>
  <c r="B89" i="9"/>
  <c r="AL6" i="60"/>
  <c r="AA100" i="30"/>
  <c r="E100" i="30"/>
  <c r="P100" i="30"/>
  <c r="AL23" i="60"/>
  <c r="E117" i="30"/>
  <c r="AA117" i="30"/>
  <c r="P117" i="30"/>
  <c r="I105" i="3"/>
  <c r="N42" i="3"/>
  <c r="C60" i="14" s="1"/>
  <c r="G105" i="3"/>
  <c r="O140" i="3"/>
  <c r="H105" i="3"/>
  <c r="P140" i="3"/>
  <c r="B72" i="3"/>
  <c r="K42" i="3"/>
  <c r="M42" i="3"/>
  <c r="L42" i="3"/>
  <c r="N140" i="3"/>
  <c r="AJ26" i="60"/>
  <c r="N120" i="30"/>
  <c r="Y120" i="30"/>
  <c r="C120" i="30"/>
  <c r="H116" i="3"/>
  <c r="I116" i="3"/>
  <c r="N151" i="3"/>
  <c r="K53" i="3"/>
  <c r="N53" i="3"/>
  <c r="C71" i="14" s="1"/>
  <c r="M53" i="3"/>
  <c r="L53" i="3"/>
  <c r="G116" i="3"/>
  <c r="P151" i="3"/>
  <c r="O151" i="3"/>
  <c r="B83" i="3"/>
  <c r="D14" i="20"/>
  <c r="AB42" i="3" l="1"/>
  <c r="AN63" i="30"/>
  <c r="AC92" i="30"/>
  <c r="W45" i="9"/>
  <c r="G61" i="9"/>
  <c r="AC28" i="60"/>
  <c r="AQ28" i="34"/>
  <c r="AQ61" i="34" s="1"/>
  <c r="E34" i="47"/>
  <c r="F34" i="47" s="1"/>
  <c r="R140" i="10" s="1"/>
  <c r="S140" i="10" s="1"/>
  <c r="X140" i="10" s="1"/>
  <c r="Q134" i="3"/>
  <c r="V134" i="3" s="1"/>
  <c r="E51" i="47"/>
  <c r="F51" i="47" s="1"/>
  <c r="E29" i="47"/>
  <c r="F29" i="47" s="1"/>
  <c r="AL105" i="30"/>
  <c r="E40" i="51" s="1"/>
  <c r="E46" i="47"/>
  <c r="F46" i="47" s="1"/>
  <c r="R152" i="10" s="1"/>
  <c r="S152" i="10" s="1"/>
  <c r="X152" i="10" s="1"/>
  <c r="E47" i="47"/>
  <c r="F47" i="47" s="1"/>
  <c r="R153" i="10" s="1"/>
  <c r="S153" i="10" s="1"/>
  <c r="X153" i="10" s="1"/>
  <c r="Q151" i="9"/>
  <c r="V151" i="9" s="1"/>
  <c r="AL108" i="30"/>
  <c r="E43" i="51" s="1"/>
  <c r="AL101" i="30"/>
  <c r="E36" i="51" s="1"/>
  <c r="AL113" i="30"/>
  <c r="E48" i="51" s="1"/>
  <c r="Q137" i="9"/>
  <c r="V137" i="9" s="1"/>
  <c r="Q149" i="9"/>
  <c r="V149" i="9" s="1"/>
  <c r="Q147" i="3"/>
  <c r="C19" i="51" s="1"/>
  <c r="AL118" i="30"/>
  <c r="E53" i="51" s="1"/>
  <c r="Q157" i="10"/>
  <c r="E26" i="51" s="1"/>
  <c r="Q154" i="9"/>
  <c r="T154" i="9" s="1"/>
  <c r="W154" i="9" s="1"/>
  <c r="Z154" i="9" s="1"/>
  <c r="D217" i="9" s="1"/>
  <c r="E39" i="47"/>
  <c r="F39" i="47" s="1"/>
  <c r="R145" i="10" s="1"/>
  <c r="S145" i="10" s="1"/>
  <c r="X145" i="10" s="1"/>
  <c r="E33" i="47"/>
  <c r="F33" i="47" s="1"/>
  <c r="D61" i="10"/>
  <c r="H124" i="10" s="1"/>
  <c r="AL116" i="30"/>
  <c r="E51" i="51" s="1"/>
  <c r="Q133" i="3"/>
  <c r="V133" i="3" s="1"/>
  <c r="Q141" i="3"/>
  <c r="C13" i="51" s="1"/>
  <c r="E61" i="9"/>
  <c r="AN117" i="30"/>
  <c r="G52" i="51" s="1"/>
  <c r="Q141" i="10"/>
  <c r="Y45" i="9"/>
  <c r="I58" i="3"/>
  <c r="D58" i="3"/>
  <c r="H121" i="3" s="1"/>
  <c r="AL119" i="30"/>
  <c r="E54" i="51" s="1"/>
  <c r="Q158" i="10"/>
  <c r="W158" i="10" s="1"/>
  <c r="Q140" i="10"/>
  <c r="E9" i="51" s="1"/>
  <c r="AN105" i="30"/>
  <c r="G40" i="51" s="1"/>
  <c r="AN114" i="30"/>
  <c r="G49" i="51" s="1"/>
  <c r="AC42" i="3"/>
  <c r="Q147" i="10"/>
  <c r="W147" i="10" s="1"/>
  <c r="Q158" i="9"/>
  <c r="G27" i="51" s="1"/>
  <c r="Q146" i="3"/>
  <c r="T146" i="3" s="1"/>
  <c r="W146" i="3" s="1"/>
  <c r="Z146" i="3" s="1"/>
  <c r="D209" i="3" s="1"/>
  <c r="Q152" i="3"/>
  <c r="C24" i="51" s="1"/>
  <c r="Q156" i="10"/>
  <c r="W156" i="10" s="1"/>
  <c r="Q145" i="10"/>
  <c r="W145" i="10" s="1"/>
  <c r="AN113" i="30"/>
  <c r="G48" i="51" s="1"/>
  <c r="Q136" i="3"/>
  <c r="Q153" i="3"/>
  <c r="T153" i="3" s="1"/>
  <c r="W153" i="3" s="1"/>
  <c r="Z153" i="3" s="1"/>
  <c r="D216" i="3" s="1"/>
  <c r="AN116" i="30"/>
  <c r="G51" i="51" s="1"/>
  <c r="O156" i="3"/>
  <c r="G61" i="10"/>
  <c r="AN112" i="30"/>
  <c r="G47" i="51" s="1"/>
  <c r="W41" i="10"/>
  <c r="Q136" i="10"/>
  <c r="E5" i="51" s="1"/>
  <c r="Q150" i="10"/>
  <c r="W150" i="10" s="1"/>
  <c r="Q139" i="9"/>
  <c r="T139" i="9" s="1"/>
  <c r="W139" i="9" s="1"/>
  <c r="Z139" i="9" s="1"/>
  <c r="D202" i="9" s="1"/>
  <c r="Q143" i="3"/>
  <c r="T143" i="3" s="1"/>
  <c r="W143" i="3" s="1"/>
  <c r="Z143" i="3" s="1"/>
  <c r="D206" i="3" s="1"/>
  <c r="P92" i="30"/>
  <c r="Q137" i="3"/>
  <c r="C9" i="51" s="1"/>
  <c r="E61" i="10"/>
  <c r="I124" i="10" s="1"/>
  <c r="AN99" i="30"/>
  <c r="G34" i="51" s="1"/>
  <c r="E92" i="30"/>
  <c r="Y41" i="10"/>
  <c r="Q146" i="10"/>
  <c r="E15" i="51" s="1"/>
  <c r="E28" i="60"/>
  <c r="Q151" i="10"/>
  <c r="E20" i="51" s="1"/>
  <c r="Q152" i="9"/>
  <c r="G21" i="51" s="1"/>
  <c r="Q148" i="3"/>
  <c r="V148" i="3" s="1"/>
  <c r="P28" i="60"/>
  <c r="I61" i="10"/>
  <c r="C92" i="30"/>
  <c r="C61" i="10"/>
  <c r="G124" i="10" s="1"/>
  <c r="AN120" i="30"/>
  <c r="G55" i="51" s="1"/>
  <c r="AL117" i="30"/>
  <c r="E52" i="51" s="1"/>
  <c r="Q143" i="10"/>
  <c r="E12" i="51" s="1"/>
  <c r="H58" i="3"/>
  <c r="Q151" i="3"/>
  <c r="V151" i="3" s="1"/>
  <c r="G58" i="3"/>
  <c r="AN100" i="30"/>
  <c r="G35" i="51" s="1"/>
  <c r="AL120" i="30"/>
  <c r="E55" i="51" s="1"/>
  <c r="Q144" i="9"/>
  <c r="V144" i="9" s="1"/>
  <c r="Q137" i="10"/>
  <c r="E6" i="51" s="1"/>
  <c r="AA28" i="60"/>
  <c r="Q154" i="10"/>
  <c r="W154" i="10" s="1"/>
  <c r="H61" i="10"/>
  <c r="N156" i="3"/>
  <c r="Q132" i="3"/>
  <c r="J109" i="3"/>
  <c r="M109" i="3"/>
  <c r="K109" i="3"/>
  <c r="L109" i="3"/>
  <c r="O42" i="9"/>
  <c r="P60" i="10"/>
  <c r="M71" i="3"/>
  <c r="Q71" i="3" s="1"/>
  <c r="N71" i="3"/>
  <c r="K71" i="3"/>
  <c r="O71" i="3" s="1"/>
  <c r="L71" i="3"/>
  <c r="P71" i="3" s="1"/>
  <c r="F19" i="50"/>
  <c r="P46" i="10"/>
  <c r="O48" i="3"/>
  <c r="Q38" i="9"/>
  <c r="Q54" i="3"/>
  <c r="L86" i="9"/>
  <c r="P86" i="9" s="1"/>
  <c r="N86" i="9"/>
  <c r="M86" i="9"/>
  <c r="Q86" i="9" s="1"/>
  <c r="K86" i="9"/>
  <c r="O86" i="9" s="1"/>
  <c r="Q56" i="9"/>
  <c r="M68" i="10"/>
  <c r="Q68" i="10" s="1"/>
  <c r="N68" i="10"/>
  <c r="L68" i="10"/>
  <c r="P68" i="10" s="1"/>
  <c r="K68" i="10"/>
  <c r="O68" i="10" s="1"/>
  <c r="Q57" i="9"/>
  <c r="L122" i="9"/>
  <c r="K122" i="9"/>
  <c r="J122" i="9"/>
  <c r="M122" i="9"/>
  <c r="N47" i="10"/>
  <c r="E62" i="14" s="1"/>
  <c r="O47" i="10"/>
  <c r="O41" i="3"/>
  <c r="F27" i="50"/>
  <c r="F11" i="50"/>
  <c r="K123" i="9"/>
  <c r="J123" i="9"/>
  <c r="L123" i="9"/>
  <c r="M123" i="9"/>
  <c r="P43" i="10"/>
  <c r="J98" i="3"/>
  <c r="M98" i="3"/>
  <c r="L98" i="3"/>
  <c r="K98" i="3"/>
  <c r="M113" i="3"/>
  <c r="L113" i="3"/>
  <c r="K113" i="3"/>
  <c r="J113" i="3"/>
  <c r="J120" i="3"/>
  <c r="L120" i="3"/>
  <c r="K120" i="3"/>
  <c r="M120" i="3"/>
  <c r="AJ109" i="30"/>
  <c r="O44" i="3"/>
  <c r="O55" i="9"/>
  <c r="O50" i="9"/>
  <c r="L86" i="10"/>
  <c r="P86" i="10" s="1"/>
  <c r="K86" i="10"/>
  <c r="O86" i="10" s="1"/>
  <c r="M86" i="10"/>
  <c r="Q86" i="10" s="1"/>
  <c r="N86" i="10"/>
  <c r="M61" i="10"/>
  <c r="Q37" i="10"/>
  <c r="N28" i="60"/>
  <c r="F25" i="50"/>
  <c r="F9" i="50"/>
  <c r="N83" i="3"/>
  <c r="L83" i="3"/>
  <c r="P83" i="3" s="1"/>
  <c r="M83" i="3"/>
  <c r="Q83" i="3" s="1"/>
  <c r="K83" i="3"/>
  <c r="O83" i="3" s="1"/>
  <c r="M58" i="3"/>
  <c r="Q34" i="3"/>
  <c r="P53" i="10"/>
  <c r="N49" i="10"/>
  <c r="E64" i="14" s="1"/>
  <c r="O49" i="10"/>
  <c r="P59" i="10"/>
  <c r="K122" i="10"/>
  <c r="M122" i="10"/>
  <c r="L122" i="10"/>
  <c r="J122" i="10"/>
  <c r="AJ113" i="30"/>
  <c r="O57" i="9"/>
  <c r="O60" i="9"/>
  <c r="P38" i="9"/>
  <c r="M84" i="3"/>
  <c r="Q84" i="3" s="1"/>
  <c r="K84" i="3"/>
  <c r="O84" i="3" s="1"/>
  <c r="N84" i="3"/>
  <c r="L84" i="3"/>
  <c r="P84" i="3" s="1"/>
  <c r="AJ117" i="30"/>
  <c r="P47" i="10"/>
  <c r="O40" i="3"/>
  <c r="AN103" i="30"/>
  <c r="G38" i="51" s="1"/>
  <c r="AN110" i="30"/>
  <c r="G45" i="51" s="1"/>
  <c r="M61" i="9"/>
  <c r="Q37" i="9"/>
  <c r="P57" i="10"/>
  <c r="Q41" i="10"/>
  <c r="P39" i="10"/>
  <c r="P54" i="9"/>
  <c r="P49" i="3"/>
  <c r="Q148" i="10"/>
  <c r="O45" i="9"/>
  <c r="Q155" i="3"/>
  <c r="K107" i="3"/>
  <c r="M107" i="3"/>
  <c r="L107" i="3"/>
  <c r="J107" i="3"/>
  <c r="K73" i="9"/>
  <c r="O73" i="9" s="1"/>
  <c r="M73" i="9"/>
  <c r="Q73" i="9" s="1"/>
  <c r="L73" i="9"/>
  <c r="P73" i="9" s="1"/>
  <c r="N73" i="9"/>
  <c r="Q49" i="9"/>
  <c r="F16" i="50"/>
  <c r="M97" i="3"/>
  <c r="L97" i="3"/>
  <c r="K97" i="3"/>
  <c r="J97" i="3"/>
  <c r="AN111" i="30"/>
  <c r="G46" i="51" s="1"/>
  <c r="Q59" i="10"/>
  <c r="N38" i="10"/>
  <c r="E53" i="14" s="1"/>
  <c r="O38" i="10"/>
  <c r="R149" i="10"/>
  <c r="S149" i="10" s="1"/>
  <c r="X149" i="10" s="1"/>
  <c r="AJ105" i="30"/>
  <c r="AJ111" i="30"/>
  <c r="L121" i="10"/>
  <c r="K121" i="10"/>
  <c r="M121" i="10"/>
  <c r="J121" i="10"/>
  <c r="M77" i="10"/>
  <c r="Q77" i="10" s="1"/>
  <c r="L77" i="10"/>
  <c r="P77" i="10" s="1"/>
  <c r="K77" i="10"/>
  <c r="O77" i="10" s="1"/>
  <c r="N77" i="10"/>
  <c r="P46" i="9"/>
  <c r="Q51" i="10"/>
  <c r="AC45" i="9"/>
  <c r="Q135" i="9"/>
  <c r="N159" i="9"/>
  <c r="P41" i="10"/>
  <c r="J104" i="10"/>
  <c r="M104" i="10"/>
  <c r="K104" i="10"/>
  <c r="L104" i="10"/>
  <c r="N69" i="10"/>
  <c r="K69" i="10"/>
  <c r="O69" i="10" s="1"/>
  <c r="M69" i="10"/>
  <c r="Q69" i="10" s="1"/>
  <c r="L69" i="10"/>
  <c r="P69" i="10" s="1"/>
  <c r="Q145" i="9"/>
  <c r="C25" i="51"/>
  <c r="R135" i="10"/>
  <c r="P43" i="3"/>
  <c r="AN119" i="30"/>
  <c r="G54" i="51" s="1"/>
  <c r="AN115" i="30"/>
  <c r="G50" i="51" s="1"/>
  <c r="K74" i="3"/>
  <c r="O74" i="3" s="1"/>
  <c r="M74" i="3"/>
  <c r="Q74" i="3" s="1"/>
  <c r="L74" i="3"/>
  <c r="P74" i="3" s="1"/>
  <c r="N74" i="3"/>
  <c r="L112" i="9"/>
  <c r="M112" i="9"/>
  <c r="J112" i="9"/>
  <c r="K112" i="9"/>
  <c r="F23" i="50"/>
  <c r="F7" i="50"/>
  <c r="P56" i="9"/>
  <c r="K83" i="10"/>
  <c r="O83" i="10" s="1"/>
  <c r="L83" i="10"/>
  <c r="P83" i="10" s="1"/>
  <c r="M83" i="10"/>
  <c r="Q83" i="10" s="1"/>
  <c r="N83" i="10"/>
  <c r="N87" i="9"/>
  <c r="M87" i="9"/>
  <c r="Q87" i="9" s="1"/>
  <c r="K87" i="9"/>
  <c r="O87" i="9" s="1"/>
  <c r="L87" i="9"/>
  <c r="P87" i="9" s="1"/>
  <c r="P60" i="9"/>
  <c r="Q46" i="10"/>
  <c r="Q52" i="9"/>
  <c r="O40" i="10"/>
  <c r="N40" i="10"/>
  <c r="E55" i="14" s="1"/>
  <c r="Q52" i="10"/>
  <c r="AN107" i="30"/>
  <c r="G42" i="51" s="1"/>
  <c r="N51" i="10"/>
  <c r="E66" i="14" s="1"/>
  <c r="O51" i="10"/>
  <c r="I124" i="9"/>
  <c r="P52" i="3"/>
  <c r="N41" i="10"/>
  <c r="E56" i="14" s="1"/>
  <c r="O41" i="10"/>
  <c r="K102" i="10"/>
  <c r="M102" i="10"/>
  <c r="J102" i="10"/>
  <c r="L102" i="10"/>
  <c r="N48" i="10"/>
  <c r="E63" i="14" s="1"/>
  <c r="O48" i="10"/>
  <c r="P51" i="9"/>
  <c r="K114" i="3"/>
  <c r="J114" i="3"/>
  <c r="M114" i="3"/>
  <c r="L114" i="3"/>
  <c r="P38" i="3"/>
  <c r="P36" i="3"/>
  <c r="K80" i="10"/>
  <c r="O80" i="10" s="1"/>
  <c r="M80" i="10"/>
  <c r="Q80" i="10" s="1"/>
  <c r="L80" i="10"/>
  <c r="P80" i="10" s="1"/>
  <c r="N80" i="10"/>
  <c r="Q37" i="3"/>
  <c r="E35" i="47"/>
  <c r="F35" i="47" s="1"/>
  <c r="E53" i="47"/>
  <c r="P56" i="3"/>
  <c r="AL102" i="30"/>
  <c r="E37" i="51" s="1"/>
  <c r="N69" i="3"/>
  <c r="L69" i="3"/>
  <c r="P69" i="3" s="1"/>
  <c r="M69" i="3"/>
  <c r="Q69" i="3" s="1"/>
  <c r="K69" i="3"/>
  <c r="O69" i="3" s="1"/>
  <c r="O159" i="10"/>
  <c r="Y28" i="60"/>
  <c r="E45" i="47"/>
  <c r="F45" i="47" s="1"/>
  <c r="Q46" i="3"/>
  <c r="E32" i="47"/>
  <c r="F32" i="47" s="1"/>
  <c r="AN104" i="30"/>
  <c r="G39" i="51" s="1"/>
  <c r="M90" i="10"/>
  <c r="Q90" i="10" s="1"/>
  <c r="N90" i="10"/>
  <c r="K90" i="10"/>
  <c r="O90" i="10" s="1"/>
  <c r="L90" i="10"/>
  <c r="P90" i="10" s="1"/>
  <c r="Q60" i="9"/>
  <c r="M103" i="9"/>
  <c r="L103" i="9"/>
  <c r="K103" i="9"/>
  <c r="J103" i="9"/>
  <c r="M111" i="3"/>
  <c r="J111" i="3"/>
  <c r="L111" i="3"/>
  <c r="K111" i="3"/>
  <c r="E42" i="47"/>
  <c r="F42" i="47" s="1"/>
  <c r="O44" i="9"/>
  <c r="E37" i="47"/>
  <c r="F37" i="47" s="1"/>
  <c r="Q145" i="3"/>
  <c r="N54" i="10"/>
  <c r="E69" i="14" s="1"/>
  <c r="O54" i="10"/>
  <c r="P40" i="10"/>
  <c r="K82" i="10"/>
  <c r="O82" i="10" s="1"/>
  <c r="M82" i="10"/>
  <c r="Q82" i="10" s="1"/>
  <c r="N82" i="10"/>
  <c r="L82" i="10"/>
  <c r="P82" i="10" s="1"/>
  <c r="M81" i="10"/>
  <c r="Q81" i="10" s="1"/>
  <c r="K81" i="10"/>
  <c r="O81" i="10" s="1"/>
  <c r="N81" i="10"/>
  <c r="L81" i="10"/>
  <c r="P81" i="10" s="1"/>
  <c r="Q45" i="10"/>
  <c r="Q41" i="9"/>
  <c r="H124" i="9"/>
  <c r="Q150" i="3"/>
  <c r="M71" i="10"/>
  <c r="Q71" i="10" s="1"/>
  <c r="K71" i="10"/>
  <c r="O71" i="10" s="1"/>
  <c r="L71" i="10"/>
  <c r="P71" i="10" s="1"/>
  <c r="N71" i="10"/>
  <c r="K78" i="10"/>
  <c r="O78" i="10" s="1"/>
  <c r="N78" i="10"/>
  <c r="M78" i="10"/>
  <c r="Q78" i="10" s="1"/>
  <c r="L78" i="10"/>
  <c r="P78" i="10" s="1"/>
  <c r="P51" i="3"/>
  <c r="P58" i="9"/>
  <c r="Q36" i="3"/>
  <c r="N77" i="9"/>
  <c r="K77" i="9"/>
  <c r="O77" i="9" s="1"/>
  <c r="L77" i="9"/>
  <c r="P77" i="9" s="1"/>
  <c r="M77" i="9"/>
  <c r="Q77" i="9" s="1"/>
  <c r="P35" i="3"/>
  <c r="P50" i="3"/>
  <c r="K118" i="3"/>
  <c r="M118" i="3"/>
  <c r="J118" i="3"/>
  <c r="L118" i="3"/>
  <c r="N73" i="3"/>
  <c r="L73" i="3"/>
  <c r="P73" i="3" s="1"/>
  <c r="K73" i="3"/>
  <c r="O73" i="3" s="1"/>
  <c r="M73" i="3"/>
  <c r="Q73" i="3" s="1"/>
  <c r="Q57" i="3"/>
  <c r="Q142" i="3"/>
  <c r="Q154" i="3"/>
  <c r="L80" i="9"/>
  <c r="P80" i="9" s="1"/>
  <c r="N80" i="9"/>
  <c r="M80" i="9"/>
  <c r="Q80" i="9" s="1"/>
  <c r="K80" i="9"/>
  <c r="O80" i="9" s="1"/>
  <c r="AL110" i="30"/>
  <c r="E45" i="51" s="1"/>
  <c r="AL109" i="30"/>
  <c r="E44" i="51" s="1"/>
  <c r="N56" i="10"/>
  <c r="E71" i="14" s="1"/>
  <c r="O56" i="10"/>
  <c r="N159" i="10"/>
  <c r="Q135" i="10"/>
  <c r="Q53" i="9"/>
  <c r="G122" i="30"/>
  <c r="AN98" i="30"/>
  <c r="G33" i="51" s="1"/>
  <c r="F6" i="50"/>
  <c r="F21" i="50"/>
  <c r="F13" i="50"/>
  <c r="P53" i="3"/>
  <c r="O42" i="3"/>
  <c r="M89" i="9"/>
  <c r="Q89" i="9" s="1"/>
  <c r="K89" i="9"/>
  <c r="O89" i="9" s="1"/>
  <c r="N89" i="9"/>
  <c r="L89" i="9"/>
  <c r="P89" i="9" s="1"/>
  <c r="E58" i="3"/>
  <c r="I121" i="3" s="1"/>
  <c r="P156" i="3"/>
  <c r="P46" i="3"/>
  <c r="AL104" i="30"/>
  <c r="E39" i="51" s="1"/>
  <c r="O53" i="10"/>
  <c r="N53" i="10"/>
  <c r="E68" i="14" s="1"/>
  <c r="L79" i="10"/>
  <c r="P79" i="10" s="1"/>
  <c r="M79" i="10"/>
  <c r="Q79" i="10" s="1"/>
  <c r="N79" i="10"/>
  <c r="K79" i="10"/>
  <c r="O79" i="10" s="1"/>
  <c r="AJ99" i="30"/>
  <c r="P57" i="9"/>
  <c r="J120" i="9"/>
  <c r="L120" i="9"/>
  <c r="K120" i="9"/>
  <c r="M120" i="9"/>
  <c r="K90" i="9"/>
  <c r="O90" i="9" s="1"/>
  <c r="N90" i="9"/>
  <c r="M90" i="9"/>
  <c r="Q90" i="9" s="1"/>
  <c r="L90" i="9"/>
  <c r="P90" i="9" s="1"/>
  <c r="Q138" i="9"/>
  <c r="J106" i="10"/>
  <c r="K106" i="10"/>
  <c r="L106" i="10"/>
  <c r="M106" i="10"/>
  <c r="AL115" i="30"/>
  <c r="E50" i="51" s="1"/>
  <c r="Q48" i="3"/>
  <c r="O38" i="9"/>
  <c r="AN101" i="30"/>
  <c r="G36" i="51" s="1"/>
  <c r="O54" i="3"/>
  <c r="E40" i="47"/>
  <c r="F40" i="47" s="1"/>
  <c r="Q146" i="9"/>
  <c r="J111" i="9"/>
  <c r="L111" i="9"/>
  <c r="M111" i="9"/>
  <c r="K111" i="9"/>
  <c r="Q144" i="10"/>
  <c r="O58" i="10"/>
  <c r="N58" i="10"/>
  <c r="E73" i="14" s="1"/>
  <c r="Q47" i="10"/>
  <c r="J110" i="10"/>
  <c r="M110" i="10"/>
  <c r="K110" i="10"/>
  <c r="L110" i="10"/>
  <c r="K85" i="10"/>
  <c r="O85" i="10" s="1"/>
  <c r="L85" i="10"/>
  <c r="P85" i="10" s="1"/>
  <c r="M85" i="10"/>
  <c r="Q85" i="10" s="1"/>
  <c r="N85" i="10"/>
  <c r="Q47" i="3"/>
  <c r="Q54" i="10"/>
  <c r="N76" i="9"/>
  <c r="M76" i="9"/>
  <c r="Q76" i="9" s="1"/>
  <c r="L76" i="9"/>
  <c r="P76" i="9" s="1"/>
  <c r="K76" i="9"/>
  <c r="O76" i="9" s="1"/>
  <c r="M115" i="9"/>
  <c r="J115" i="9"/>
  <c r="K115" i="9"/>
  <c r="L115" i="9"/>
  <c r="M70" i="10"/>
  <c r="Q70" i="10" s="1"/>
  <c r="N70" i="10"/>
  <c r="L70" i="10"/>
  <c r="P70" i="10" s="1"/>
  <c r="K70" i="10"/>
  <c r="O70" i="10" s="1"/>
  <c r="E36" i="47"/>
  <c r="F36" i="47" s="1"/>
  <c r="P52" i="10"/>
  <c r="AN109" i="30"/>
  <c r="G44" i="51" s="1"/>
  <c r="Q149" i="10"/>
  <c r="O41" i="9"/>
  <c r="M104" i="9"/>
  <c r="J104" i="9"/>
  <c r="K104" i="9"/>
  <c r="L104" i="9"/>
  <c r="N67" i="9"/>
  <c r="B91" i="9"/>
  <c r="M159" i="9" s="1"/>
  <c r="M67" i="9"/>
  <c r="L67" i="9"/>
  <c r="K67" i="9"/>
  <c r="Q52" i="3"/>
  <c r="K105" i="10"/>
  <c r="J105" i="10"/>
  <c r="M105" i="10"/>
  <c r="L105" i="10"/>
  <c r="O51" i="9"/>
  <c r="K81" i="3"/>
  <c r="O81" i="3" s="1"/>
  <c r="L81" i="3"/>
  <c r="P81" i="3" s="1"/>
  <c r="M81" i="3"/>
  <c r="Q81" i="3" s="1"/>
  <c r="N81" i="3"/>
  <c r="O54" i="9"/>
  <c r="J112" i="3"/>
  <c r="L112" i="3"/>
  <c r="K112" i="3"/>
  <c r="M112" i="3"/>
  <c r="O38" i="3"/>
  <c r="C6" i="51"/>
  <c r="T134" i="3"/>
  <c r="W134" i="3" s="1"/>
  <c r="Z134" i="3" s="1"/>
  <c r="D197" i="3" s="1"/>
  <c r="P47" i="9"/>
  <c r="M108" i="3"/>
  <c r="K108" i="3"/>
  <c r="J108" i="3"/>
  <c r="L108" i="3"/>
  <c r="Q50" i="10"/>
  <c r="Q35" i="3"/>
  <c r="O29" i="31"/>
  <c r="C63" i="30" s="1"/>
  <c r="O37" i="3"/>
  <c r="AL112" i="30"/>
  <c r="E47" i="51" s="1"/>
  <c r="J107" i="10"/>
  <c r="L107" i="10"/>
  <c r="K107" i="10"/>
  <c r="M107" i="10"/>
  <c r="AJ106" i="30"/>
  <c r="P45" i="9"/>
  <c r="Q153" i="9"/>
  <c r="P50" i="9"/>
  <c r="AA122" i="30"/>
  <c r="O43" i="9"/>
  <c r="AJ108" i="30"/>
  <c r="E31" i="47"/>
  <c r="F31" i="47" s="1"/>
  <c r="AN108" i="30"/>
  <c r="G43" i="51" s="1"/>
  <c r="P53" i="9"/>
  <c r="G28" i="60"/>
  <c r="R122" i="30"/>
  <c r="K69" i="9"/>
  <c r="O69" i="9" s="1"/>
  <c r="M69" i="9"/>
  <c r="Q69" i="9" s="1"/>
  <c r="L69" i="9"/>
  <c r="P69" i="9" s="1"/>
  <c r="N69" i="9"/>
  <c r="P39" i="9"/>
  <c r="M71" i="9"/>
  <c r="Q71" i="9" s="1"/>
  <c r="L71" i="9"/>
  <c r="P71" i="9" s="1"/>
  <c r="N71" i="9"/>
  <c r="K71" i="9"/>
  <c r="O71" i="9" s="1"/>
  <c r="G52" i="14"/>
  <c r="N61" i="9"/>
  <c r="O57" i="10"/>
  <c r="N57" i="10"/>
  <c r="E72" i="14" s="1"/>
  <c r="Q57" i="10"/>
  <c r="O52" i="3"/>
  <c r="P48" i="10"/>
  <c r="C178" i="10"/>
  <c r="Q42" i="10"/>
  <c r="K117" i="9"/>
  <c r="L117" i="9"/>
  <c r="M117" i="9"/>
  <c r="J117" i="9"/>
  <c r="Q49" i="3"/>
  <c r="Q38" i="3"/>
  <c r="N88" i="9"/>
  <c r="M88" i="9"/>
  <c r="Q88" i="9" s="1"/>
  <c r="L88" i="9"/>
  <c r="P88" i="9" s="1"/>
  <c r="K88" i="9"/>
  <c r="O88" i="9" s="1"/>
  <c r="N66" i="3"/>
  <c r="L66" i="3"/>
  <c r="P66" i="3" s="1"/>
  <c r="K66" i="3"/>
  <c r="O66" i="3" s="1"/>
  <c r="M66" i="3"/>
  <c r="Q66" i="3" s="1"/>
  <c r="O45" i="3"/>
  <c r="O50" i="3"/>
  <c r="O55" i="3"/>
  <c r="P37" i="3"/>
  <c r="O44" i="10"/>
  <c r="N44" i="10"/>
  <c r="E59" i="14" s="1"/>
  <c r="J106" i="3"/>
  <c r="L106" i="3"/>
  <c r="K106" i="3"/>
  <c r="M106" i="3"/>
  <c r="L108" i="9"/>
  <c r="J108" i="9"/>
  <c r="M108" i="9"/>
  <c r="K108" i="9"/>
  <c r="AJ100" i="30"/>
  <c r="Q44" i="3"/>
  <c r="K119" i="3"/>
  <c r="M119" i="3"/>
  <c r="L119" i="3"/>
  <c r="J119" i="3"/>
  <c r="Q55" i="9"/>
  <c r="P122" i="30"/>
  <c r="O49" i="9"/>
  <c r="P56" i="10"/>
  <c r="J119" i="10"/>
  <c r="M119" i="10"/>
  <c r="K119" i="10"/>
  <c r="L119" i="10"/>
  <c r="O39" i="3"/>
  <c r="R147" i="10"/>
  <c r="S147" i="10" s="1"/>
  <c r="X147" i="10" s="1"/>
  <c r="L67" i="10"/>
  <c r="N67" i="10"/>
  <c r="K67" i="10"/>
  <c r="B91" i="10"/>
  <c r="D91" i="10" s="1"/>
  <c r="M67" i="10"/>
  <c r="AJ28" i="60"/>
  <c r="AJ121" i="30"/>
  <c r="F26" i="50"/>
  <c r="F18" i="50"/>
  <c r="F10" i="50"/>
  <c r="O53" i="3"/>
  <c r="P59" i="9"/>
  <c r="J119" i="9"/>
  <c r="M119" i="9"/>
  <c r="K119" i="9"/>
  <c r="L119" i="9"/>
  <c r="O56" i="9"/>
  <c r="P49" i="10"/>
  <c r="N59" i="10"/>
  <c r="E74" i="14" s="1"/>
  <c r="O59" i="10"/>
  <c r="O60" i="10"/>
  <c r="N60" i="10"/>
  <c r="E75" i="14" s="1"/>
  <c r="M72" i="9"/>
  <c r="Q72" i="9" s="1"/>
  <c r="K72" i="9"/>
  <c r="O72" i="9" s="1"/>
  <c r="N72" i="9"/>
  <c r="L72" i="9"/>
  <c r="P72" i="9" s="1"/>
  <c r="Q40" i="9"/>
  <c r="Q43" i="10"/>
  <c r="AJ104" i="30"/>
  <c r="AL121" i="30"/>
  <c r="E56" i="51" s="1"/>
  <c r="M78" i="3"/>
  <c r="Q78" i="3" s="1"/>
  <c r="L78" i="3"/>
  <c r="P78" i="3" s="1"/>
  <c r="N78" i="3"/>
  <c r="K78" i="3"/>
  <c r="O78" i="3" s="1"/>
  <c r="P54" i="3"/>
  <c r="Q48" i="9"/>
  <c r="Q44" i="9"/>
  <c r="L107" i="9"/>
  <c r="K107" i="9"/>
  <c r="J107" i="9"/>
  <c r="M107" i="9"/>
  <c r="AJ110" i="30"/>
  <c r="P58" i="10"/>
  <c r="M104" i="3"/>
  <c r="L104" i="3"/>
  <c r="K104" i="3"/>
  <c r="J104" i="3"/>
  <c r="P55" i="10"/>
  <c r="Q40" i="3"/>
  <c r="O39" i="9"/>
  <c r="M102" i="9"/>
  <c r="L102" i="9"/>
  <c r="J102" i="9"/>
  <c r="K102" i="9"/>
  <c r="Q46" i="9"/>
  <c r="AL106" i="30"/>
  <c r="E41" i="51" s="1"/>
  <c r="AN102" i="30"/>
  <c r="G37" i="51" s="1"/>
  <c r="AJ112" i="30"/>
  <c r="L114" i="10"/>
  <c r="J114" i="10"/>
  <c r="M114" i="10"/>
  <c r="K114" i="10"/>
  <c r="O159" i="9"/>
  <c r="K120" i="10"/>
  <c r="M120" i="10"/>
  <c r="L120" i="10"/>
  <c r="J120" i="10"/>
  <c r="N82" i="3"/>
  <c r="L82" i="3"/>
  <c r="P82" i="3" s="1"/>
  <c r="M82" i="3"/>
  <c r="Q82" i="3" s="1"/>
  <c r="K82" i="3"/>
  <c r="O82" i="3" s="1"/>
  <c r="O49" i="3"/>
  <c r="C8" i="51"/>
  <c r="V136" i="3"/>
  <c r="T136" i="3"/>
  <c r="W136" i="3" s="1"/>
  <c r="Z136" i="3" s="1"/>
  <c r="D199" i="3" s="1"/>
  <c r="L101" i="3"/>
  <c r="J101" i="3"/>
  <c r="M101" i="3"/>
  <c r="K101" i="3"/>
  <c r="Q58" i="9"/>
  <c r="K121" i="9"/>
  <c r="J121" i="9"/>
  <c r="M121" i="9"/>
  <c r="L121" i="9"/>
  <c r="O36" i="3"/>
  <c r="Q45" i="3"/>
  <c r="O50" i="10"/>
  <c r="N50" i="10"/>
  <c r="E65" i="14" s="1"/>
  <c r="Q55" i="3"/>
  <c r="AL103" i="30"/>
  <c r="E38" i="51" s="1"/>
  <c r="M67" i="3"/>
  <c r="Q67" i="3" s="1"/>
  <c r="K67" i="3"/>
  <c r="O67" i="3" s="1"/>
  <c r="L67" i="3"/>
  <c r="P67" i="3" s="1"/>
  <c r="N67" i="3"/>
  <c r="K74" i="10"/>
  <c r="O74" i="10" s="1"/>
  <c r="L74" i="10"/>
  <c r="P74" i="10" s="1"/>
  <c r="M74" i="10"/>
  <c r="Q74" i="10" s="1"/>
  <c r="N74" i="10"/>
  <c r="Q44" i="10"/>
  <c r="Q43" i="3"/>
  <c r="P57" i="3"/>
  <c r="J118" i="9"/>
  <c r="M118" i="9"/>
  <c r="L118" i="9"/>
  <c r="K118" i="9"/>
  <c r="AL28" i="60"/>
  <c r="P43" i="9"/>
  <c r="P49" i="9"/>
  <c r="Q39" i="3"/>
  <c r="N122" i="30"/>
  <c r="J116" i="9"/>
  <c r="K116" i="9"/>
  <c r="M116" i="9"/>
  <c r="L116" i="9"/>
  <c r="F17" i="50"/>
  <c r="P34" i="3"/>
  <c r="L58" i="3"/>
  <c r="R136" i="10"/>
  <c r="S136" i="10" s="1"/>
  <c r="X136" i="10" s="1"/>
  <c r="R155" i="10"/>
  <c r="S155" i="10" s="1"/>
  <c r="X155" i="10" s="1"/>
  <c r="Q42" i="9"/>
  <c r="L101" i="10"/>
  <c r="K101" i="10"/>
  <c r="J101" i="10"/>
  <c r="M101" i="10"/>
  <c r="P40" i="9"/>
  <c r="N73" i="10"/>
  <c r="K73" i="10"/>
  <c r="O73" i="10" s="1"/>
  <c r="L73" i="10"/>
  <c r="P73" i="10" s="1"/>
  <c r="M73" i="10"/>
  <c r="Q73" i="10" s="1"/>
  <c r="K78" i="9"/>
  <c r="O78" i="9" s="1"/>
  <c r="L78" i="9"/>
  <c r="P78" i="9" s="1"/>
  <c r="M78" i="9"/>
  <c r="Q78" i="9" s="1"/>
  <c r="N78" i="9"/>
  <c r="M76" i="10"/>
  <c r="Q76" i="10" s="1"/>
  <c r="L76" i="10"/>
  <c r="P76" i="10" s="1"/>
  <c r="K76" i="10"/>
  <c r="O76" i="10" s="1"/>
  <c r="N76" i="10"/>
  <c r="Q142" i="9"/>
  <c r="Q58" i="10"/>
  <c r="Q41" i="3"/>
  <c r="Q55" i="10"/>
  <c r="AJ118" i="30"/>
  <c r="O47" i="3"/>
  <c r="K103" i="3"/>
  <c r="J103" i="3"/>
  <c r="M103" i="3"/>
  <c r="L103" i="3"/>
  <c r="N84" i="10"/>
  <c r="M84" i="10"/>
  <c r="Q84" i="10" s="1"/>
  <c r="K84" i="10"/>
  <c r="O84" i="10" s="1"/>
  <c r="L84" i="10"/>
  <c r="P84" i="10" s="1"/>
  <c r="M109" i="9"/>
  <c r="J109" i="9"/>
  <c r="L109" i="9"/>
  <c r="K109" i="9"/>
  <c r="O52" i="9"/>
  <c r="Q40" i="10"/>
  <c r="P51" i="10"/>
  <c r="I61" i="9"/>
  <c r="B62" i="9"/>
  <c r="P42" i="10"/>
  <c r="J114" i="9"/>
  <c r="L114" i="9"/>
  <c r="K114" i="9"/>
  <c r="M114" i="9"/>
  <c r="AJ119" i="30"/>
  <c r="L68" i="3"/>
  <c r="P68" i="3" s="1"/>
  <c r="K68" i="3"/>
  <c r="O68" i="3" s="1"/>
  <c r="N68" i="3"/>
  <c r="M68" i="3"/>
  <c r="Q68" i="3" s="1"/>
  <c r="O47" i="9"/>
  <c r="L75" i="3"/>
  <c r="P75" i="3" s="1"/>
  <c r="M75" i="3"/>
  <c r="Q75" i="3" s="1"/>
  <c r="K75" i="3"/>
  <c r="O75" i="3" s="1"/>
  <c r="N75" i="3"/>
  <c r="N65" i="3"/>
  <c r="K65" i="3"/>
  <c r="O65" i="3" s="1"/>
  <c r="M65" i="3"/>
  <c r="Q65" i="3" s="1"/>
  <c r="L65" i="3"/>
  <c r="P65" i="3" s="1"/>
  <c r="N80" i="3"/>
  <c r="M80" i="3"/>
  <c r="Q80" i="3" s="1"/>
  <c r="K80" i="3"/>
  <c r="O80" i="3" s="1"/>
  <c r="L80" i="3"/>
  <c r="P80" i="3" s="1"/>
  <c r="P55" i="3"/>
  <c r="P44" i="3"/>
  <c r="P55" i="9"/>
  <c r="Q148" i="9"/>
  <c r="K113" i="9"/>
  <c r="L113" i="9"/>
  <c r="J113" i="9"/>
  <c r="M113" i="9"/>
  <c r="Q43" i="9"/>
  <c r="Q56" i="10"/>
  <c r="O37" i="10"/>
  <c r="N37" i="10"/>
  <c r="C28" i="60"/>
  <c r="C122" i="30"/>
  <c r="AJ98" i="30"/>
  <c r="F24" i="50"/>
  <c r="F8" i="50"/>
  <c r="Q140" i="3"/>
  <c r="M105" i="3"/>
  <c r="L105" i="3"/>
  <c r="K105" i="3"/>
  <c r="J105" i="3"/>
  <c r="AL100" i="30"/>
  <c r="E35" i="51" s="1"/>
  <c r="O59" i="9"/>
  <c r="N58" i="3"/>
  <c r="C52" i="14"/>
  <c r="Q144" i="3"/>
  <c r="Q49" i="10"/>
  <c r="Q140" i="9"/>
  <c r="K68" i="9"/>
  <c r="O68" i="9" s="1"/>
  <c r="N68" i="9"/>
  <c r="L68" i="9"/>
  <c r="P68" i="9" s="1"/>
  <c r="M68" i="9"/>
  <c r="Q68" i="9" s="1"/>
  <c r="Q139" i="3"/>
  <c r="L118" i="10"/>
  <c r="M118" i="10"/>
  <c r="J118" i="10"/>
  <c r="K118" i="10"/>
  <c r="P47" i="3"/>
  <c r="K70" i="3"/>
  <c r="O70" i="3" s="1"/>
  <c r="L70" i="3"/>
  <c r="P70" i="3" s="1"/>
  <c r="N70" i="3"/>
  <c r="M70" i="3"/>
  <c r="Q70" i="3" s="1"/>
  <c r="K82" i="9"/>
  <c r="O82" i="9" s="1"/>
  <c r="N82" i="9"/>
  <c r="L82" i="9"/>
  <c r="P82" i="9" s="1"/>
  <c r="M82" i="9"/>
  <c r="Q82" i="9" s="1"/>
  <c r="M103" i="10"/>
  <c r="K103" i="10"/>
  <c r="J103" i="10"/>
  <c r="L103" i="10"/>
  <c r="R139" i="10"/>
  <c r="S139" i="10" s="1"/>
  <c r="X139" i="10" s="1"/>
  <c r="O45" i="10"/>
  <c r="N45" i="10"/>
  <c r="E60" i="14" s="1"/>
  <c r="P37" i="9"/>
  <c r="L61" i="9"/>
  <c r="N87" i="10"/>
  <c r="M87" i="10"/>
  <c r="Q87" i="10" s="1"/>
  <c r="K87" i="10"/>
  <c r="O87" i="10" s="1"/>
  <c r="L87" i="10"/>
  <c r="P87" i="10" s="1"/>
  <c r="O51" i="3"/>
  <c r="R157" i="10"/>
  <c r="S157" i="10" s="1"/>
  <c r="X157" i="10" s="1"/>
  <c r="K99" i="3"/>
  <c r="M99" i="3"/>
  <c r="L99" i="3"/>
  <c r="J99" i="3"/>
  <c r="Q142" i="10"/>
  <c r="AJ115" i="30"/>
  <c r="Q56" i="3"/>
  <c r="K79" i="9"/>
  <c r="O79" i="9" s="1"/>
  <c r="N79" i="9"/>
  <c r="M79" i="9"/>
  <c r="Q79" i="9" s="1"/>
  <c r="L79" i="9"/>
  <c r="P79" i="9" s="1"/>
  <c r="J102" i="3"/>
  <c r="L102" i="3"/>
  <c r="K102" i="3"/>
  <c r="M102" i="3"/>
  <c r="Y92" i="30"/>
  <c r="F15" i="50"/>
  <c r="P42" i="3"/>
  <c r="O34" i="3"/>
  <c r="K58" i="3"/>
  <c r="O46" i="3"/>
  <c r="AN121" i="30"/>
  <c r="G56" i="51" s="1"/>
  <c r="L89" i="10"/>
  <c r="P89" i="10" s="1"/>
  <c r="K89" i="10"/>
  <c r="O89" i="10" s="1"/>
  <c r="M89" i="10"/>
  <c r="Q89" i="10" s="1"/>
  <c r="N89" i="10"/>
  <c r="Q38" i="10"/>
  <c r="E10" i="51"/>
  <c r="W141" i="10"/>
  <c r="R150" i="10"/>
  <c r="S150" i="10" s="1"/>
  <c r="X150" i="10" s="1"/>
  <c r="O48" i="9"/>
  <c r="M109" i="10"/>
  <c r="L109" i="10"/>
  <c r="K109" i="10"/>
  <c r="J109" i="10"/>
  <c r="AL99" i="30"/>
  <c r="E34" i="51" s="1"/>
  <c r="K77" i="3"/>
  <c r="O77" i="3" s="1"/>
  <c r="N77" i="3"/>
  <c r="L77" i="3"/>
  <c r="P77" i="3" s="1"/>
  <c r="M77" i="3"/>
  <c r="Q77" i="3" s="1"/>
  <c r="Q138" i="3"/>
  <c r="P54" i="10"/>
  <c r="O46" i="9"/>
  <c r="P52" i="9"/>
  <c r="J115" i="10"/>
  <c r="K115" i="10"/>
  <c r="M115" i="10"/>
  <c r="L115" i="10"/>
  <c r="M75" i="10"/>
  <c r="Q75" i="10" s="1"/>
  <c r="K75" i="10"/>
  <c r="O75" i="10" s="1"/>
  <c r="L75" i="10"/>
  <c r="P75" i="10" s="1"/>
  <c r="N75" i="10"/>
  <c r="X45" i="9"/>
  <c r="P159" i="9"/>
  <c r="Q39" i="10"/>
  <c r="Q48" i="10"/>
  <c r="N42" i="10"/>
  <c r="E57" i="14" s="1"/>
  <c r="O42" i="10"/>
  <c r="Q51" i="3"/>
  <c r="Q54" i="9"/>
  <c r="Q47" i="9"/>
  <c r="O35" i="3"/>
  <c r="AJ103" i="30"/>
  <c r="O43" i="3"/>
  <c r="Q45" i="9"/>
  <c r="M85" i="9"/>
  <c r="Q85" i="9" s="1"/>
  <c r="L85" i="9"/>
  <c r="P85" i="9" s="1"/>
  <c r="N85" i="9"/>
  <c r="K85" i="9"/>
  <c r="O85" i="9" s="1"/>
  <c r="L106" i="9"/>
  <c r="J106" i="9"/>
  <c r="M106" i="9"/>
  <c r="K106" i="9"/>
  <c r="L61" i="10"/>
  <c r="P37" i="10"/>
  <c r="AJ116" i="30"/>
  <c r="O53" i="9"/>
  <c r="AC122" i="30"/>
  <c r="Z29" i="23"/>
  <c r="F5" i="50"/>
  <c r="F22" i="50"/>
  <c r="F14" i="50"/>
  <c r="J116" i="3"/>
  <c r="M116" i="3"/>
  <c r="K116" i="3"/>
  <c r="L116" i="3"/>
  <c r="E52" i="47"/>
  <c r="F52" i="47" s="1"/>
  <c r="R158" i="10" s="1"/>
  <c r="S158" i="10" s="1"/>
  <c r="X158" i="10" s="1"/>
  <c r="Q42" i="3"/>
  <c r="J116" i="10"/>
  <c r="K116" i="10"/>
  <c r="L116" i="10"/>
  <c r="M116" i="10"/>
  <c r="K112" i="10"/>
  <c r="M112" i="10"/>
  <c r="L112" i="10"/>
  <c r="J112" i="10"/>
  <c r="K123" i="10"/>
  <c r="J123" i="10"/>
  <c r="L123" i="10"/>
  <c r="M123" i="10"/>
  <c r="K105" i="9"/>
  <c r="L105" i="9"/>
  <c r="J105" i="9"/>
  <c r="M105" i="9"/>
  <c r="O40" i="9"/>
  <c r="K101" i="9"/>
  <c r="L101" i="9"/>
  <c r="M101" i="9"/>
  <c r="J101" i="9"/>
  <c r="P48" i="9"/>
  <c r="AN118" i="30"/>
  <c r="G53" i="51" s="1"/>
  <c r="N46" i="10"/>
  <c r="E61" i="14" s="1"/>
  <c r="O46" i="10"/>
  <c r="O55" i="10"/>
  <c r="N55" i="10"/>
  <c r="E70" i="14" s="1"/>
  <c r="J117" i="10"/>
  <c r="L117" i="10"/>
  <c r="K117" i="10"/>
  <c r="M117" i="10"/>
  <c r="Q150" i="9"/>
  <c r="AB45" i="9"/>
  <c r="G124" i="9"/>
  <c r="K100" i="9"/>
  <c r="M100" i="9"/>
  <c r="J100" i="9"/>
  <c r="L100" i="9"/>
  <c r="AJ102" i="30"/>
  <c r="N39" i="10"/>
  <c r="E54" i="14" s="1"/>
  <c r="O39" i="10"/>
  <c r="J111" i="10"/>
  <c r="L111" i="10"/>
  <c r="M111" i="10"/>
  <c r="K111" i="10"/>
  <c r="L81" i="9"/>
  <c r="P81" i="9" s="1"/>
  <c r="N81" i="9"/>
  <c r="K81" i="9"/>
  <c r="O81" i="9" s="1"/>
  <c r="M81" i="9"/>
  <c r="Q81" i="9" s="1"/>
  <c r="J110" i="9"/>
  <c r="K110" i="9"/>
  <c r="L110" i="9"/>
  <c r="M110" i="9"/>
  <c r="P50" i="10"/>
  <c r="M85" i="3"/>
  <c r="Q85" i="3" s="1"/>
  <c r="L85" i="3"/>
  <c r="P85" i="3" s="1"/>
  <c r="K85" i="3"/>
  <c r="O85" i="3" s="1"/>
  <c r="N85" i="3"/>
  <c r="L100" i="3"/>
  <c r="J100" i="3"/>
  <c r="M100" i="3"/>
  <c r="K100" i="3"/>
  <c r="Q143" i="9"/>
  <c r="AL111" i="30"/>
  <c r="E46" i="51" s="1"/>
  <c r="M86" i="3"/>
  <c r="Q86" i="3" s="1"/>
  <c r="N86" i="3"/>
  <c r="L86" i="3"/>
  <c r="P86" i="3" s="1"/>
  <c r="K86" i="3"/>
  <c r="O86" i="3" s="1"/>
  <c r="Q147" i="9"/>
  <c r="E48" i="47"/>
  <c r="F48" i="47" s="1"/>
  <c r="L100" i="10"/>
  <c r="K100" i="10"/>
  <c r="M100" i="10"/>
  <c r="J100" i="10"/>
  <c r="AM28" i="34"/>
  <c r="R92" i="30"/>
  <c r="F28" i="50"/>
  <c r="F20" i="50"/>
  <c r="F12" i="50"/>
  <c r="Q53" i="3"/>
  <c r="AJ120" i="30"/>
  <c r="K72" i="3"/>
  <c r="O72" i="3" s="1"/>
  <c r="M72" i="3"/>
  <c r="Q72" i="3" s="1"/>
  <c r="L72" i="3"/>
  <c r="P72" i="3" s="1"/>
  <c r="N72" i="3"/>
  <c r="Q157" i="9"/>
  <c r="Q59" i="9"/>
  <c r="C58" i="3"/>
  <c r="K64" i="3"/>
  <c r="L64" i="3"/>
  <c r="M64" i="3"/>
  <c r="B88" i="3"/>
  <c r="D156" i="3" s="1"/>
  <c r="N64" i="3"/>
  <c r="M76" i="3"/>
  <c r="Q76" i="3" s="1"/>
  <c r="K76" i="3"/>
  <c r="O76" i="3" s="1"/>
  <c r="L76" i="3"/>
  <c r="P76" i="3" s="1"/>
  <c r="N76" i="3"/>
  <c r="Q53" i="10"/>
  <c r="AJ101" i="30"/>
  <c r="Q60" i="10"/>
  <c r="P42" i="9"/>
  <c r="Q155" i="9"/>
  <c r="E38" i="47"/>
  <c r="F38" i="47" s="1"/>
  <c r="P38" i="10"/>
  <c r="L70" i="9"/>
  <c r="P70" i="9" s="1"/>
  <c r="N70" i="9"/>
  <c r="K70" i="9"/>
  <c r="O70" i="9" s="1"/>
  <c r="M70" i="9"/>
  <c r="Q70" i="9" s="1"/>
  <c r="N43" i="10"/>
  <c r="E58" i="14" s="1"/>
  <c r="O43" i="10"/>
  <c r="P48" i="3"/>
  <c r="Q136" i="9"/>
  <c r="M117" i="3"/>
  <c r="L117" i="3"/>
  <c r="K117" i="3"/>
  <c r="J117" i="3"/>
  <c r="P44" i="9"/>
  <c r="L74" i="9"/>
  <c r="P74" i="9" s="1"/>
  <c r="N74" i="9"/>
  <c r="M74" i="9"/>
  <c r="Q74" i="9" s="1"/>
  <c r="K74" i="9"/>
  <c r="O74" i="9" s="1"/>
  <c r="M88" i="10"/>
  <c r="Q88" i="10" s="1"/>
  <c r="N88" i="10"/>
  <c r="L88" i="10"/>
  <c r="P88" i="10" s="1"/>
  <c r="K88" i="10"/>
  <c r="O88" i="10" s="1"/>
  <c r="P41" i="3"/>
  <c r="Q153" i="10"/>
  <c r="AL114" i="30"/>
  <c r="E49" i="51" s="1"/>
  <c r="K110" i="3"/>
  <c r="M110" i="3"/>
  <c r="L110" i="3"/>
  <c r="J110" i="3"/>
  <c r="P40" i="3"/>
  <c r="Q39" i="9"/>
  <c r="Q152" i="10"/>
  <c r="Q138" i="10"/>
  <c r="O52" i="10"/>
  <c r="N52" i="10"/>
  <c r="E67" i="14" s="1"/>
  <c r="AJ114" i="30"/>
  <c r="AL107" i="30"/>
  <c r="E42" i="51" s="1"/>
  <c r="P45" i="10"/>
  <c r="J108" i="10"/>
  <c r="K108" i="10"/>
  <c r="M108" i="10"/>
  <c r="L108" i="10"/>
  <c r="P41" i="9"/>
  <c r="D61" i="9"/>
  <c r="C61" i="9"/>
  <c r="O37" i="9"/>
  <c r="K61" i="9"/>
  <c r="Q155" i="10"/>
  <c r="K115" i="3"/>
  <c r="M115" i="3"/>
  <c r="L115" i="3"/>
  <c r="J115" i="3"/>
  <c r="Q139" i="10"/>
  <c r="N72" i="10"/>
  <c r="K72" i="10"/>
  <c r="O72" i="10" s="1"/>
  <c r="M72" i="10"/>
  <c r="Q72" i="10" s="1"/>
  <c r="L72" i="10"/>
  <c r="P72" i="10" s="1"/>
  <c r="Q51" i="9"/>
  <c r="Q149" i="3"/>
  <c r="K84" i="9"/>
  <c r="O84" i="9" s="1"/>
  <c r="L84" i="9"/>
  <c r="P84" i="9" s="1"/>
  <c r="N84" i="9"/>
  <c r="M84" i="9"/>
  <c r="Q84" i="9" s="1"/>
  <c r="AJ107" i="30"/>
  <c r="K79" i="3"/>
  <c r="O79" i="3" s="1"/>
  <c r="L79" i="3"/>
  <c r="P79" i="3" s="1"/>
  <c r="N79" i="3"/>
  <c r="M79" i="3"/>
  <c r="Q79" i="3" s="1"/>
  <c r="Q156" i="9"/>
  <c r="O58" i="9"/>
  <c r="P45" i="3"/>
  <c r="K113" i="10"/>
  <c r="L113" i="10"/>
  <c r="J113" i="10"/>
  <c r="M113" i="10"/>
  <c r="Q50" i="3"/>
  <c r="Q29" i="31"/>
  <c r="Y63" i="30" s="1"/>
  <c r="Q135" i="3"/>
  <c r="P44" i="10"/>
  <c r="N75" i="9"/>
  <c r="K75" i="9"/>
  <c r="O75" i="9" s="1"/>
  <c r="L75" i="9"/>
  <c r="P75" i="9" s="1"/>
  <c r="M75" i="9"/>
  <c r="Q75" i="9" s="1"/>
  <c r="L87" i="3"/>
  <c r="P87" i="3" s="1"/>
  <c r="M87" i="3"/>
  <c r="Q87" i="3" s="1"/>
  <c r="K87" i="3"/>
  <c r="O87" i="3" s="1"/>
  <c r="N87" i="3"/>
  <c r="O57" i="3"/>
  <c r="O56" i="3"/>
  <c r="E50" i="47"/>
  <c r="F50" i="47" s="1"/>
  <c r="Q50" i="9"/>
  <c r="AO28" i="34"/>
  <c r="E122" i="30"/>
  <c r="AL98" i="30"/>
  <c r="E33" i="51" s="1"/>
  <c r="Q141" i="9"/>
  <c r="P39" i="3"/>
  <c r="X41" i="10"/>
  <c r="P159" i="10"/>
  <c r="AN106" i="30"/>
  <c r="G41" i="51" s="1"/>
  <c r="Y122" i="30"/>
  <c r="N83" i="9"/>
  <c r="L83" i="9"/>
  <c r="P83" i="9" s="1"/>
  <c r="M83" i="9"/>
  <c r="Q83" i="9" s="1"/>
  <c r="K83" i="9"/>
  <c r="O83" i="9" s="1"/>
  <c r="R28" i="60"/>
  <c r="AN28" i="60"/>
  <c r="AN92" i="30" l="1"/>
  <c r="T152" i="3"/>
  <c r="W152" i="3" s="1"/>
  <c r="Z152" i="3" s="1"/>
  <c r="D215" i="3" s="1"/>
  <c r="T137" i="9"/>
  <c r="W137" i="9" s="1"/>
  <c r="Z137" i="9" s="1"/>
  <c r="D200" i="9" s="1"/>
  <c r="G13" i="51"/>
  <c r="G130" i="9"/>
  <c r="C23" i="51"/>
  <c r="V147" i="3"/>
  <c r="G23" i="51"/>
  <c r="W143" i="10"/>
  <c r="V152" i="3"/>
  <c r="T151" i="9"/>
  <c r="W151" i="9" s="1"/>
  <c r="Z151" i="9" s="1"/>
  <c r="D214" i="9" s="1"/>
  <c r="V154" i="9"/>
  <c r="T147" i="3"/>
  <c r="W147" i="3" s="1"/>
  <c r="Z147" i="3" s="1"/>
  <c r="D210" i="3" s="1"/>
  <c r="T133" i="3"/>
  <c r="W133" i="3" s="1"/>
  <c r="Z133" i="3" s="1"/>
  <c r="D196" i="3" s="1"/>
  <c r="C5" i="51"/>
  <c r="V137" i="3"/>
  <c r="G20" i="51"/>
  <c r="T151" i="3"/>
  <c r="W151" i="3" s="1"/>
  <c r="Z151" i="3" s="1"/>
  <c r="D214" i="3" s="1"/>
  <c r="W140" i="10"/>
  <c r="E23" i="51"/>
  <c r="W157" i="10"/>
  <c r="Z157" i="10" s="1"/>
  <c r="AC157" i="10" s="1"/>
  <c r="D220" i="10" s="1"/>
  <c r="D183" i="3"/>
  <c r="V152" i="9"/>
  <c r="V153" i="3"/>
  <c r="T148" i="3"/>
  <c r="W148" i="3" s="1"/>
  <c r="Z148" i="3" s="1"/>
  <c r="D211" i="3" s="1"/>
  <c r="B168" i="10"/>
  <c r="V146" i="3"/>
  <c r="D181" i="9"/>
  <c r="D179" i="10"/>
  <c r="E16" i="51"/>
  <c r="D170" i="10"/>
  <c r="T149" i="9"/>
  <c r="W149" i="9" s="1"/>
  <c r="Z149" i="9" s="1"/>
  <c r="D212" i="9" s="1"/>
  <c r="G18" i="51"/>
  <c r="R43" i="10"/>
  <c r="C172" i="9"/>
  <c r="R43" i="3"/>
  <c r="G6" i="51"/>
  <c r="C180" i="9"/>
  <c r="C175" i="3"/>
  <c r="C159" i="9"/>
  <c r="D188" i="9"/>
  <c r="D174" i="9"/>
  <c r="R74" i="9"/>
  <c r="R80" i="9"/>
  <c r="D180" i="9"/>
  <c r="D180" i="3"/>
  <c r="B188" i="9"/>
  <c r="C174" i="3"/>
  <c r="T137" i="3"/>
  <c r="W137" i="3" s="1"/>
  <c r="Z137" i="3" s="1"/>
  <c r="D200" i="3" s="1"/>
  <c r="E14" i="51"/>
  <c r="B179" i="9"/>
  <c r="T144" i="9"/>
  <c r="W144" i="9" s="1"/>
  <c r="Z144" i="9" s="1"/>
  <c r="D207" i="9" s="1"/>
  <c r="R45" i="9"/>
  <c r="V141" i="3"/>
  <c r="F61" i="10"/>
  <c r="D169" i="9"/>
  <c r="C185" i="10"/>
  <c r="H159" i="10"/>
  <c r="W137" i="10"/>
  <c r="T141" i="3"/>
  <c r="W141" i="3" s="1"/>
  <c r="Z141" i="3" s="1"/>
  <c r="D204" i="3" s="1"/>
  <c r="W151" i="10"/>
  <c r="B166" i="3"/>
  <c r="D176" i="9"/>
  <c r="R68" i="3"/>
  <c r="C184" i="3"/>
  <c r="M159" i="10"/>
  <c r="C169" i="9"/>
  <c r="N59" i="3"/>
  <c r="R83" i="9"/>
  <c r="K159" i="10"/>
  <c r="E25" i="51"/>
  <c r="C156" i="3"/>
  <c r="B173" i="3"/>
  <c r="C167" i="3"/>
  <c r="T152" i="9"/>
  <c r="W152" i="9" s="1"/>
  <c r="Z152" i="9" s="1"/>
  <c r="D215" i="9" s="1"/>
  <c r="R68" i="10"/>
  <c r="I156" i="3"/>
  <c r="R85" i="9"/>
  <c r="D178" i="10"/>
  <c r="R75" i="3"/>
  <c r="N101" i="10"/>
  <c r="C199" i="10" s="1"/>
  <c r="G159" i="10"/>
  <c r="D187" i="3"/>
  <c r="R78" i="10"/>
  <c r="D175" i="10"/>
  <c r="B190" i="9"/>
  <c r="C18" i="51"/>
  <c r="B171" i="3"/>
  <c r="N111" i="10"/>
  <c r="C209" i="10" s="1"/>
  <c r="E156" i="3"/>
  <c r="B177" i="3"/>
  <c r="C189" i="9"/>
  <c r="D159" i="10"/>
  <c r="C183" i="9"/>
  <c r="B181" i="9"/>
  <c r="J159" i="9"/>
  <c r="AN122" i="30"/>
  <c r="C179" i="3"/>
  <c r="R55" i="9"/>
  <c r="T158" i="9"/>
  <c r="W158" i="9" s="1"/>
  <c r="Z158" i="9" s="1"/>
  <c r="D221" i="9" s="1"/>
  <c r="B177" i="10"/>
  <c r="J61" i="10"/>
  <c r="AL92" i="30"/>
  <c r="L156" i="3"/>
  <c r="D183" i="9"/>
  <c r="R57" i="9"/>
  <c r="V158" i="9"/>
  <c r="M156" i="3"/>
  <c r="G156" i="3"/>
  <c r="E88" i="3"/>
  <c r="G88" i="3" s="1"/>
  <c r="H88" i="3" s="1"/>
  <c r="I88" i="3" s="1"/>
  <c r="E159" i="10"/>
  <c r="B184" i="9"/>
  <c r="B171" i="9"/>
  <c r="E27" i="51"/>
  <c r="B179" i="10"/>
  <c r="Z158" i="10"/>
  <c r="AC158" i="10" s="1"/>
  <c r="D221" i="10" s="1"/>
  <c r="Z147" i="10"/>
  <c r="AC147" i="10" s="1"/>
  <c r="D210" i="10" s="1"/>
  <c r="D88" i="3"/>
  <c r="C88" i="3"/>
  <c r="R40" i="9"/>
  <c r="D181" i="3"/>
  <c r="C172" i="3"/>
  <c r="C170" i="9"/>
  <c r="C91" i="10"/>
  <c r="C186" i="10"/>
  <c r="D179" i="3"/>
  <c r="AL122" i="30"/>
  <c r="R87" i="3"/>
  <c r="R79" i="3"/>
  <c r="J156" i="3"/>
  <c r="C172" i="10"/>
  <c r="R72" i="9"/>
  <c r="C159" i="10"/>
  <c r="D171" i="10"/>
  <c r="C177" i="10"/>
  <c r="D186" i="9"/>
  <c r="AJ92" i="30"/>
  <c r="C188" i="10"/>
  <c r="Q159" i="9"/>
  <c r="T159" i="9" s="1"/>
  <c r="W159" i="9" s="1"/>
  <c r="Z159" i="9" s="1"/>
  <c r="AA159" i="9" s="1"/>
  <c r="B187" i="10"/>
  <c r="C187" i="3"/>
  <c r="D189" i="9"/>
  <c r="B165" i="3"/>
  <c r="D168" i="9"/>
  <c r="R56" i="3"/>
  <c r="G8" i="51"/>
  <c r="D171" i="3"/>
  <c r="D175" i="3"/>
  <c r="R39" i="3"/>
  <c r="B175" i="3"/>
  <c r="D177" i="10"/>
  <c r="C173" i="3"/>
  <c r="C175" i="10"/>
  <c r="D183" i="10"/>
  <c r="L124" i="10"/>
  <c r="R55" i="10"/>
  <c r="V143" i="3"/>
  <c r="N118" i="10"/>
  <c r="C216" i="10" s="1"/>
  <c r="D186" i="10"/>
  <c r="C185" i="9"/>
  <c r="V139" i="9"/>
  <c r="D169" i="3"/>
  <c r="D174" i="10"/>
  <c r="R67" i="3"/>
  <c r="R49" i="3"/>
  <c r="R50" i="3"/>
  <c r="E19" i="51"/>
  <c r="D180" i="10"/>
  <c r="I159" i="9"/>
  <c r="C186" i="3"/>
  <c r="R83" i="10"/>
  <c r="C184" i="9"/>
  <c r="R60" i="9"/>
  <c r="B178" i="3"/>
  <c r="R81" i="3"/>
  <c r="R38" i="9"/>
  <c r="Z150" i="10"/>
  <c r="AC150" i="10" s="1"/>
  <c r="D213" i="10" s="1"/>
  <c r="C15" i="51"/>
  <c r="B169" i="3"/>
  <c r="D174" i="3"/>
  <c r="R57" i="10"/>
  <c r="R42" i="9"/>
  <c r="B180" i="3"/>
  <c r="B187" i="3"/>
  <c r="R85" i="3"/>
  <c r="B176" i="10"/>
  <c r="Z140" i="10"/>
  <c r="AC140" i="10" s="1"/>
  <c r="D203" i="10" s="1"/>
  <c r="D168" i="10"/>
  <c r="R45" i="10"/>
  <c r="W146" i="10"/>
  <c r="R78" i="3"/>
  <c r="B183" i="3"/>
  <c r="B174" i="10"/>
  <c r="C20" i="51"/>
  <c r="D168" i="3"/>
  <c r="B182" i="3"/>
  <c r="R69" i="9"/>
  <c r="G159" i="9"/>
  <c r="R70" i="10"/>
  <c r="R76" i="9"/>
  <c r="B188" i="10"/>
  <c r="C186" i="9"/>
  <c r="C171" i="10"/>
  <c r="R77" i="10"/>
  <c r="W136" i="10"/>
  <c r="Z136" i="10" s="1"/>
  <c r="AC136" i="10" s="1"/>
  <c r="D199" i="10" s="1"/>
  <c r="R86" i="9"/>
  <c r="D185" i="3"/>
  <c r="R72" i="3"/>
  <c r="R74" i="3"/>
  <c r="R44" i="3"/>
  <c r="C181" i="3"/>
  <c r="C173" i="9"/>
  <c r="R60" i="10"/>
  <c r="H159" i="9"/>
  <c r="D178" i="3"/>
  <c r="D176" i="3"/>
  <c r="D182" i="10"/>
  <c r="F53" i="47"/>
  <c r="F54" i="47" s="1"/>
  <c r="E91" i="9"/>
  <c r="G91" i="9" s="1"/>
  <c r="H91" i="9" s="1"/>
  <c r="I91" i="9" s="1"/>
  <c r="C171" i="9"/>
  <c r="C170" i="3"/>
  <c r="B173" i="10"/>
  <c r="D184" i="9"/>
  <c r="N109" i="10"/>
  <c r="C207" i="10" s="1"/>
  <c r="R46" i="3"/>
  <c r="C181" i="10"/>
  <c r="R36" i="3"/>
  <c r="D170" i="3"/>
  <c r="V145" i="10"/>
  <c r="B181" i="10"/>
  <c r="D182" i="9"/>
  <c r="B170" i="3"/>
  <c r="O67" i="9"/>
  <c r="K91" i="9"/>
  <c r="V138" i="9"/>
  <c r="G7" i="51"/>
  <c r="T138" i="9"/>
  <c r="W138" i="9" s="1"/>
  <c r="Z138" i="9" s="1"/>
  <c r="D201" i="9" s="1"/>
  <c r="V142" i="3"/>
  <c r="C14" i="51"/>
  <c r="T142" i="3"/>
  <c r="W142" i="3" s="1"/>
  <c r="Z142" i="3" s="1"/>
  <c r="D205" i="3" s="1"/>
  <c r="E21" i="51"/>
  <c r="W152" i="10"/>
  <c r="Z152" i="10" s="1"/>
  <c r="AC152" i="10" s="1"/>
  <c r="D215" i="10" s="1"/>
  <c r="V152" i="10"/>
  <c r="R89" i="10"/>
  <c r="B179" i="3"/>
  <c r="R45" i="3"/>
  <c r="C167" i="9"/>
  <c r="P67" i="9"/>
  <c r="P91" i="9" s="1"/>
  <c r="L91" i="9"/>
  <c r="B183" i="10"/>
  <c r="R87" i="9"/>
  <c r="J121" i="3"/>
  <c r="E17" i="51"/>
  <c r="W148" i="10"/>
  <c r="N122" i="10"/>
  <c r="C220" i="10" s="1"/>
  <c r="V155" i="9"/>
  <c r="G24" i="51"/>
  <c r="T155" i="9"/>
  <c r="W155" i="9" s="1"/>
  <c r="Z155" i="9" s="1"/>
  <c r="D218" i="9" s="1"/>
  <c r="C55" i="51"/>
  <c r="L124" i="9"/>
  <c r="R82" i="9"/>
  <c r="P58" i="3"/>
  <c r="C179" i="9"/>
  <c r="B190" i="10"/>
  <c r="C175" i="9"/>
  <c r="D167" i="9"/>
  <c r="Q67" i="9"/>
  <c r="Q91" i="9" s="1"/>
  <c r="M91" i="9"/>
  <c r="V146" i="9"/>
  <c r="G15" i="51"/>
  <c r="T146" i="9"/>
  <c r="W146" i="9" s="1"/>
  <c r="Z146" i="9" s="1"/>
  <c r="D209" i="9" s="1"/>
  <c r="B170" i="10"/>
  <c r="K121" i="3"/>
  <c r="C36" i="51"/>
  <c r="B164" i="3"/>
  <c r="O64" i="3"/>
  <c r="K88" i="3"/>
  <c r="C52" i="51"/>
  <c r="B185" i="9"/>
  <c r="E57" i="51"/>
  <c r="E60" i="51" s="1"/>
  <c r="G121" i="3"/>
  <c r="F58" i="3"/>
  <c r="J58" i="3"/>
  <c r="C37" i="51"/>
  <c r="C51" i="51"/>
  <c r="C182" i="9"/>
  <c r="R87" i="10"/>
  <c r="R80" i="3"/>
  <c r="C39" i="51"/>
  <c r="C179" i="10"/>
  <c r="C43" i="51"/>
  <c r="C176" i="9"/>
  <c r="R73" i="9"/>
  <c r="C42" i="51"/>
  <c r="N117" i="10"/>
  <c r="C215" i="10" s="1"/>
  <c r="P61" i="10"/>
  <c r="C10" i="51"/>
  <c r="V138" i="3"/>
  <c r="T138" i="3"/>
  <c r="W138" i="3" s="1"/>
  <c r="Z138" i="3" s="1"/>
  <c r="D201" i="3" s="1"/>
  <c r="R34" i="3"/>
  <c r="O58" i="3"/>
  <c r="D173" i="9"/>
  <c r="D172" i="9"/>
  <c r="N121" i="10"/>
  <c r="C219" i="10" s="1"/>
  <c r="B174" i="3"/>
  <c r="C47" i="51"/>
  <c r="D170" i="9"/>
  <c r="R54" i="9"/>
  <c r="D159" i="9"/>
  <c r="B184" i="3"/>
  <c r="R90" i="9"/>
  <c r="C34" i="51"/>
  <c r="E4" i="51"/>
  <c r="W135" i="10"/>
  <c r="Q159" i="10"/>
  <c r="D166" i="3"/>
  <c r="R71" i="10"/>
  <c r="C170" i="10"/>
  <c r="R80" i="10"/>
  <c r="M121" i="3"/>
  <c r="B182" i="10"/>
  <c r="J124" i="10"/>
  <c r="T147" i="9"/>
  <c r="W147" i="9" s="1"/>
  <c r="Z147" i="9" s="1"/>
  <c r="D210" i="9" s="1"/>
  <c r="G16" i="51"/>
  <c r="V147" i="9"/>
  <c r="B169" i="10"/>
  <c r="K124" i="9"/>
  <c r="N116" i="10"/>
  <c r="C214" i="10" s="1"/>
  <c r="D175" i="9"/>
  <c r="N103" i="10"/>
  <c r="C201" i="10" s="1"/>
  <c r="B189" i="9"/>
  <c r="R52" i="9"/>
  <c r="B180" i="10"/>
  <c r="N120" i="10"/>
  <c r="C218" i="10" s="1"/>
  <c r="R53" i="3"/>
  <c r="C56" i="51"/>
  <c r="E91" i="10"/>
  <c r="G91" i="10" s="1"/>
  <c r="H91" i="10" s="1"/>
  <c r="I91" i="10" s="1"/>
  <c r="N119" i="10"/>
  <c r="C217" i="10" s="1"/>
  <c r="D172" i="10"/>
  <c r="R38" i="3"/>
  <c r="C91" i="9"/>
  <c r="N110" i="10"/>
  <c r="C208" i="10" s="1"/>
  <c r="E13" i="51"/>
  <c r="W144" i="10"/>
  <c r="C176" i="3"/>
  <c r="R73" i="3"/>
  <c r="R148" i="10"/>
  <c r="S148" i="10" s="1"/>
  <c r="X148" i="10" s="1"/>
  <c r="V157" i="10"/>
  <c r="N102" i="10"/>
  <c r="C200" i="10" s="1"/>
  <c r="C46" i="51"/>
  <c r="C48" i="51"/>
  <c r="C174" i="10"/>
  <c r="R84" i="9"/>
  <c r="E8" i="51"/>
  <c r="W139" i="10"/>
  <c r="Z139" i="10" s="1"/>
  <c r="AC139" i="10" s="1"/>
  <c r="D202" i="10" s="1"/>
  <c r="V139" i="10"/>
  <c r="N108" i="10"/>
  <c r="C206" i="10" s="1"/>
  <c r="R88" i="10"/>
  <c r="D164" i="3"/>
  <c r="Q64" i="3"/>
  <c r="Q88" i="3" s="1"/>
  <c r="M88" i="3"/>
  <c r="M124" i="10"/>
  <c r="R81" i="9"/>
  <c r="R39" i="10"/>
  <c r="B183" i="9"/>
  <c r="D177" i="9"/>
  <c r="B172" i="10"/>
  <c r="R77" i="3"/>
  <c r="R48" i="9"/>
  <c r="B181" i="3"/>
  <c r="B175" i="10"/>
  <c r="R70" i="3"/>
  <c r="R59" i="9"/>
  <c r="N61" i="10"/>
  <c r="N62" i="10" s="1"/>
  <c r="E52" i="14"/>
  <c r="C185" i="3"/>
  <c r="R65" i="3"/>
  <c r="D185" i="10"/>
  <c r="R76" i="10"/>
  <c r="D173" i="3"/>
  <c r="R82" i="3"/>
  <c r="B169" i="9"/>
  <c r="C45" i="51"/>
  <c r="B189" i="10"/>
  <c r="J159" i="10"/>
  <c r="F159" i="10"/>
  <c r="D185" i="9"/>
  <c r="B185" i="3"/>
  <c r="R88" i="9"/>
  <c r="D187" i="10"/>
  <c r="AJ63" i="30"/>
  <c r="N105" i="10"/>
  <c r="C203" i="10" s="1"/>
  <c r="E159" i="9"/>
  <c r="L159" i="9"/>
  <c r="D177" i="3"/>
  <c r="N106" i="10"/>
  <c r="C204" i="10" s="1"/>
  <c r="R42" i="3"/>
  <c r="B186" i="10"/>
  <c r="C165" i="3"/>
  <c r="C188" i="9"/>
  <c r="C22" i="51"/>
  <c r="V150" i="3"/>
  <c r="T150" i="3"/>
  <c r="W150" i="3" s="1"/>
  <c r="Z150" i="3" s="1"/>
  <c r="D213" i="3" s="1"/>
  <c r="R81" i="10"/>
  <c r="B184" i="10"/>
  <c r="D190" i="9"/>
  <c r="R69" i="3"/>
  <c r="R141" i="10"/>
  <c r="S141" i="10" s="1"/>
  <c r="B171" i="10"/>
  <c r="C190" i="9"/>
  <c r="N104" i="10"/>
  <c r="C202" i="10" s="1"/>
  <c r="D181" i="10"/>
  <c r="D189" i="10"/>
  <c r="C27" i="51"/>
  <c r="T155" i="3"/>
  <c r="W155" i="3" s="1"/>
  <c r="Z155" i="3" s="1"/>
  <c r="D218" i="3" s="1"/>
  <c r="V155" i="3"/>
  <c r="C169" i="10"/>
  <c r="R83" i="3"/>
  <c r="B180" i="9"/>
  <c r="C173" i="10"/>
  <c r="D184" i="3"/>
  <c r="C176" i="10"/>
  <c r="C190" i="10"/>
  <c r="C4" i="51"/>
  <c r="V132" i="3"/>
  <c r="T132" i="3"/>
  <c r="W132" i="3" s="1"/>
  <c r="Z132" i="3" s="1"/>
  <c r="D195" i="3" s="1"/>
  <c r="T141" i="9"/>
  <c r="W141" i="9" s="1"/>
  <c r="Z141" i="9" s="1"/>
  <c r="D204" i="9" s="1"/>
  <c r="G10" i="51"/>
  <c r="V141" i="9"/>
  <c r="C7" i="51"/>
  <c r="V135" i="3"/>
  <c r="T135" i="3"/>
  <c r="W135" i="3" s="1"/>
  <c r="Z135" i="3" s="1"/>
  <c r="D198" i="3" s="1"/>
  <c r="J61" i="9"/>
  <c r="C62" i="9"/>
  <c r="F61" i="9"/>
  <c r="F62" i="9" s="1"/>
  <c r="W138" i="10"/>
  <c r="E7" i="51"/>
  <c r="T150" i="9"/>
  <c r="W150" i="9" s="1"/>
  <c r="Z150" i="9" s="1"/>
  <c r="D213" i="9" s="1"/>
  <c r="V150" i="9"/>
  <c r="G19" i="51"/>
  <c r="C50" i="51"/>
  <c r="V148" i="9"/>
  <c r="G17" i="51"/>
  <c r="T148" i="9"/>
  <c r="W148" i="9" s="1"/>
  <c r="Z148" i="9" s="1"/>
  <c r="D211" i="9" s="1"/>
  <c r="C35" i="51"/>
  <c r="D171" i="9"/>
  <c r="R138" i="10"/>
  <c r="S138" i="10" s="1"/>
  <c r="X138" i="10" s="1"/>
  <c r="R48" i="10"/>
  <c r="B172" i="9"/>
  <c r="R144" i="10"/>
  <c r="S144" i="10" s="1"/>
  <c r="X144" i="10" s="1"/>
  <c r="W142" i="10"/>
  <c r="E11" i="51"/>
  <c r="C187" i="9"/>
  <c r="C17" i="51"/>
  <c r="V145" i="3"/>
  <c r="T145" i="3"/>
  <c r="W145" i="3" s="1"/>
  <c r="Z145" i="3" s="1"/>
  <c r="D208" i="3" s="1"/>
  <c r="R90" i="10"/>
  <c r="C182" i="3"/>
  <c r="V158" i="10"/>
  <c r="Q58" i="3"/>
  <c r="R41" i="3"/>
  <c r="R46" i="10"/>
  <c r="N112" i="10"/>
  <c r="C210" i="10" s="1"/>
  <c r="R75" i="10"/>
  <c r="R68" i="9"/>
  <c r="D188" i="10"/>
  <c r="R73" i="10"/>
  <c r="D173" i="10"/>
  <c r="B173" i="9"/>
  <c r="R51" i="9"/>
  <c r="R41" i="9"/>
  <c r="R77" i="9"/>
  <c r="R143" i="10"/>
  <c r="S143" i="10" s="1"/>
  <c r="C187" i="10"/>
  <c r="C189" i="10"/>
  <c r="Z145" i="10"/>
  <c r="AC145" i="10" s="1"/>
  <c r="D208" i="10" s="1"/>
  <c r="D187" i="9"/>
  <c r="G130" i="10"/>
  <c r="AO61" i="34"/>
  <c r="R57" i="3"/>
  <c r="B218" i="3" s="1"/>
  <c r="R75" i="9"/>
  <c r="R58" i="9"/>
  <c r="E22" i="51"/>
  <c r="W153" i="10"/>
  <c r="Z153" i="10" s="1"/>
  <c r="AC153" i="10" s="1"/>
  <c r="D216" i="10" s="1"/>
  <c r="V153" i="10"/>
  <c r="J124" i="9"/>
  <c r="C38" i="51"/>
  <c r="D169" i="10"/>
  <c r="B176" i="9"/>
  <c r="V147" i="10"/>
  <c r="T140" i="9"/>
  <c r="W140" i="9" s="1"/>
  <c r="Z140" i="9" s="1"/>
  <c r="D203" i="9" s="1"/>
  <c r="V140" i="9"/>
  <c r="G9" i="51"/>
  <c r="C33" i="51"/>
  <c r="C54" i="51"/>
  <c r="R84" i="10"/>
  <c r="R47" i="3"/>
  <c r="B186" i="9"/>
  <c r="D167" i="10"/>
  <c r="M91" i="10"/>
  <c r="Q67" i="10"/>
  <c r="Q91" i="10" s="1"/>
  <c r="R49" i="9"/>
  <c r="R44" i="10"/>
  <c r="R66" i="3"/>
  <c r="G76" i="14"/>
  <c r="A227" i="9"/>
  <c r="R43" i="9"/>
  <c r="W149" i="10"/>
  <c r="Z149" i="10" s="1"/>
  <c r="AC149" i="10" s="1"/>
  <c r="D212" i="10" s="1"/>
  <c r="E18" i="51"/>
  <c r="V149" i="10"/>
  <c r="R85" i="10"/>
  <c r="R146" i="10"/>
  <c r="S146" i="10" s="1"/>
  <c r="R53" i="10"/>
  <c r="R89" i="9"/>
  <c r="V140" i="10"/>
  <c r="R82" i="10"/>
  <c r="B174" i="9"/>
  <c r="R151" i="10"/>
  <c r="S151" i="10" s="1"/>
  <c r="R69" i="10"/>
  <c r="L121" i="3"/>
  <c r="R40" i="3"/>
  <c r="R84" i="3"/>
  <c r="R86" i="10"/>
  <c r="R47" i="10"/>
  <c r="R48" i="3"/>
  <c r="R71" i="3"/>
  <c r="G25" i="51"/>
  <c r="T156" i="9"/>
  <c r="W156" i="9" s="1"/>
  <c r="Z156" i="9" s="1"/>
  <c r="D219" i="9" s="1"/>
  <c r="V156" i="9"/>
  <c r="R72" i="10"/>
  <c r="E24" i="51"/>
  <c r="W155" i="10"/>
  <c r="Z155" i="10" s="1"/>
  <c r="AC155" i="10" s="1"/>
  <c r="D218" i="10" s="1"/>
  <c r="V155" i="10"/>
  <c r="C49" i="51"/>
  <c r="C171" i="3"/>
  <c r="R70" i="9"/>
  <c r="B201" i="9" s="1"/>
  <c r="T157" i="9"/>
  <c r="W157" i="9" s="1"/>
  <c r="Z157" i="9" s="1"/>
  <c r="D220" i="9" s="1"/>
  <c r="V157" i="9"/>
  <c r="G26" i="51"/>
  <c r="G127" i="3"/>
  <c r="AM61" i="34"/>
  <c r="R154" i="10"/>
  <c r="S154" i="10" s="1"/>
  <c r="T143" i="9"/>
  <c r="W143" i="9" s="1"/>
  <c r="Z143" i="9" s="1"/>
  <c r="D206" i="9" s="1"/>
  <c r="G12" i="51"/>
  <c r="V143" i="9"/>
  <c r="M124" i="9"/>
  <c r="B170" i="9"/>
  <c r="F29" i="50"/>
  <c r="R46" i="9"/>
  <c r="R79" i="9"/>
  <c r="C76" i="14"/>
  <c r="A224" i="3"/>
  <c r="T140" i="3"/>
  <c r="W140" i="3" s="1"/>
  <c r="Z140" i="3" s="1"/>
  <c r="D203" i="3" s="1"/>
  <c r="C12" i="51"/>
  <c r="V140" i="3"/>
  <c r="AJ122" i="30"/>
  <c r="B177" i="9"/>
  <c r="B182" i="9"/>
  <c r="T142" i="9"/>
  <c r="W142" i="9" s="1"/>
  <c r="Z142" i="9" s="1"/>
  <c r="D205" i="9" s="1"/>
  <c r="G11" i="51"/>
  <c r="V142" i="9"/>
  <c r="R78" i="9"/>
  <c r="R56" i="9"/>
  <c r="B167" i="3"/>
  <c r="B168" i="3"/>
  <c r="K159" i="9"/>
  <c r="D184" i="10"/>
  <c r="R58" i="10"/>
  <c r="C180" i="3"/>
  <c r="R44" i="9"/>
  <c r="R40" i="10"/>
  <c r="G14" i="51"/>
  <c r="T145" i="9"/>
  <c r="W145" i="9" s="1"/>
  <c r="Z145" i="9" s="1"/>
  <c r="D208" i="9" s="1"/>
  <c r="V145" i="9"/>
  <c r="G4" i="51"/>
  <c r="V135" i="9"/>
  <c r="T135" i="9"/>
  <c r="W135" i="9" s="1"/>
  <c r="Z135" i="9" s="1"/>
  <c r="D198" i="9" s="1"/>
  <c r="R38" i="10"/>
  <c r="D179" i="9"/>
  <c r="Q61" i="9"/>
  <c r="V136" i="10"/>
  <c r="C169" i="3"/>
  <c r="B167" i="9"/>
  <c r="T136" i="9"/>
  <c r="W136" i="9" s="1"/>
  <c r="Z136" i="9" s="1"/>
  <c r="D199" i="9" s="1"/>
  <c r="V136" i="9"/>
  <c r="G5" i="51"/>
  <c r="D190" i="10"/>
  <c r="R76" i="3"/>
  <c r="C178" i="9"/>
  <c r="N123" i="10"/>
  <c r="C221" i="10" s="1"/>
  <c r="R35" i="3"/>
  <c r="C184" i="10"/>
  <c r="B178" i="9"/>
  <c r="D186" i="3"/>
  <c r="P61" i="9"/>
  <c r="C11" i="51"/>
  <c r="T139" i="3"/>
  <c r="W139" i="3" s="1"/>
  <c r="Z139" i="3" s="1"/>
  <c r="D202" i="3" s="1"/>
  <c r="V139" i="3"/>
  <c r="R47" i="9"/>
  <c r="C53" i="51"/>
  <c r="R74" i="10"/>
  <c r="D178" i="9"/>
  <c r="I159" i="10"/>
  <c r="B167" i="10"/>
  <c r="K91" i="10"/>
  <c r="O67" i="10"/>
  <c r="R52" i="3"/>
  <c r="R71" i="9"/>
  <c r="V150" i="10"/>
  <c r="C41" i="51"/>
  <c r="R37" i="3"/>
  <c r="F159" i="9"/>
  <c r="C182" i="10"/>
  <c r="R54" i="3"/>
  <c r="R79" i="10"/>
  <c r="B172" i="3"/>
  <c r="C166" i="3"/>
  <c r="C181" i="9"/>
  <c r="R51" i="10"/>
  <c r="C168" i="9"/>
  <c r="R49" i="10"/>
  <c r="C44" i="51"/>
  <c r="R156" i="10"/>
  <c r="S156" i="10" s="1"/>
  <c r="N62" i="9"/>
  <c r="C178" i="3"/>
  <c r="H156" i="3"/>
  <c r="R86" i="3"/>
  <c r="C180" i="10"/>
  <c r="B185" i="10"/>
  <c r="B186" i="3"/>
  <c r="N113" i="10"/>
  <c r="C211" i="10" s="1"/>
  <c r="C21" i="51"/>
  <c r="T149" i="3"/>
  <c r="W149" i="3" s="1"/>
  <c r="Z149" i="3" s="1"/>
  <c r="D212" i="3" s="1"/>
  <c r="V149" i="3"/>
  <c r="R37" i="9"/>
  <c r="O61" i="9"/>
  <c r="R52" i="10"/>
  <c r="C174" i="9"/>
  <c r="C168" i="10"/>
  <c r="F156" i="3"/>
  <c r="K156" i="3"/>
  <c r="C164" i="3"/>
  <c r="L88" i="3"/>
  <c r="P64" i="3"/>
  <c r="P88" i="3" s="1"/>
  <c r="K124" i="10"/>
  <c r="N100" i="10"/>
  <c r="D172" i="3"/>
  <c r="R53" i="9"/>
  <c r="R42" i="10"/>
  <c r="N115" i="10"/>
  <c r="C213" i="10" s="1"/>
  <c r="B176" i="3"/>
  <c r="R51" i="3"/>
  <c r="C177" i="3"/>
  <c r="T144" i="3"/>
  <c r="W144" i="3" s="1"/>
  <c r="Z144" i="3" s="1"/>
  <c r="D207" i="3" s="1"/>
  <c r="V144" i="3"/>
  <c r="C16" i="51"/>
  <c r="O61" i="10"/>
  <c r="R37" i="10"/>
  <c r="R50" i="10"/>
  <c r="N114" i="10"/>
  <c r="C212" i="10" s="1"/>
  <c r="R39" i="9"/>
  <c r="R59" i="10"/>
  <c r="L159" i="10"/>
  <c r="C167" i="10"/>
  <c r="P67" i="10"/>
  <c r="P91" i="10" s="1"/>
  <c r="L91" i="10"/>
  <c r="R55" i="3"/>
  <c r="R137" i="10"/>
  <c r="S137" i="10" s="1"/>
  <c r="V153" i="9"/>
  <c r="G22" i="51"/>
  <c r="T153" i="9"/>
  <c r="W153" i="9" s="1"/>
  <c r="Z153" i="9" s="1"/>
  <c r="D216" i="9" s="1"/>
  <c r="N107" i="10"/>
  <c r="C205" i="10" s="1"/>
  <c r="D165" i="3"/>
  <c r="C177" i="9"/>
  <c r="D182" i="3"/>
  <c r="D91" i="9"/>
  <c r="R142" i="10"/>
  <c r="S142" i="10" s="1"/>
  <c r="X142" i="10" s="1"/>
  <c r="B168" i="9"/>
  <c r="C183" i="3"/>
  <c r="G57" i="51"/>
  <c r="G60" i="51" s="1"/>
  <c r="R56" i="10"/>
  <c r="T154" i="3"/>
  <c r="W154" i="3" s="1"/>
  <c r="Z154" i="3" s="1"/>
  <c r="D217" i="3" s="1"/>
  <c r="V154" i="3"/>
  <c r="C26" i="51"/>
  <c r="R54" i="10"/>
  <c r="D167" i="3"/>
  <c r="C168" i="3"/>
  <c r="B178" i="10"/>
  <c r="R41" i="10"/>
  <c r="D176" i="10"/>
  <c r="S135" i="10"/>
  <c r="V135" i="10" s="1"/>
  <c r="C40" i="51"/>
  <c r="G131" i="9"/>
  <c r="D130" i="9"/>
  <c r="B175" i="9"/>
  <c r="B187" i="9"/>
  <c r="C183" i="10"/>
  <c r="Q61" i="10"/>
  <c r="R50" i="9"/>
  <c r="Q156" i="3"/>
  <c r="B205" i="9" l="1"/>
  <c r="B199" i="3"/>
  <c r="B201" i="10"/>
  <c r="B204" i="10"/>
  <c r="B206" i="3"/>
  <c r="B212" i="3"/>
  <c r="B209" i="3"/>
  <c r="E181" i="9"/>
  <c r="E212" i="9" s="1"/>
  <c r="E188" i="9"/>
  <c r="E219" i="9" s="1"/>
  <c r="B202" i="10"/>
  <c r="E180" i="3"/>
  <c r="E211" i="3" s="1"/>
  <c r="B217" i="3"/>
  <c r="B213" i="9"/>
  <c r="B211" i="3"/>
  <c r="B205" i="3"/>
  <c r="B218" i="10"/>
  <c r="B217" i="10"/>
  <c r="E181" i="3"/>
  <c r="E212" i="3" s="1"/>
  <c r="B204" i="3"/>
  <c r="B214" i="9"/>
  <c r="E179" i="10"/>
  <c r="E210" i="10" s="1"/>
  <c r="E174" i="3"/>
  <c r="E205" i="3" s="1"/>
  <c r="E166" i="3"/>
  <c r="E197" i="3" s="1"/>
  <c r="E180" i="9"/>
  <c r="E211" i="9" s="1"/>
  <c r="B206" i="9"/>
  <c r="E187" i="3"/>
  <c r="E218" i="3" s="1"/>
  <c r="F218" i="3" s="1"/>
  <c r="B215" i="10"/>
  <c r="B212" i="9"/>
  <c r="B211" i="9"/>
  <c r="B198" i="3"/>
  <c r="E190" i="9"/>
  <c r="E221" i="9" s="1"/>
  <c r="E187" i="10"/>
  <c r="E218" i="10" s="1"/>
  <c r="F218" i="10" s="1"/>
  <c r="F91" i="10"/>
  <c r="E176" i="9"/>
  <c r="E207" i="9" s="1"/>
  <c r="B216" i="9"/>
  <c r="Z142" i="10"/>
  <c r="E176" i="3"/>
  <c r="E207" i="3" s="1"/>
  <c r="E177" i="10"/>
  <c r="E208" i="10" s="1"/>
  <c r="E169" i="9"/>
  <c r="E200" i="9" s="1"/>
  <c r="E176" i="10"/>
  <c r="E207" i="10" s="1"/>
  <c r="E179" i="9"/>
  <c r="E210" i="9" s="1"/>
  <c r="E188" i="10"/>
  <c r="E219" i="10" s="1"/>
  <c r="B203" i="3"/>
  <c r="E183" i="9"/>
  <c r="E214" i="9" s="1"/>
  <c r="F214" i="9" s="1"/>
  <c r="F88" i="3"/>
  <c r="B197" i="3"/>
  <c r="B199" i="9"/>
  <c r="E179" i="3"/>
  <c r="E210" i="3" s="1"/>
  <c r="E170" i="3"/>
  <c r="E201" i="3" s="1"/>
  <c r="B221" i="10"/>
  <c r="B210" i="3"/>
  <c r="E171" i="10"/>
  <c r="E202" i="10" s="1"/>
  <c r="B199" i="10"/>
  <c r="E175" i="10"/>
  <c r="E206" i="10" s="1"/>
  <c r="V142" i="10"/>
  <c r="E178" i="10"/>
  <c r="E209" i="10" s="1"/>
  <c r="Q160" i="9"/>
  <c r="J88" i="3"/>
  <c r="E183" i="3"/>
  <c r="E214" i="3" s="1"/>
  <c r="B208" i="9"/>
  <c r="D191" i="10"/>
  <c r="B206" i="10"/>
  <c r="E169" i="3"/>
  <c r="E200" i="3" s="1"/>
  <c r="E173" i="9"/>
  <c r="E204" i="9" s="1"/>
  <c r="E189" i="9"/>
  <c r="E220" i="9" s="1"/>
  <c r="E173" i="3"/>
  <c r="E204" i="3" s="1"/>
  <c r="B207" i="3"/>
  <c r="E171" i="3"/>
  <c r="E202" i="3" s="1"/>
  <c r="B209" i="10"/>
  <c r="E171" i="9"/>
  <c r="E202" i="9" s="1"/>
  <c r="B221" i="9"/>
  <c r="E175" i="3"/>
  <c r="E206" i="3" s="1"/>
  <c r="F206" i="3" s="1"/>
  <c r="B214" i="10"/>
  <c r="E186" i="9"/>
  <c r="E217" i="9" s="1"/>
  <c r="B203" i="9"/>
  <c r="B216" i="3"/>
  <c r="B211" i="10"/>
  <c r="B207" i="9"/>
  <c r="B216" i="10"/>
  <c r="E174" i="10"/>
  <c r="E205" i="10" s="1"/>
  <c r="B218" i="9"/>
  <c r="E184" i="9"/>
  <c r="E215" i="9" s="1"/>
  <c r="B208" i="10"/>
  <c r="B205" i="10"/>
  <c r="B200" i="3"/>
  <c r="E172" i="10"/>
  <c r="E203" i="10" s="1"/>
  <c r="E165" i="3"/>
  <c r="E196" i="3" s="1"/>
  <c r="E175" i="9"/>
  <c r="E206" i="9" s="1"/>
  <c r="E168" i="10"/>
  <c r="E199" i="10" s="1"/>
  <c r="B196" i="3"/>
  <c r="D222" i="9"/>
  <c r="D223" i="9" s="1"/>
  <c r="E170" i="9"/>
  <c r="E201" i="9" s="1"/>
  <c r="F201" i="9" s="1"/>
  <c r="G22" i="14" s="1"/>
  <c r="E174" i="9"/>
  <c r="E205" i="9" s="1"/>
  <c r="F205" i="9" s="1"/>
  <c r="B210" i="9"/>
  <c r="E186" i="10"/>
  <c r="E217" i="10" s="1"/>
  <c r="E169" i="10"/>
  <c r="E200" i="10" s="1"/>
  <c r="E184" i="3"/>
  <c r="E215" i="3" s="1"/>
  <c r="E178" i="3"/>
  <c r="E209" i="3" s="1"/>
  <c r="B217" i="9"/>
  <c r="E182" i="3"/>
  <c r="E213" i="3" s="1"/>
  <c r="B220" i="10"/>
  <c r="E186" i="3"/>
  <c r="E217" i="3" s="1"/>
  <c r="B202" i="3"/>
  <c r="Z144" i="10"/>
  <c r="AC144" i="10" s="1"/>
  <c r="D207" i="10" s="1"/>
  <c r="E184" i="10"/>
  <c r="E215" i="10" s="1"/>
  <c r="B220" i="9"/>
  <c r="V148" i="10"/>
  <c r="B200" i="9"/>
  <c r="E177" i="3"/>
  <c r="E208" i="3" s="1"/>
  <c r="B210" i="10"/>
  <c r="F210" i="10" s="1"/>
  <c r="E31" i="14" s="1"/>
  <c r="E172" i="9"/>
  <c r="E203" i="9" s="1"/>
  <c r="E173" i="10"/>
  <c r="E204" i="10" s="1"/>
  <c r="E181" i="10"/>
  <c r="E212" i="10" s="1"/>
  <c r="E185" i="3"/>
  <c r="E216" i="3" s="1"/>
  <c r="B200" i="10"/>
  <c r="R61" i="10"/>
  <c r="S51" i="10" s="1"/>
  <c r="C188" i="3"/>
  <c r="N91" i="10"/>
  <c r="A231" i="10" s="1"/>
  <c r="B219" i="10"/>
  <c r="X151" i="10"/>
  <c r="Z151" i="10" s="1"/>
  <c r="AC151" i="10" s="1"/>
  <c r="D214" i="10" s="1"/>
  <c r="V151" i="10"/>
  <c r="D219" i="3"/>
  <c r="V144" i="10"/>
  <c r="C191" i="9"/>
  <c r="B203" i="10"/>
  <c r="V156" i="3"/>
  <c r="Q157" i="3"/>
  <c r="T156" i="3"/>
  <c r="W156" i="3" s="1"/>
  <c r="Z156" i="3" s="1"/>
  <c r="AA156" i="3" s="1"/>
  <c r="X154" i="10"/>
  <c r="Z154" i="10" s="1"/>
  <c r="AC154" i="10" s="1"/>
  <c r="D217" i="10" s="1"/>
  <c r="V154" i="10"/>
  <c r="B214" i="3"/>
  <c r="N88" i="3"/>
  <c r="A225" i="3" s="1"/>
  <c r="E190" i="10"/>
  <c r="E221" i="10" s="1"/>
  <c r="R67" i="9"/>
  <c r="R91" i="9" s="1"/>
  <c r="O91" i="9"/>
  <c r="R159" i="10"/>
  <c r="C198" i="10"/>
  <c r="C222" i="10" s="1"/>
  <c r="N124" i="10"/>
  <c r="X156" i="10"/>
  <c r="Z156" i="10" s="1"/>
  <c r="AC156" i="10" s="1"/>
  <c r="D219" i="10" s="1"/>
  <c r="V156" i="10"/>
  <c r="E172" i="3"/>
  <c r="E203" i="3" s="1"/>
  <c r="E167" i="3"/>
  <c r="E198" i="3" s="1"/>
  <c r="E182" i="9"/>
  <c r="E213" i="9" s="1"/>
  <c r="C22" i="12"/>
  <c r="B208" i="3"/>
  <c r="X143" i="10"/>
  <c r="Z143" i="10" s="1"/>
  <c r="AC143" i="10" s="1"/>
  <c r="D206" i="10" s="1"/>
  <c r="V143" i="10"/>
  <c r="V138" i="10"/>
  <c r="X141" i="10"/>
  <c r="Z141" i="10" s="1"/>
  <c r="AC141" i="10" s="1"/>
  <c r="D204" i="10" s="1"/>
  <c r="V141" i="10"/>
  <c r="E189" i="10"/>
  <c r="E220" i="10" s="1"/>
  <c r="B209" i="9"/>
  <c r="J91" i="9"/>
  <c r="F91" i="9"/>
  <c r="F92" i="9" s="1"/>
  <c r="C92" i="9"/>
  <c r="E182" i="10"/>
  <c r="E213" i="10" s="1"/>
  <c r="B215" i="9"/>
  <c r="R64" i="3"/>
  <c r="R88" i="3" s="1"/>
  <c r="O88" i="3"/>
  <c r="R61" i="9"/>
  <c r="S62" i="9" s="1"/>
  <c r="X146" i="10"/>
  <c r="Z146" i="10" s="1"/>
  <c r="V146" i="10"/>
  <c r="V159" i="9"/>
  <c r="V160" i="9" s="1"/>
  <c r="D191" i="9"/>
  <c r="G28" i="51"/>
  <c r="C57" i="51"/>
  <c r="C60" i="51" s="1"/>
  <c r="E168" i="9"/>
  <c r="E199" i="9" s="1"/>
  <c r="B219" i="9"/>
  <c r="N91" i="9"/>
  <c r="A228" i="9" s="1"/>
  <c r="B201" i="3"/>
  <c r="S159" i="10"/>
  <c r="V159" i="10" s="1"/>
  <c r="X135" i="10"/>
  <c r="Z135" i="10" s="1"/>
  <c r="B213" i="10"/>
  <c r="E185" i="10"/>
  <c r="E216" i="10" s="1"/>
  <c r="E178" i="9"/>
  <c r="E209" i="9" s="1"/>
  <c r="E177" i="9"/>
  <c r="E208" i="9" s="1"/>
  <c r="C82" i="14"/>
  <c r="C77" i="14"/>
  <c r="D127" i="3"/>
  <c r="G128" i="3"/>
  <c r="B204" i="9"/>
  <c r="Z138" i="10"/>
  <c r="AC138" i="10" s="1"/>
  <c r="D201" i="10" s="1"/>
  <c r="Z148" i="10"/>
  <c r="AC148" i="10" s="1"/>
  <c r="D211" i="10" s="1"/>
  <c r="E180" i="10"/>
  <c r="E211" i="10" s="1"/>
  <c r="W159" i="10"/>
  <c r="E185" i="9"/>
  <c r="E216" i="9" s="1"/>
  <c r="E164" i="3"/>
  <c r="B188" i="3"/>
  <c r="E183" i="10"/>
  <c r="E214" i="10" s="1"/>
  <c r="R67" i="10"/>
  <c r="R91" i="10" s="1"/>
  <c r="O91" i="10"/>
  <c r="B191" i="9"/>
  <c r="E167" i="9"/>
  <c r="E76" i="14"/>
  <c r="A230" i="10"/>
  <c r="G77" i="14"/>
  <c r="B212" i="10"/>
  <c r="E167" i="10"/>
  <c r="E198" i="10" s="1"/>
  <c r="B191" i="10"/>
  <c r="E191" i="10" s="1"/>
  <c r="J91" i="10"/>
  <c r="C191" i="10"/>
  <c r="C28" i="51"/>
  <c r="E170" i="10"/>
  <c r="E201" i="10" s="1"/>
  <c r="E168" i="3"/>
  <c r="E199" i="3" s="1"/>
  <c r="F199" i="3" s="1"/>
  <c r="B207" i="10"/>
  <c r="E187" i="9"/>
  <c r="E218" i="9" s="1"/>
  <c r="X137" i="10"/>
  <c r="Z137" i="10" s="1"/>
  <c r="AC137" i="10" s="1"/>
  <c r="D200" i="10" s="1"/>
  <c r="V137" i="10"/>
  <c r="B215" i="3"/>
  <c r="B213" i="3"/>
  <c r="G131" i="10"/>
  <c r="D130" i="10"/>
  <c r="B202" i="9"/>
  <c r="D188" i="3"/>
  <c r="E28" i="51"/>
  <c r="R58" i="3"/>
  <c r="X59" i="3" s="1"/>
  <c r="F209" i="3" l="1"/>
  <c r="F212" i="3"/>
  <c r="F202" i="10"/>
  <c r="E23" i="14" s="1"/>
  <c r="F211" i="3"/>
  <c r="G211" i="3" s="1"/>
  <c r="F219" i="9"/>
  <c r="G219" i="9" s="1"/>
  <c r="F216" i="9"/>
  <c r="G216" i="9" s="1"/>
  <c r="F213" i="9"/>
  <c r="G213" i="9" s="1"/>
  <c r="F221" i="9"/>
  <c r="G42" i="14" s="1"/>
  <c r="F217" i="3"/>
  <c r="G217" i="3" s="1"/>
  <c r="F204" i="3"/>
  <c r="C28" i="14" s="1"/>
  <c r="F212" i="9"/>
  <c r="G33" i="14" s="1"/>
  <c r="F211" i="9"/>
  <c r="G32" i="14" s="1"/>
  <c r="F216" i="3"/>
  <c r="C40" i="14" s="1"/>
  <c r="F196" i="3"/>
  <c r="C20" i="14" s="1"/>
  <c r="F210" i="9"/>
  <c r="G31" i="14" s="1"/>
  <c r="F216" i="10"/>
  <c r="E37" i="14" s="1"/>
  <c r="F212" i="10"/>
  <c r="E33" i="14" s="1"/>
  <c r="F218" i="9"/>
  <c r="G39" i="14" s="1"/>
  <c r="F221" i="10"/>
  <c r="E42" i="14" s="1"/>
  <c r="F217" i="9"/>
  <c r="G217" i="9" s="1"/>
  <c r="F215" i="10"/>
  <c r="G215" i="10" s="1"/>
  <c r="F206" i="9"/>
  <c r="G27" i="14" s="1"/>
  <c r="F207" i="9"/>
  <c r="G28" i="14" s="1"/>
  <c r="F205" i="3"/>
  <c r="G205" i="3" s="1"/>
  <c r="F207" i="3"/>
  <c r="C31" i="14" s="1"/>
  <c r="F220" i="9"/>
  <c r="G41" i="14" s="1"/>
  <c r="N92" i="10"/>
  <c r="AC142" i="10"/>
  <c r="D205" i="10" s="1"/>
  <c r="F205" i="10" s="1"/>
  <c r="F200" i="9"/>
  <c r="G200" i="9" s="1"/>
  <c r="F197" i="3"/>
  <c r="G197" i="3" s="1"/>
  <c r="F199" i="9"/>
  <c r="G199" i="9" s="1"/>
  <c r="F210" i="3"/>
  <c r="G210" i="3" s="1"/>
  <c r="F204" i="9"/>
  <c r="G25" i="14" s="1"/>
  <c r="F200" i="3"/>
  <c r="C24" i="14" s="1"/>
  <c r="F198" i="3"/>
  <c r="G198" i="3" s="1"/>
  <c r="F203" i="10"/>
  <c r="E24" i="14" s="1"/>
  <c r="S92" i="9"/>
  <c r="F208" i="10"/>
  <c r="E29" i="14" s="1"/>
  <c r="F22" i="12"/>
  <c r="G25" i="12" s="1"/>
  <c r="D22" i="12"/>
  <c r="D25" i="12" s="1"/>
  <c r="F213" i="3"/>
  <c r="C37" i="14" s="1"/>
  <c r="F202" i="9"/>
  <c r="G23" i="14" s="1"/>
  <c r="F200" i="10"/>
  <c r="E21" i="14" s="1"/>
  <c r="F207" i="10"/>
  <c r="G207" i="10" s="1"/>
  <c r="S78" i="3"/>
  <c r="F203" i="9"/>
  <c r="G24" i="14" s="1"/>
  <c r="F208" i="9"/>
  <c r="G208" i="9" s="1"/>
  <c r="F213" i="10"/>
  <c r="E34" i="14" s="1"/>
  <c r="F215" i="9"/>
  <c r="G215" i="9" s="1"/>
  <c r="F204" i="10"/>
  <c r="G204" i="10" s="1"/>
  <c r="F199" i="10"/>
  <c r="E20" i="14" s="1"/>
  <c r="F201" i="3"/>
  <c r="C25" i="14" s="1"/>
  <c r="B198" i="9"/>
  <c r="B222" i="9" s="1"/>
  <c r="F203" i="3"/>
  <c r="C27" i="14" s="1"/>
  <c r="F214" i="3"/>
  <c r="G214" i="3" s="1"/>
  <c r="E10" i="14"/>
  <c r="X62" i="10"/>
  <c r="B195" i="3"/>
  <c r="B219" i="3" s="1"/>
  <c r="F202" i="3"/>
  <c r="C26" i="14" s="1"/>
  <c r="F219" i="10"/>
  <c r="G219" i="10" s="1"/>
  <c r="G210" i="10"/>
  <c r="F206" i="10"/>
  <c r="E27" i="14" s="1"/>
  <c r="F215" i="3"/>
  <c r="G215" i="3" s="1"/>
  <c r="N92" i="9"/>
  <c r="F220" i="10"/>
  <c r="E41" i="14" s="1"/>
  <c r="E22" i="12"/>
  <c r="F26" i="12" s="1"/>
  <c r="F201" i="10"/>
  <c r="E22" i="14" s="1"/>
  <c r="X62" i="9"/>
  <c r="G22" i="12"/>
  <c r="E26" i="12" s="1"/>
  <c r="F217" i="10"/>
  <c r="E38" i="14" s="1"/>
  <c r="E222" i="10"/>
  <c r="F8" i="14" s="1"/>
  <c r="G201" i="9"/>
  <c r="F211" i="10"/>
  <c r="G211" i="10" s="1"/>
  <c r="F208" i="3"/>
  <c r="C32" i="14" s="1"/>
  <c r="F214" i="10"/>
  <c r="G214" i="10" s="1"/>
  <c r="S160" i="10"/>
  <c r="C23" i="14"/>
  <c r="G199" i="3"/>
  <c r="D44" i="47"/>
  <c r="F20" i="31"/>
  <c r="F20" i="30"/>
  <c r="B55" i="12"/>
  <c r="F20" i="32"/>
  <c r="F209" i="9"/>
  <c r="C30" i="14"/>
  <c r="G206" i="3"/>
  <c r="D22" i="50"/>
  <c r="D18" i="50"/>
  <c r="D10" i="50"/>
  <c r="D49" i="47"/>
  <c r="B60" i="12"/>
  <c r="F25" i="30"/>
  <c r="F25" i="31"/>
  <c r="F25" i="32"/>
  <c r="E195" i="3"/>
  <c r="E219" i="3" s="1"/>
  <c r="E188" i="3"/>
  <c r="G205" i="9"/>
  <c r="G26" i="14"/>
  <c r="D35" i="47"/>
  <c r="B46" i="12"/>
  <c r="F11" i="31"/>
  <c r="F11" i="30"/>
  <c r="F11" i="32"/>
  <c r="D25" i="50"/>
  <c r="D17" i="50"/>
  <c r="D9" i="50"/>
  <c r="Z159" i="10"/>
  <c r="AC159" i="10" s="1"/>
  <c r="AD159" i="10" s="1"/>
  <c r="AC135" i="10"/>
  <c r="D198" i="10" s="1"/>
  <c r="X159" i="10"/>
  <c r="D220" i="3"/>
  <c r="E6" i="14"/>
  <c r="D28" i="50"/>
  <c r="D20" i="50"/>
  <c r="D12" i="50"/>
  <c r="D42" i="47"/>
  <c r="F18" i="31"/>
  <c r="F18" i="30"/>
  <c r="B53" i="12"/>
  <c r="F18" i="32"/>
  <c r="G214" i="9"/>
  <c r="G35" i="14"/>
  <c r="C36" i="14"/>
  <c r="G212" i="3"/>
  <c r="D51" i="47"/>
  <c r="F27" i="30"/>
  <c r="F27" i="31"/>
  <c r="B62" i="12"/>
  <c r="F27" i="32"/>
  <c r="E77" i="14"/>
  <c r="D36" i="47"/>
  <c r="B47" i="12"/>
  <c r="F12" i="31"/>
  <c r="F12" i="30"/>
  <c r="F12" i="32"/>
  <c r="D30" i="47"/>
  <c r="B41" i="12"/>
  <c r="F6" i="30"/>
  <c r="F6" i="31"/>
  <c r="F6" i="32"/>
  <c r="D32" i="47"/>
  <c r="F8" i="30"/>
  <c r="F8" i="31"/>
  <c r="B43" i="12"/>
  <c r="F8" i="32"/>
  <c r="D50" i="47"/>
  <c r="F26" i="30"/>
  <c r="B61" i="12"/>
  <c r="F26" i="31"/>
  <c r="F26" i="32"/>
  <c r="D37" i="47"/>
  <c r="B48" i="12"/>
  <c r="F13" i="31"/>
  <c r="F13" i="30"/>
  <c r="F13" i="32"/>
  <c r="D46" i="47"/>
  <c r="F22" i="30"/>
  <c r="F22" i="31"/>
  <c r="B57" i="12"/>
  <c r="F22" i="32"/>
  <c r="D47" i="47"/>
  <c r="B58" i="12"/>
  <c r="F23" i="31"/>
  <c r="F23" i="30"/>
  <c r="F23" i="32"/>
  <c r="D38" i="47"/>
  <c r="F14" i="30"/>
  <c r="B49" i="12"/>
  <c r="F14" i="31"/>
  <c r="F14" i="32"/>
  <c r="D45" i="47"/>
  <c r="F21" i="30"/>
  <c r="F21" i="31"/>
  <c r="B56" i="12"/>
  <c r="F21" i="32"/>
  <c r="D48" i="47"/>
  <c r="B59" i="12"/>
  <c r="F24" i="30"/>
  <c r="F24" i="31"/>
  <c r="F24" i="32"/>
  <c r="D26" i="50"/>
  <c r="D14" i="50"/>
  <c r="D6" i="50"/>
  <c r="E191" i="9"/>
  <c r="E198" i="9"/>
  <c r="E222" i="9" s="1"/>
  <c r="D5" i="50"/>
  <c r="X29" i="23"/>
  <c r="D52" i="47"/>
  <c r="B63" i="12"/>
  <c r="F28" i="31"/>
  <c r="F28" i="30"/>
  <c r="F28" i="32"/>
  <c r="D29" i="47"/>
  <c r="F5" i="30"/>
  <c r="I29" i="23"/>
  <c r="BK29" i="23" s="1"/>
  <c r="AC29" i="31" s="1"/>
  <c r="AB63" i="30" s="1"/>
  <c r="F5" i="31"/>
  <c r="B40" i="12"/>
  <c r="F5" i="32"/>
  <c r="D21" i="50"/>
  <c r="D13" i="50"/>
  <c r="D40" i="47"/>
  <c r="F16" i="31"/>
  <c r="F16" i="30"/>
  <c r="B51" i="12"/>
  <c r="F16" i="32"/>
  <c r="S48" i="3"/>
  <c r="D41" i="47"/>
  <c r="B52" i="12"/>
  <c r="F17" i="31"/>
  <c r="F17" i="30"/>
  <c r="F17" i="32"/>
  <c r="D43" i="47"/>
  <c r="B54" i="12"/>
  <c r="F19" i="31"/>
  <c r="F19" i="30"/>
  <c r="F19" i="32"/>
  <c r="G218" i="10"/>
  <c r="E39" i="14"/>
  <c r="S81" i="10"/>
  <c r="C223" i="10"/>
  <c r="D8" i="14"/>
  <c r="D39" i="47"/>
  <c r="B50" i="12"/>
  <c r="F15" i="31"/>
  <c r="F15" i="30"/>
  <c r="F15" i="32"/>
  <c r="B198" i="10"/>
  <c r="D24" i="50"/>
  <c r="D16" i="50"/>
  <c r="D8" i="50"/>
  <c r="D27" i="50"/>
  <c r="D23" i="50"/>
  <c r="D19" i="50"/>
  <c r="D15" i="50"/>
  <c r="D11" i="50"/>
  <c r="D7" i="50"/>
  <c r="D33" i="47"/>
  <c r="B44" i="12"/>
  <c r="F9" i="31"/>
  <c r="F9" i="30"/>
  <c r="F9" i="32"/>
  <c r="C33" i="14"/>
  <c r="G209" i="3"/>
  <c r="D31" i="47"/>
  <c r="F7" i="30"/>
  <c r="F7" i="31"/>
  <c r="B42" i="12"/>
  <c r="F7" i="32"/>
  <c r="AC146" i="10"/>
  <c r="D209" i="10" s="1"/>
  <c r="F209" i="10" s="1"/>
  <c r="G218" i="3"/>
  <c r="C42" i="14"/>
  <c r="N89" i="3"/>
  <c r="D34" i="47"/>
  <c r="F10" i="30"/>
  <c r="B45" i="12"/>
  <c r="F10" i="31"/>
  <c r="F10" i="32"/>
  <c r="AI24" i="23"/>
  <c r="L24" i="50"/>
  <c r="AI20" i="23"/>
  <c r="L20" i="50"/>
  <c r="AI18" i="23"/>
  <c r="L18" i="50"/>
  <c r="AI10" i="23"/>
  <c r="L10" i="50"/>
  <c r="K26" i="50"/>
  <c r="J18" i="50"/>
  <c r="AH18" i="23"/>
  <c r="I18" i="50"/>
  <c r="AH12" i="23"/>
  <c r="I12" i="50"/>
  <c r="AH10" i="23"/>
  <c r="I10" i="50"/>
  <c r="AH8" i="23"/>
  <c r="I8" i="50"/>
  <c r="AH6" i="23"/>
  <c r="I6" i="50"/>
  <c r="AI27" i="23"/>
  <c r="L27" i="50"/>
  <c r="AI25" i="23"/>
  <c r="L25" i="50"/>
  <c r="AI23" i="23"/>
  <c r="L23" i="50"/>
  <c r="AI21" i="23"/>
  <c r="L21" i="50"/>
  <c r="AI19" i="23"/>
  <c r="L19" i="50"/>
  <c r="AI17" i="23"/>
  <c r="L17" i="50"/>
  <c r="AI15" i="23"/>
  <c r="L15" i="50"/>
  <c r="AI13" i="23"/>
  <c r="L13" i="50"/>
  <c r="AI11" i="23"/>
  <c r="L11" i="50"/>
  <c r="AI9" i="23"/>
  <c r="L9" i="50"/>
  <c r="AI7" i="23"/>
  <c r="L7" i="50"/>
  <c r="AI28" i="23"/>
  <c r="L28" i="50"/>
  <c r="AI22" i="23"/>
  <c r="L22" i="50"/>
  <c r="AI14" i="23"/>
  <c r="L14" i="50"/>
  <c r="AI6" i="23"/>
  <c r="L6" i="50"/>
  <c r="K22" i="50"/>
  <c r="K16" i="50"/>
  <c r="K10" i="50"/>
  <c r="J16" i="50"/>
  <c r="J10" i="50"/>
  <c r="AH24" i="23"/>
  <c r="I24" i="50"/>
  <c r="AH20" i="23"/>
  <c r="I20" i="50"/>
  <c r="K25" i="50"/>
  <c r="K19" i="50"/>
  <c r="K17" i="50"/>
  <c r="K15" i="50"/>
  <c r="K13" i="50"/>
  <c r="K11" i="50"/>
  <c r="K9" i="50"/>
  <c r="K7" i="50"/>
  <c r="AE29" i="23"/>
  <c r="K5" i="50"/>
  <c r="AI26" i="23"/>
  <c r="L26" i="50"/>
  <c r="AI8" i="23"/>
  <c r="L8" i="50"/>
  <c r="K24" i="50"/>
  <c r="K14" i="50"/>
  <c r="K8" i="50"/>
  <c r="J28" i="50"/>
  <c r="J24" i="50"/>
  <c r="J20" i="50"/>
  <c r="J12" i="50"/>
  <c r="J6" i="50"/>
  <c r="AH26" i="23"/>
  <c r="I26" i="50"/>
  <c r="AH14" i="23"/>
  <c r="I14" i="50"/>
  <c r="K23" i="50"/>
  <c r="K21" i="50"/>
  <c r="J27" i="50"/>
  <c r="J25" i="50"/>
  <c r="J23" i="50"/>
  <c r="J21" i="50"/>
  <c r="J19" i="50"/>
  <c r="J17" i="50"/>
  <c r="J15" i="50"/>
  <c r="J13" i="50"/>
  <c r="J11" i="50"/>
  <c r="J9" i="50"/>
  <c r="J7" i="50"/>
  <c r="AD29" i="23"/>
  <c r="J5" i="50"/>
  <c r="AI16" i="23"/>
  <c r="L16" i="50"/>
  <c r="AI12" i="23"/>
  <c r="L12" i="50"/>
  <c r="K28" i="50"/>
  <c r="K20" i="50"/>
  <c r="K18" i="50"/>
  <c r="K12" i="50"/>
  <c r="K6" i="50"/>
  <c r="J26" i="50"/>
  <c r="J22" i="50"/>
  <c r="J14" i="50"/>
  <c r="J8" i="50"/>
  <c r="AH28" i="23"/>
  <c r="I28" i="50"/>
  <c r="AH22" i="23"/>
  <c r="I22" i="50"/>
  <c r="AH16" i="23"/>
  <c r="I16" i="50"/>
  <c r="K27" i="50"/>
  <c r="AH27" i="23"/>
  <c r="I27" i="50"/>
  <c r="AH25" i="23"/>
  <c r="I25" i="50"/>
  <c r="AH23" i="23"/>
  <c r="I23" i="50"/>
  <c r="AH21" i="23"/>
  <c r="I21" i="50"/>
  <c r="AH19" i="23"/>
  <c r="I19" i="50"/>
  <c r="AH17" i="23"/>
  <c r="I17" i="50"/>
  <c r="AH15" i="23"/>
  <c r="I15" i="50"/>
  <c r="AH13" i="23"/>
  <c r="I13" i="50"/>
  <c r="AH11" i="23"/>
  <c r="I11" i="50"/>
  <c r="AH9" i="23"/>
  <c r="I9" i="50"/>
  <c r="AH7" i="23"/>
  <c r="I7" i="50"/>
  <c r="AC29" i="23"/>
  <c r="AH5" i="23"/>
  <c r="I5" i="50"/>
  <c r="G202" i="10" l="1"/>
  <c r="C35" i="14"/>
  <c r="E28" i="14"/>
  <c r="E36" i="14"/>
  <c r="G21" i="14"/>
  <c r="G40" i="14"/>
  <c r="G208" i="10"/>
  <c r="G216" i="10"/>
  <c r="G37" i="14"/>
  <c r="G221" i="9"/>
  <c r="G212" i="10"/>
  <c r="G200" i="10"/>
  <c r="G203" i="10"/>
  <c r="G202" i="3"/>
  <c r="G204" i="3"/>
  <c r="G212" i="9"/>
  <c r="G38" i="14"/>
  <c r="G34" i="14"/>
  <c r="G211" i="9"/>
  <c r="G210" i="9"/>
  <c r="G206" i="9"/>
  <c r="G20" i="14"/>
  <c r="C41" i="14"/>
  <c r="G216" i="3"/>
  <c r="G201" i="3"/>
  <c r="C21" i="14"/>
  <c r="G196" i="3"/>
  <c r="G199" i="10"/>
  <c r="G202" i="9"/>
  <c r="E25" i="14"/>
  <c r="G220" i="9"/>
  <c r="G221" i="10"/>
  <c r="G218" i="9"/>
  <c r="G207" i="9"/>
  <c r="G207" i="3"/>
  <c r="F25" i="12"/>
  <c r="D28" i="12" s="1"/>
  <c r="D29" i="12" s="1"/>
  <c r="G204" i="9"/>
  <c r="C29" i="14"/>
  <c r="G203" i="9"/>
  <c r="C34" i="14"/>
  <c r="G205" i="10"/>
  <c r="E26" i="14"/>
  <c r="D7" i="32"/>
  <c r="D37" i="32" s="1"/>
  <c r="D9" i="32"/>
  <c r="D39" i="32" s="1"/>
  <c r="D12" i="32"/>
  <c r="D21" i="32"/>
  <c r="D51" i="32" s="1"/>
  <c r="D17" i="32"/>
  <c r="D47" i="32" s="1"/>
  <c r="D27" i="32"/>
  <c r="D57" i="32" s="1"/>
  <c r="D20" i="32"/>
  <c r="D50" i="32" s="1"/>
  <c r="D5" i="32"/>
  <c r="Z18" i="24" s="1"/>
  <c r="D25" i="32"/>
  <c r="D55" i="32" s="1"/>
  <c r="G26" i="12"/>
  <c r="E28" i="12" s="1"/>
  <c r="E29" i="12" s="1"/>
  <c r="D6" i="32"/>
  <c r="Z19" i="24" s="1"/>
  <c r="D8" i="32"/>
  <c r="D38" i="32" s="1"/>
  <c r="D16" i="32"/>
  <c r="Z29" i="24" s="1"/>
  <c r="D15" i="32"/>
  <c r="D45" i="32" s="1"/>
  <c r="D24" i="32"/>
  <c r="D54" i="32" s="1"/>
  <c r="D10" i="32"/>
  <c r="Z23" i="24" s="1"/>
  <c r="D18" i="32"/>
  <c r="Z31" i="24" s="1"/>
  <c r="D23" i="32"/>
  <c r="D53" i="32" s="1"/>
  <c r="D11" i="32"/>
  <c r="D26" i="32"/>
  <c r="D56" i="32" s="1"/>
  <c r="D14" i="32"/>
  <c r="D44" i="32" s="1"/>
  <c r="C22" i="14"/>
  <c r="G213" i="3"/>
  <c r="E25" i="12"/>
  <c r="G200" i="3"/>
  <c r="G36" i="14"/>
  <c r="C39" i="14"/>
  <c r="C38" i="14"/>
  <c r="G213" i="10"/>
  <c r="G203" i="3"/>
  <c r="G29" i="14"/>
  <c r="G217" i="10"/>
  <c r="E40" i="14"/>
  <c r="E32" i="14"/>
  <c r="E223" i="10"/>
  <c r="G206" i="10"/>
  <c r="G220" i="10"/>
  <c r="F198" i="9"/>
  <c r="G19" i="14" s="1"/>
  <c r="D26" i="12"/>
  <c r="E35" i="14"/>
  <c r="G201" i="10"/>
  <c r="D222" i="10"/>
  <c r="E8" i="14" s="1"/>
  <c r="AD28" i="34"/>
  <c r="AD61" i="34" s="1"/>
  <c r="G208" i="3"/>
  <c r="Z27" i="24"/>
  <c r="D36" i="32"/>
  <c r="D19" i="30"/>
  <c r="B51" i="24"/>
  <c r="D19" i="31"/>
  <c r="BJ29" i="23"/>
  <c r="AB29" i="31" s="1"/>
  <c r="Q63" i="30" s="1"/>
  <c r="G119" i="12"/>
  <c r="H119" i="12"/>
  <c r="P154" i="12"/>
  <c r="I119" i="12"/>
  <c r="N154" i="12"/>
  <c r="K56" i="12"/>
  <c r="O56" i="12" s="1"/>
  <c r="O154" i="12"/>
  <c r="L56" i="12"/>
  <c r="P56" i="12" s="1"/>
  <c r="M56" i="12"/>
  <c r="Q56" i="12" s="1"/>
  <c r="B86" i="12"/>
  <c r="AM25" i="60"/>
  <c r="Q119" i="30"/>
  <c r="F119" i="30"/>
  <c r="AB119" i="30"/>
  <c r="E11" i="50"/>
  <c r="E11" i="32"/>
  <c r="E16" i="50"/>
  <c r="E16" i="32"/>
  <c r="D5" i="30"/>
  <c r="B37" i="24"/>
  <c r="D5" i="31"/>
  <c r="G29" i="23"/>
  <c r="AB28" i="34" s="1"/>
  <c r="AB61" i="34" s="1"/>
  <c r="AM6" i="60"/>
  <c r="F100" i="30"/>
  <c r="Q100" i="30"/>
  <c r="AB100" i="30"/>
  <c r="BI29" i="23"/>
  <c r="AA29" i="31" s="1"/>
  <c r="F63" i="30" s="1"/>
  <c r="K63" i="12"/>
  <c r="H126" i="12"/>
  <c r="L63" i="12"/>
  <c r="P63" i="12" s="1"/>
  <c r="B93" i="12"/>
  <c r="G126" i="12"/>
  <c r="M63" i="12"/>
  <c r="Q63" i="12" s="1"/>
  <c r="O161" i="12"/>
  <c r="I126" i="12"/>
  <c r="P161" i="12"/>
  <c r="N161" i="12"/>
  <c r="P145" i="12"/>
  <c r="M47" i="12"/>
  <c r="Q47" i="12" s="1"/>
  <c r="K47" i="12"/>
  <c r="O47" i="12" s="1"/>
  <c r="L47" i="12"/>
  <c r="P47" i="12" s="1"/>
  <c r="G110" i="12"/>
  <c r="O145" i="12"/>
  <c r="N145" i="12"/>
  <c r="H110" i="12"/>
  <c r="B77" i="12"/>
  <c r="I110" i="12"/>
  <c r="D28" i="31"/>
  <c r="D28" i="30"/>
  <c r="B60" i="24"/>
  <c r="D22" i="30"/>
  <c r="B54" i="24"/>
  <c r="D22" i="31"/>
  <c r="E26" i="50"/>
  <c r="E26" i="32"/>
  <c r="B222" i="10"/>
  <c r="F198" i="10"/>
  <c r="AM15" i="60"/>
  <c r="F109" i="30"/>
  <c r="Q109" i="30"/>
  <c r="AB109" i="30"/>
  <c r="F54" i="32"/>
  <c r="Z43" i="12"/>
  <c r="F195" i="3"/>
  <c r="E15" i="50"/>
  <c r="E15" i="32"/>
  <c r="G109" i="12"/>
  <c r="M46" i="12"/>
  <c r="Q46" i="12" s="1"/>
  <c r="P144" i="12"/>
  <c r="H109" i="12"/>
  <c r="N144" i="12"/>
  <c r="I109" i="12"/>
  <c r="B76" i="12"/>
  <c r="K46" i="12"/>
  <c r="O46" i="12" s="1"/>
  <c r="O144" i="12"/>
  <c r="L46" i="12"/>
  <c r="P46" i="12" s="1"/>
  <c r="AM19" i="60"/>
  <c r="Q113" i="30"/>
  <c r="F113" i="30"/>
  <c r="AB113" i="30"/>
  <c r="Z29" i="12"/>
  <c r="F40" i="32"/>
  <c r="Z34" i="12"/>
  <c r="F45" i="32"/>
  <c r="Z38" i="12"/>
  <c r="F49" i="32"/>
  <c r="E9" i="50"/>
  <c r="E9" i="32"/>
  <c r="B220" i="3"/>
  <c r="C6" i="14"/>
  <c r="F219" i="3"/>
  <c r="F52" i="32"/>
  <c r="Z41" i="12"/>
  <c r="N146" i="12"/>
  <c r="P146" i="12"/>
  <c r="L48" i="12"/>
  <c r="P48" i="12" s="1"/>
  <c r="O146" i="12"/>
  <c r="M48" i="12"/>
  <c r="Q48" i="12" s="1"/>
  <c r="B78" i="12"/>
  <c r="K48" i="12"/>
  <c r="O48" i="12" s="1"/>
  <c r="G111" i="12"/>
  <c r="I111" i="12"/>
  <c r="H111" i="12"/>
  <c r="AM5" i="60"/>
  <c r="F99" i="30"/>
  <c r="Q99" i="30"/>
  <c r="AB99" i="30"/>
  <c r="D15" i="30"/>
  <c r="B47" i="24"/>
  <c r="D15" i="31"/>
  <c r="D16" i="30"/>
  <c r="D16" i="31"/>
  <c r="B48" i="24"/>
  <c r="D10" i="30"/>
  <c r="B42" i="24"/>
  <c r="D10" i="31"/>
  <c r="AM14" i="60"/>
  <c r="F108" i="30"/>
  <c r="Q108" i="30"/>
  <c r="AB108" i="30"/>
  <c r="AM18" i="60"/>
  <c r="Q112" i="30"/>
  <c r="AB112" i="30"/>
  <c r="F112" i="30"/>
  <c r="E20" i="50"/>
  <c r="E20" i="32"/>
  <c r="F44" i="32"/>
  <c r="Z33" i="12"/>
  <c r="E10" i="50"/>
  <c r="E10" i="32"/>
  <c r="Z27" i="12"/>
  <c r="F38" i="32"/>
  <c r="E19" i="50"/>
  <c r="E19" i="32"/>
  <c r="D28" i="32"/>
  <c r="D13" i="30"/>
  <c r="D13" i="31"/>
  <c r="B45" i="24"/>
  <c r="K45" i="12"/>
  <c r="L45" i="12"/>
  <c r="P45" i="12" s="1"/>
  <c r="M45" i="12"/>
  <c r="Q45" i="12" s="1"/>
  <c r="N143" i="12"/>
  <c r="H108" i="12"/>
  <c r="P143" i="12"/>
  <c r="I108" i="12"/>
  <c r="O143" i="12"/>
  <c r="G108" i="12"/>
  <c r="B75" i="12"/>
  <c r="G209" i="10"/>
  <c r="E30" i="14"/>
  <c r="D19" i="32"/>
  <c r="F35" i="32"/>
  <c r="Z24" i="12"/>
  <c r="G103" i="12"/>
  <c r="L40" i="12"/>
  <c r="P40" i="12" s="1"/>
  <c r="K40" i="12"/>
  <c r="O40" i="12" s="1"/>
  <c r="B70" i="12"/>
  <c r="P138" i="12"/>
  <c r="I103" i="12"/>
  <c r="B64" i="12"/>
  <c r="B65" i="12" s="1"/>
  <c r="H103" i="12"/>
  <c r="O138" i="12"/>
  <c r="M40" i="12"/>
  <c r="N138" i="12"/>
  <c r="E17" i="50"/>
  <c r="E17" i="32"/>
  <c r="M59" i="12"/>
  <c r="Q59" i="12" s="1"/>
  <c r="O157" i="12"/>
  <c r="H122" i="12"/>
  <c r="B89" i="12"/>
  <c r="G122" i="12"/>
  <c r="P157" i="12"/>
  <c r="K59" i="12"/>
  <c r="I122" i="12"/>
  <c r="N157" i="12"/>
  <c r="L59" i="12"/>
  <c r="P59" i="12" s="1"/>
  <c r="Z45" i="12"/>
  <c r="F56" i="32"/>
  <c r="K43" i="12"/>
  <c r="O43" i="12" s="1"/>
  <c r="B73" i="12"/>
  <c r="G106" i="12"/>
  <c r="L43" i="12"/>
  <c r="P43" i="12" s="1"/>
  <c r="P141" i="12"/>
  <c r="H106" i="12"/>
  <c r="M43" i="12"/>
  <c r="N141" i="12"/>
  <c r="I106" i="12"/>
  <c r="O141" i="12"/>
  <c r="D18" i="30"/>
  <c r="B50" i="24"/>
  <c r="D18" i="31"/>
  <c r="B44" i="24"/>
  <c r="D12" i="31"/>
  <c r="D12" i="30"/>
  <c r="E14" i="50"/>
  <c r="E14" i="32"/>
  <c r="B55" i="24"/>
  <c r="D23" i="30"/>
  <c r="D23" i="31"/>
  <c r="L42" i="12"/>
  <c r="P42" i="12" s="1"/>
  <c r="N140" i="12"/>
  <c r="M42" i="12"/>
  <c r="Q42" i="12" s="1"/>
  <c r="K42" i="12"/>
  <c r="O140" i="12"/>
  <c r="H105" i="12"/>
  <c r="B72" i="12"/>
  <c r="P140" i="12"/>
  <c r="I105" i="12"/>
  <c r="G105" i="12"/>
  <c r="Z36" i="24"/>
  <c r="AN29" i="23"/>
  <c r="F29" i="32"/>
  <c r="AM27" i="60"/>
  <c r="F121" i="30"/>
  <c r="Q121" i="30"/>
  <c r="AB121" i="30"/>
  <c r="D29" i="50"/>
  <c r="F51" i="32"/>
  <c r="Z40" i="12"/>
  <c r="AM13" i="60"/>
  <c r="F107" i="30"/>
  <c r="Q107" i="30"/>
  <c r="AB107" i="30"/>
  <c r="G124" i="12"/>
  <c r="P159" i="12"/>
  <c r="B91" i="12"/>
  <c r="H124" i="12"/>
  <c r="I124" i="12"/>
  <c r="M61" i="12"/>
  <c r="Q61" i="12" s="1"/>
  <c r="L61" i="12"/>
  <c r="P61" i="12" s="1"/>
  <c r="K61" i="12"/>
  <c r="N159" i="12"/>
  <c r="O159" i="12"/>
  <c r="AM7" i="60"/>
  <c r="Q101" i="30"/>
  <c r="AB101" i="30"/>
  <c r="F101" i="30"/>
  <c r="AM11" i="60"/>
  <c r="Q105" i="30"/>
  <c r="AB105" i="30"/>
  <c r="F105" i="30"/>
  <c r="Z46" i="12"/>
  <c r="F57" i="32"/>
  <c r="D20" i="31"/>
  <c r="B52" i="24"/>
  <c r="D20" i="30"/>
  <c r="Z30" i="12"/>
  <c r="F41" i="32"/>
  <c r="E220" i="3"/>
  <c r="F6" i="14"/>
  <c r="D6" i="30"/>
  <c r="B38" i="24"/>
  <c r="D6" i="31"/>
  <c r="G30" i="14"/>
  <c r="G209" i="9"/>
  <c r="E18" i="50"/>
  <c r="E18" i="32"/>
  <c r="F47" i="32"/>
  <c r="Z36" i="12"/>
  <c r="Z35" i="12"/>
  <c r="F46" i="32"/>
  <c r="AM4" i="60"/>
  <c r="F98" i="30"/>
  <c r="Q98" i="30"/>
  <c r="AB98" i="30"/>
  <c r="F29" i="30"/>
  <c r="F92" i="30" s="1"/>
  <c r="B46" i="24"/>
  <c r="D14" i="31"/>
  <c r="D14" i="30"/>
  <c r="B39" i="24"/>
  <c r="D7" i="31"/>
  <c r="D7" i="30"/>
  <c r="F43" i="32"/>
  <c r="Z32" i="12"/>
  <c r="I125" i="12"/>
  <c r="M62" i="12"/>
  <c r="Q62" i="12" s="1"/>
  <c r="K62" i="12"/>
  <c r="O62" i="12" s="1"/>
  <c r="N160" i="12"/>
  <c r="B92" i="12"/>
  <c r="O160" i="12"/>
  <c r="G125" i="12"/>
  <c r="P160" i="12"/>
  <c r="H125" i="12"/>
  <c r="L62" i="12"/>
  <c r="P62" i="12" s="1"/>
  <c r="E27" i="50"/>
  <c r="E27" i="32"/>
  <c r="F48" i="32"/>
  <c r="Z37" i="12"/>
  <c r="Z25" i="24"/>
  <c r="D42" i="32"/>
  <c r="Z22" i="24"/>
  <c r="AM10" i="60"/>
  <c r="Q104" i="30"/>
  <c r="F104" i="30"/>
  <c r="AB104" i="30"/>
  <c r="E21" i="50"/>
  <c r="E21" i="32"/>
  <c r="Z44" i="12"/>
  <c r="F55" i="32"/>
  <c r="F50" i="32"/>
  <c r="Z39" i="12"/>
  <c r="Z28" i="12"/>
  <c r="F39" i="32"/>
  <c r="Z24" i="24"/>
  <c r="D41" i="32"/>
  <c r="AM16" i="60"/>
  <c r="AB110" i="30"/>
  <c r="F110" i="30"/>
  <c r="Q110" i="30"/>
  <c r="M51" i="12"/>
  <c r="Q51" i="12" s="1"/>
  <c r="B81" i="12"/>
  <c r="N149" i="12"/>
  <c r="K51" i="12"/>
  <c r="L51" i="12"/>
  <c r="P51" i="12" s="1"/>
  <c r="H114" i="12"/>
  <c r="P149" i="12"/>
  <c r="G114" i="12"/>
  <c r="O149" i="12"/>
  <c r="I114" i="12"/>
  <c r="Y29" i="23"/>
  <c r="E5" i="50"/>
  <c r="E5" i="32"/>
  <c r="D53" i="47"/>
  <c r="G30" i="47" s="1"/>
  <c r="H30" i="47" s="1"/>
  <c r="AM12" i="60"/>
  <c r="AB106" i="30"/>
  <c r="Q106" i="30"/>
  <c r="F106" i="30"/>
  <c r="Z25" i="12"/>
  <c r="F36" i="32"/>
  <c r="G116" i="12"/>
  <c r="K53" i="12"/>
  <c r="O151" i="12"/>
  <c r="I116" i="12"/>
  <c r="P151" i="12"/>
  <c r="M53" i="12"/>
  <c r="Q53" i="12" s="1"/>
  <c r="B83" i="12"/>
  <c r="L53" i="12"/>
  <c r="P53" i="12" s="1"/>
  <c r="H116" i="12"/>
  <c r="N151" i="12"/>
  <c r="L55" i="12"/>
  <c r="P55" i="12" s="1"/>
  <c r="N153" i="12"/>
  <c r="H118" i="12"/>
  <c r="B85" i="12"/>
  <c r="O153" i="12"/>
  <c r="M55" i="12"/>
  <c r="Q55" i="12" s="1"/>
  <c r="G118" i="12"/>
  <c r="I118" i="12"/>
  <c r="P153" i="12"/>
  <c r="K55" i="12"/>
  <c r="AM8" i="60"/>
  <c r="AB102" i="30"/>
  <c r="F102" i="30"/>
  <c r="Q102" i="30"/>
  <c r="D8" i="31"/>
  <c r="D8" i="30"/>
  <c r="B40" i="24"/>
  <c r="E12" i="50"/>
  <c r="E12" i="32"/>
  <c r="BL29" i="23"/>
  <c r="AD29" i="31" s="1"/>
  <c r="AM20" i="60"/>
  <c r="AB114" i="30"/>
  <c r="F114" i="30"/>
  <c r="Q114" i="30"/>
  <c r="AM26" i="60"/>
  <c r="AB120" i="30"/>
  <c r="Q120" i="30"/>
  <c r="F120" i="30"/>
  <c r="D9" i="30"/>
  <c r="B41" i="24"/>
  <c r="D9" i="31"/>
  <c r="AM17" i="60"/>
  <c r="Q111" i="30"/>
  <c r="F111" i="30"/>
  <c r="AB111" i="30"/>
  <c r="E24" i="50"/>
  <c r="E24" i="32"/>
  <c r="E25" i="50"/>
  <c r="E25" i="32"/>
  <c r="AM24" i="60"/>
  <c r="Q118" i="30"/>
  <c r="F118" i="30"/>
  <c r="AB118" i="30"/>
  <c r="B223" i="9"/>
  <c r="C10" i="14"/>
  <c r="F222" i="9"/>
  <c r="O150" i="12"/>
  <c r="K52" i="12"/>
  <c r="O52" i="12" s="1"/>
  <c r="N150" i="12"/>
  <c r="M52" i="12"/>
  <c r="Q52" i="12" s="1"/>
  <c r="G115" i="12"/>
  <c r="B82" i="12"/>
  <c r="L52" i="12"/>
  <c r="P52" i="12" s="1"/>
  <c r="H115" i="12"/>
  <c r="I115" i="12"/>
  <c r="P150" i="12"/>
  <c r="F53" i="32"/>
  <c r="Z42" i="12"/>
  <c r="G123" i="12"/>
  <c r="M60" i="12"/>
  <c r="Q60" i="12" s="1"/>
  <c r="O158" i="12"/>
  <c r="N158" i="12"/>
  <c r="L60" i="12"/>
  <c r="H123" i="12"/>
  <c r="K60" i="12"/>
  <c r="O60" i="12" s="1"/>
  <c r="I123" i="12"/>
  <c r="B90" i="12"/>
  <c r="P158" i="12"/>
  <c r="E6" i="50"/>
  <c r="E6" i="32"/>
  <c r="L44" i="12"/>
  <c r="P44" i="12" s="1"/>
  <c r="N142" i="12"/>
  <c r="K44" i="12"/>
  <c r="O44" i="12" s="1"/>
  <c r="B74" i="12"/>
  <c r="O142" i="12"/>
  <c r="G107" i="12"/>
  <c r="H107" i="12"/>
  <c r="P142" i="12"/>
  <c r="M44" i="12"/>
  <c r="Q44" i="12" s="1"/>
  <c r="I107" i="12"/>
  <c r="F28" i="34"/>
  <c r="F61" i="34" s="1"/>
  <c r="AM23" i="60"/>
  <c r="AB117" i="30"/>
  <c r="F117" i="30"/>
  <c r="Q117" i="30"/>
  <c r="AM22" i="60"/>
  <c r="F116" i="30"/>
  <c r="Q116" i="30"/>
  <c r="AB116" i="30"/>
  <c r="K57" i="12"/>
  <c r="O57" i="12" s="1"/>
  <c r="L57" i="12"/>
  <c r="P57" i="12" s="1"/>
  <c r="M57" i="12"/>
  <c r="Q57" i="12" s="1"/>
  <c r="N155" i="12"/>
  <c r="B87" i="12"/>
  <c r="O155" i="12"/>
  <c r="H120" i="12"/>
  <c r="P155" i="12"/>
  <c r="G120" i="12"/>
  <c r="I120" i="12"/>
  <c r="M41" i="12"/>
  <c r="P139" i="12"/>
  <c r="K41" i="12"/>
  <c r="O41" i="12" s="1"/>
  <c r="N139" i="12"/>
  <c r="H104" i="12"/>
  <c r="B71" i="12"/>
  <c r="L41" i="12"/>
  <c r="P41" i="12" s="1"/>
  <c r="O139" i="12"/>
  <c r="I104" i="12"/>
  <c r="G104" i="12"/>
  <c r="B49" i="24"/>
  <c r="D17" i="31"/>
  <c r="D17" i="30"/>
  <c r="B43" i="24"/>
  <c r="D11" i="31"/>
  <c r="D11" i="30"/>
  <c r="AM9" i="60"/>
  <c r="F103" i="30"/>
  <c r="Q103" i="30"/>
  <c r="AB103" i="30"/>
  <c r="F37" i="32"/>
  <c r="Z26" i="12"/>
  <c r="B56" i="24"/>
  <c r="D24" i="31"/>
  <c r="D24" i="30"/>
  <c r="D26" i="31"/>
  <c r="B58" i="24"/>
  <c r="D26" i="30"/>
  <c r="L50" i="12"/>
  <c r="P50" i="12" s="1"/>
  <c r="P148" i="12"/>
  <c r="K50" i="12"/>
  <c r="O50" i="12" s="1"/>
  <c r="M50" i="12"/>
  <c r="Q50" i="12" s="1"/>
  <c r="N148" i="12"/>
  <c r="I113" i="12"/>
  <c r="B80" i="12"/>
  <c r="G113" i="12"/>
  <c r="O148" i="12"/>
  <c r="H113" i="12"/>
  <c r="P152" i="12"/>
  <c r="O152" i="12"/>
  <c r="K54" i="12"/>
  <c r="L54" i="12"/>
  <c r="P54" i="12" s="1"/>
  <c r="B84" i="12"/>
  <c r="G117" i="12"/>
  <c r="N152" i="12"/>
  <c r="H117" i="12"/>
  <c r="M54" i="12"/>
  <c r="Q54" i="12" s="1"/>
  <c r="I117" i="12"/>
  <c r="E28" i="50"/>
  <c r="E28" i="32"/>
  <c r="D13" i="32"/>
  <c r="R28" i="34"/>
  <c r="R61" i="34" s="1"/>
  <c r="F29" i="31"/>
  <c r="R29" i="31" s="1"/>
  <c r="Z47" i="12"/>
  <c r="F58" i="32"/>
  <c r="F10" i="14"/>
  <c r="E223" i="9"/>
  <c r="H112" i="12"/>
  <c r="P147" i="12"/>
  <c r="L49" i="12"/>
  <c r="I112" i="12"/>
  <c r="O147" i="12"/>
  <c r="B79" i="12"/>
  <c r="G112" i="12"/>
  <c r="N147" i="12"/>
  <c r="M49" i="12"/>
  <c r="Q49" i="12" s="1"/>
  <c r="K49" i="12"/>
  <c r="H121" i="12"/>
  <c r="N156" i="12"/>
  <c r="K58" i="12"/>
  <c r="O58" i="12" s="1"/>
  <c r="P156" i="12"/>
  <c r="I121" i="12"/>
  <c r="B88" i="12"/>
  <c r="M58" i="12"/>
  <c r="Q58" i="12" s="1"/>
  <c r="G121" i="12"/>
  <c r="L58" i="12"/>
  <c r="O156" i="12"/>
  <c r="E22" i="50"/>
  <c r="E22" i="32"/>
  <c r="AM21" i="60"/>
  <c r="AB115" i="30"/>
  <c r="F115" i="30"/>
  <c r="Q115" i="30"/>
  <c r="F42" i="32"/>
  <c r="Z31" i="12"/>
  <c r="E7" i="50"/>
  <c r="E7" i="32"/>
  <c r="E23" i="50"/>
  <c r="E23" i="32"/>
  <c r="D25" i="31"/>
  <c r="B57" i="24"/>
  <c r="D25" i="30"/>
  <c r="E8" i="50"/>
  <c r="E8" i="32"/>
  <c r="B59" i="24"/>
  <c r="D27" i="30"/>
  <c r="D27" i="31"/>
  <c r="E13" i="50"/>
  <c r="E13" i="32"/>
  <c r="D21" i="30"/>
  <c r="B53" i="24"/>
  <c r="D21" i="31"/>
  <c r="D22" i="32"/>
  <c r="C12" i="43"/>
  <c r="C13" i="43" s="1"/>
  <c r="AH29" i="23"/>
  <c r="I29" i="50"/>
  <c r="J29" i="50"/>
  <c r="AI5" i="23"/>
  <c r="AF29" i="23"/>
  <c r="L5" i="50"/>
  <c r="K29" i="50"/>
  <c r="Z28" i="24" l="1"/>
  <c r="D40" i="32"/>
  <c r="D35" i="32"/>
  <c r="D223" i="10"/>
  <c r="Z39" i="24"/>
  <c r="AA39" i="24" s="1"/>
  <c r="Z34" i="24"/>
  <c r="AA34" i="24" s="1"/>
  <c r="Z21" i="24"/>
  <c r="AA21" i="24" s="1"/>
  <c r="Z30" i="24"/>
  <c r="AA30" i="24" s="1"/>
  <c r="D46" i="32"/>
  <c r="D48" i="32"/>
  <c r="Z38" i="24"/>
  <c r="Z20" i="24"/>
  <c r="AA20" i="24" s="1"/>
  <c r="Z40" i="24"/>
  <c r="AF40" i="24" s="1"/>
  <c r="Z37" i="24"/>
  <c r="AF37" i="24" s="1"/>
  <c r="G198" i="9"/>
  <c r="Z33" i="24"/>
  <c r="AF33" i="24" s="1"/>
  <c r="AM120" i="30"/>
  <c r="F55" i="51" s="1"/>
  <c r="AP28" i="34"/>
  <c r="G133" i="12" s="1"/>
  <c r="F28" i="60"/>
  <c r="D64" i="12"/>
  <c r="N53" i="12"/>
  <c r="F65" i="14" s="1"/>
  <c r="G44" i="47"/>
  <c r="H44" i="47" s="1"/>
  <c r="R153" i="12" s="1"/>
  <c r="S153" i="12" s="1"/>
  <c r="X153" i="12" s="1"/>
  <c r="G52" i="47"/>
  <c r="H52" i="47" s="1"/>
  <c r="I52" i="47" s="1"/>
  <c r="J52" i="47" s="1"/>
  <c r="F27" i="53" s="1"/>
  <c r="N42" i="12"/>
  <c r="F54" i="14" s="1"/>
  <c r="AB92" i="30"/>
  <c r="N61" i="12"/>
  <c r="F73" i="14" s="1"/>
  <c r="I64" i="12"/>
  <c r="AC48" i="12"/>
  <c r="G64" i="12"/>
  <c r="G45" i="47"/>
  <c r="H45" i="47" s="1"/>
  <c r="R154" i="12" s="1"/>
  <c r="S154" i="12" s="1"/>
  <c r="X154" i="12" s="1"/>
  <c r="Q161" i="12"/>
  <c r="F27" i="51" s="1"/>
  <c r="AM105" i="30"/>
  <c r="F40" i="51" s="1"/>
  <c r="G40" i="47"/>
  <c r="H40" i="47" s="1"/>
  <c r="I40" i="47" s="1"/>
  <c r="J40" i="47" s="1"/>
  <c r="F15" i="53" s="1"/>
  <c r="G37" i="47"/>
  <c r="H37" i="47" s="1"/>
  <c r="R146" i="12" s="1"/>
  <c r="S146" i="12" s="1"/>
  <c r="X146" i="12" s="1"/>
  <c r="G29" i="47"/>
  <c r="H29" i="47" s="1"/>
  <c r="I29" i="47" s="1"/>
  <c r="D29" i="32"/>
  <c r="G43" i="47"/>
  <c r="H43" i="47" s="1"/>
  <c r="R152" i="12" s="1"/>
  <c r="S152" i="12" s="1"/>
  <c r="X152" i="12" s="1"/>
  <c r="Y48" i="12"/>
  <c r="W48" i="12"/>
  <c r="G48" i="47"/>
  <c r="H48" i="47" s="1"/>
  <c r="R157" i="12" s="1"/>
  <c r="S157" i="12" s="1"/>
  <c r="X157" i="12" s="1"/>
  <c r="N44" i="12"/>
  <c r="F56" i="14" s="1"/>
  <c r="C64" i="12"/>
  <c r="X48" i="12"/>
  <c r="G31" i="47"/>
  <c r="H31" i="47" s="1"/>
  <c r="R140" i="12" s="1"/>
  <c r="S140" i="12" s="1"/>
  <c r="X140" i="12" s="1"/>
  <c r="E64" i="12"/>
  <c r="H64" i="12"/>
  <c r="G41" i="47"/>
  <c r="H41" i="47" s="1"/>
  <c r="I41" i="47" s="1"/>
  <c r="J41" i="47" s="1"/>
  <c r="F16" i="53" s="1"/>
  <c r="G49" i="47"/>
  <c r="H49" i="47" s="1"/>
  <c r="R158" i="12" s="1"/>
  <c r="S158" i="12" s="1"/>
  <c r="Q150" i="12"/>
  <c r="F16" i="51" s="1"/>
  <c r="AM114" i="30"/>
  <c r="F49" i="51" s="1"/>
  <c r="Q145" i="12"/>
  <c r="F11" i="51" s="1"/>
  <c r="Q141" i="12"/>
  <c r="F7" i="51" s="1"/>
  <c r="O53" i="12"/>
  <c r="R53" i="12" s="1"/>
  <c r="O42" i="12"/>
  <c r="R42" i="12" s="1"/>
  <c r="AM111" i="30"/>
  <c r="F46" i="51" s="1"/>
  <c r="G39" i="47"/>
  <c r="H39" i="47" s="1"/>
  <c r="I39" i="47" s="1"/>
  <c r="J39" i="47" s="1"/>
  <c r="F14" i="53" s="1"/>
  <c r="N45" i="12"/>
  <c r="F57" i="14" s="1"/>
  <c r="Q152" i="12"/>
  <c r="W152" i="12" s="1"/>
  <c r="Q155" i="12"/>
  <c r="F21" i="51" s="1"/>
  <c r="Q158" i="12"/>
  <c r="F24" i="51" s="1"/>
  <c r="AM112" i="30"/>
  <c r="F47" i="51" s="1"/>
  <c r="AK24" i="60"/>
  <c r="O118" i="30"/>
  <c r="Z118" i="30"/>
  <c r="D118" i="30"/>
  <c r="P58" i="12"/>
  <c r="R58" i="12" s="1"/>
  <c r="P49" i="12"/>
  <c r="Z35" i="24"/>
  <c r="D52" i="32"/>
  <c r="C24" i="32"/>
  <c r="AG24" i="23"/>
  <c r="C24" i="50"/>
  <c r="AJ24" i="23"/>
  <c r="H18" i="50"/>
  <c r="C16" i="32"/>
  <c r="C16" i="50"/>
  <c r="AG16" i="23"/>
  <c r="AJ16" i="23"/>
  <c r="C8" i="32"/>
  <c r="C8" i="50"/>
  <c r="AG8" i="23"/>
  <c r="AJ8" i="23"/>
  <c r="R57" i="12"/>
  <c r="R50" i="12"/>
  <c r="R139" i="12"/>
  <c r="S139" i="12" s="1"/>
  <c r="X139" i="12" s="1"/>
  <c r="I30" i="47"/>
  <c r="J30" i="47" s="1"/>
  <c r="F5" i="53" s="1"/>
  <c r="Q41" i="12"/>
  <c r="R41" i="12" s="1"/>
  <c r="AF26" i="12"/>
  <c r="AA26" i="12"/>
  <c r="G5" i="50"/>
  <c r="G5" i="32"/>
  <c r="AJ5" i="23"/>
  <c r="H26" i="50"/>
  <c r="G21" i="50"/>
  <c r="G21" i="32"/>
  <c r="G13" i="50"/>
  <c r="G13" i="32"/>
  <c r="H10" i="50"/>
  <c r="AK20" i="60"/>
  <c r="O114" i="30"/>
  <c r="Z114" i="30"/>
  <c r="D114" i="30"/>
  <c r="R62" i="12"/>
  <c r="M115" i="12"/>
  <c r="K115" i="12"/>
  <c r="J115" i="12"/>
  <c r="L115" i="12"/>
  <c r="L118" i="12"/>
  <c r="K118" i="12"/>
  <c r="M118" i="12"/>
  <c r="J118" i="12"/>
  <c r="M93" i="12"/>
  <c r="Q93" i="12" s="1"/>
  <c r="L93" i="12"/>
  <c r="P93" i="12" s="1"/>
  <c r="N93" i="12"/>
  <c r="K93" i="12"/>
  <c r="O93" i="12" s="1"/>
  <c r="E41" i="32"/>
  <c r="Z23" i="10"/>
  <c r="AK18" i="60"/>
  <c r="D112" i="30"/>
  <c r="O112" i="30"/>
  <c r="Z112" i="30"/>
  <c r="G26" i="50"/>
  <c r="G26" i="32"/>
  <c r="G18" i="50"/>
  <c r="G18" i="32"/>
  <c r="G10" i="50"/>
  <c r="G10" i="32"/>
  <c r="E43" i="32"/>
  <c r="Z25" i="10"/>
  <c r="B87" i="24"/>
  <c r="P155" i="24"/>
  <c r="N155" i="24"/>
  <c r="K57" i="24"/>
  <c r="L57" i="24"/>
  <c r="H120" i="24"/>
  <c r="I120" i="24"/>
  <c r="M57" i="24"/>
  <c r="O155" i="24"/>
  <c r="G120" i="24"/>
  <c r="N49" i="12"/>
  <c r="F61" i="14" s="1"/>
  <c r="AM117" i="30"/>
  <c r="F52" i="51" s="1"/>
  <c r="E36" i="32"/>
  <c r="Z18" i="10"/>
  <c r="AA28" i="24"/>
  <c r="AF28" i="24"/>
  <c r="E54" i="32"/>
  <c r="Z36" i="10"/>
  <c r="AM107" i="30"/>
  <c r="F42" i="51" s="1"/>
  <c r="R52" i="12"/>
  <c r="AF45" i="12"/>
  <c r="AA45" i="12"/>
  <c r="K70" i="12"/>
  <c r="M70" i="12"/>
  <c r="N70" i="12"/>
  <c r="L70" i="12"/>
  <c r="B94" i="12"/>
  <c r="E94" i="12" s="1"/>
  <c r="G94" i="12" s="1"/>
  <c r="H94" i="12" s="1"/>
  <c r="I94" i="12" s="1"/>
  <c r="G6" i="14"/>
  <c r="H6" i="14" s="1"/>
  <c r="AF43" i="12"/>
  <c r="AA43" i="12"/>
  <c r="P28" i="34"/>
  <c r="P61" i="34" s="1"/>
  <c r="C18" i="32"/>
  <c r="AG18" i="23"/>
  <c r="C18" i="50"/>
  <c r="AJ18" i="23"/>
  <c r="H12" i="50"/>
  <c r="B89" i="24"/>
  <c r="M59" i="24"/>
  <c r="P157" i="24"/>
  <c r="G122" i="24"/>
  <c r="K59" i="24"/>
  <c r="L59" i="24"/>
  <c r="N157" i="24"/>
  <c r="O157" i="24"/>
  <c r="H122" i="24"/>
  <c r="I122" i="24"/>
  <c r="D43" i="32"/>
  <c r="Z26" i="24"/>
  <c r="J114" i="12"/>
  <c r="K114" i="12"/>
  <c r="L114" i="12"/>
  <c r="M114" i="12"/>
  <c r="AF46" i="12"/>
  <c r="AA46" i="12"/>
  <c r="M91" i="12"/>
  <c r="K91" i="12"/>
  <c r="O91" i="12" s="1"/>
  <c r="N91" i="12"/>
  <c r="L91" i="12"/>
  <c r="AF20" i="24"/>
  <c r="E44" i="32"/>
  <c r="Z26" i="10"/>
  <c r="O49" i="12"/>
  <c r="AF34" i="12"/>
  <c r="AA34" i="12"/>
  <c r="D28" i="34"/>
  <c r="D61" i="34" s="1"/>
  <c r="N56" i="12"/>
  <c r="F68" i="14" s="1"/>
  <c r="P5" i="50"/>
  <c r="C23" i="32"/>
  <c r="AG23" i="23"/>
  <c r="C23" i="50"/>
  <c r="AJ23" i="23"/>
  <c r="H17" i="50"/>
  <c r="H9" i="50"/>
  <c r="E58" i="32"/>
  <c r="Z40" i="10"/>
  <c r="N52" i="12"/>
  <c r="F64" i="14" s="1"/>
  <c r="Q151" i="12"/>
  <c r="AM110" i="30"/>
  <c r="F45" i="51" s="1"/>
  <c r="AF28" i="12"/>
  <c r="AA28" i="12"/>
  <c r="AF40" i="12"/>
  <c r="AA40" i="12"/>
  <c r="I107" i="24"/>
  <c r="L44" i="24"/>
  <c r="N142" i="24"/>
  <c r="H107" i="24"/>
  <c r="P142" i="24"/>
  <c r="O142" i="24"/>
  <c r="M44" i="24"/>
  <c r="B74" i="24"/>
  <c r="G107" i="24"/>
  <c r="K44" i="24"/>
  <c r="D49" i="32"/>
  <c r="Z32" i="24"/>
  <c r="E50" i="32"/>
  <c r="Z32" i="10"/>
  <c r="L42" i="24"/>
  <c r="B72" i="24"/>
  <c r="M42" i="24"/>
  <c r="O140" i="24"/>
  <c r="P140" i="24"/>
  <c r="N140" i="24"/>
  <c r="K42" i="24"/>
  <c r="G105" i="24"/>
  <c r="I105" i="24"/>
  <c r="H105" i="24"/>
  <c r="AK15" i="60"/>
  <c r="Z109" i="30"/>
  <c r="D109" i="30"/>
  <c r="O109" i="30"/>
  <c r="AB42" i="24"/>
  <c r="AB43" i="24" s="1"/>
  <c r="L37" i="24"/>
  <c r="B61" i="24"/>
  <c r="B62" i="24" s="1"/>
  <c r="N135" i="24"/>
  <c r="P135" i="24"/>
  <c r="K37" i="24"/>
  <c r="B67" i="24"/>
  <c r="H100" i="24"/>
  <c r="G100" i="24"/>
  <c r="O135" i="24"/>
  <c r="I100" i="24"/>
  <c r="M37" i="24"/>
  <c r="AC42" i="24"/>
  <c r="AC43" i="24" s="1"/>
  <c r="Q154" i="12"/>
  <c r="C5" i="32"/>
  <c r="AG5" i="23"/>
  <c r="C5" i="50"/>
  <c r="G17" i="50"/>
  <c r="G17" i="32"/>
  <c r="H6" i="50"/>
  <c r="K112" i="12"/>
  <c r="L112" i="12"/>
  <c r="M112" i="12"/>
  <c r="J112" i="12"/>
  <c r="N54" i="12"/>
  <c r="F66" i="14" s="1"/>
  <c r="AK10" i="60"/>
  <c r="O104" i="30"/>
  <c r="Z104" i="30"/>
  <c r="D104" i="30"/>
  <c r="AK16" i="60"/>
  <c r="D110" i="30"/>
  <c r="O110" i="30"/>
  <c r="Z110" i="30"/>
  <c r="K90" i="12"/>
  <c r="O90" i="12" s="1"/>
  <c r="L90" i="12"/>
  <c r="P90" i="12" s="1"/>
  <c r="N90" i="12"/>
  <c r="M90" i="12"/>
  <c r="Q90" i="12" s="1"/>
  <c r="J123" i="12"/>
  <c r="K123" i="12"/>
  <c r="L123" i="12"/>
  <c r="M123" i="12"/>
  <c r="AF37" i="12"/>
  <c r="AA37" i="12"/>
  <c r="AB122" i="30"/>
  <c r="AF36" i="12"/>
  <c r="AA36" i="12"/>
  <c r="Q159" i="12"/>
  <c r="AM121" i="30"/>
  <c r="F56" i="51" s="1"/>
  <c r="L105" i="12"/>
  <c r="K105" i="12"/>
  <c r="M105" i="12"/>
  <c r="J105" i="12"/>
  <c r="E47" i="32"/>
  <c r="Z29" i="10"/>
  <c r="G127" i="12"/>
  <c r="L103" i="12"/>
  <c r="J103" i="12"/>
  <c r="M103" i="12"/>
  <c r="K103" i="12"/>
  <c r="N46" i="12"/>
  <c r="F58" i="14" s="1"/>
  <c r="AM109" i="30"/>
  <c r="F44" i="51" s="1"/>
  <c r="E56" i="32"/>
  <c r="Z38" i="10"/>
  <c r="AK21" i="60"/>
  <c r="O115" i="30"/>
  <c r="Z115" i="30"/>
  <c r="D115" i="30"/>
  <c r="N47" i="12"/>
  <c r="F59" i="14" s="1"/>
  <c r="BB29" i="23"/>
  <c r="T29" i="31" s="1"/>
  <c r="O63" i="30" s="1"/>
  <c r="AK4" i="60"/>
  <c r="Z98" i="30"/>
  <c r="O98" i="30"/>
  <c r="D98" i="30"/>
  <c r="D29" i="30"/>
  <c r="Z92" i="30" s="1"/>
  <c r="AF19" i="24"/>
  <c r="AA19" i="24"/>
  <c r="H27" i="50"/>
  <c r="AJ22" i="23"/>
  <c r="H19" i="50"/>
  <c r="H19" i="32"/>
  <c r="AG14" i="23"/>
  <c r="H11" i="50"/>
  <c r="AJ6" i="23"/>
  <c r="Z19" i="10"/>
  <c r="E37" i="32"/>
  <c r="E52" i="32"/>
  <c r="Z34" i="10"/>
  <c r="K79" i="12"/>
  <c r="O79" i="12" s="1"/>
  <c r="M79" i="12"/>
  <c r="L79" i="12"/>
  <c r="P79" i="12" s="1"/>
  <c r="N79" i="12"/>
  <c r="AK25" i="60"/>
  <c r="D119" i="30"/>
  <c r="O119" i="30"/>
  <c r="Z119" i="30"/>
  <c r="AK23" i="60"/>
  <c r="D117" i="30"/>
  <c r="O117" i="30"/>
  <c r="Z117" i="30"/>
  <c r="AF38" i="24"/>
  <c r="AA38" i="24"/>
  <c r="Q139" i="12"/>
  <c r="F223" i="9"/>
  <c r="F224" i="9"/>
  <c r="G222" i="9"/>
  <c r="F229" i="9" s="1"/>
  <c r="A229" i="9"/>
  <c r="C229" i="9" s="1"/>
  <c r="E55" i="32"/>
  <c r="Z37" i="10"/>
  <c r="G224" i="9"/>
  <c r="N55" i="12"/>
  <c r="F67" i="14" s="1"/>
  <c r="Q153" i="12"/>
  <c r="E35" i="32"/>
  <c r="Z17" i="10"/>
  <c r="AM104" i="30"/>
  <c r="F39" i="51" s="1"/>
  <c r="K92" i="12"/>
  <c r="O92" i="12" s="1"/>
  <c r="M92" i="12"/>
  <c r="Q92" i="12" s="1"/>
  <c r="N92" i="12"/>
  <c r="L92" i="12"/>
  <c r="P92" i="12" s="1"/>
  <c r="Q92" i="30"/>
  <c r="Q122" i="30"/>
  <c r="M52" i="24"/>
  <c r="L52" i="24"/>
  <c r="B82" i="24"/>
  <c r="G115" i="24"/>
  <c r="P150" i="24"/>
  <c r="N150" i="24"/>
  <c r="I115" i="24"/>
  <c r="H115" i="24"/>
  <c r="O150" i="24"/>
  <c r="K52" i="24"/>
  <c r="G46" i="47"/>
  <c r="H46" i="47" s="1"/>
  <c r="L106" i="12"/>
  <c r="J106" i="12"/>
  <c r="K106" i="12"/>
  <c r="M106" i="12"/>
  <c r="N59" i="12"/>
  <c r="F71" i="14" s="1"/>
  <c r="H127" i="12"/>
  <c r="AF24" i="12"/>
  <c r="AA24" i="12"/>
  <c r="Q143" i="12"/>
  <c r="G108" i="24"/>
  <c r="B75" i="24"/>
  <c r="H108" i="24"/>
  <c r="K45" i="24"/>
  <c r="L45" i="24"/>
  <c r="I108" i="24"/>
  <c r="M45" i="24"/>
  <c r="N143" i="24"/>
  <c r="P143" i="24"/>
  <c r="O143" i="24"/>
  <c r="E40" i="32"/>
  <c r="Z22" i="10"/>
  <c r="L47" i="24"/>
  <c r="G110" i="24"/>
  <c r="O145" i="24"/>
  <c r="H110" i="24"/>
  <c r="P145" i="24"/>
  <c r="N145" i="24"/>
  <c r="I110" i="24"/>
  <c r="B77" i="24"/>
  <c r="K47" i="24"/>
  <c r="M47" i="24"/>
  <c r="Q146" i="12"/>
  <c r="AM113" i="30"/>
  <c r="F48" i="51" s="1"/>
  <c r="K76" i="12"/>
  <c r="L76" i="12"/>
  <c r="P76" i="12" s="1"/>
  <c r="N76" i="12"/>
  <c r="M76" i="12"/>
  <c r="Q76" i="12" s="1"/>
  <c r="E45" i="32"/>
  <c r="Z27" i="10"/>
  <c r="BC29" i="23"/>
  <c r="U29" i="31" s="1"/>
  <c r="Z63" i="30" s="1"/>
  <c r="L81" i="12"/>
  <c r="P81" i="12" s="1"/>
  <c r="K81" i="12"/>
  <c r="M81" i="12"/>
  <c r="N81" i="12"/>
  <c r="AF22" i="24"/>
  <c r="AA22" i="24"/>
  <c r="AA36" i="24"/>
  <c r="AF36" i="24"/>
  <c r="R56" i="12"/>
  <c r="N89" i="12"/>
  <c r="M89" i="12"/>
  <c r="Q89" i="12" s="1"/>
  <c r="K89" i="12"/>
  <c r="L89" i="12"/>
  <c r="P162" i="12"/>
  <c r="K108" i="12"/>
  <c r="J108" i="12"/>
  <c r="L108" i="12"/>
  <c r="M108" i="12"/>
  <c r="D58" i="32"/>
  <c r="Z41" i="24"/>
  <c r="K78" i="12"/>
  <c r="O78" i="12" s="1"/>
  <c r="N78" i="12"/>
  <c r="M78" i="12"/>
  <c r="Q78" i="12" s="1"/>
  <c r="L78" i="12"/>
  <c r="P78" i="12" s="1"/>
  <c r="AF23" i="24"/>
  <c r="AA23" i="24"/>
  <c r="G195" i="3"/>
  <c r="C19" i="14"/>
  <c r="G221" i="3"/>
  <c r="H23" i="50"/>
  <c r="H15" i="50"/>
  <c r="C13" i="32"/>
  <c r="C13" i="50"/>
  <c r="AG13" i="23"/>
  <c r="AJ13" i="23"/>
  <c r="AK26" i="60"/>
  <c r="O120" i="30"/>
  <c r="Z120" i="30"/>
  <c r="D120" i="30"/>
  <c r="J117" i="12"/>
  <c r="K117" i="12"/>
  <c r="L117" i="12"/>
  <c r="M117" i="12"/>
  <c r="AF44" i="12"/>
  <c r="AA44" i="12"/>
  <c r="B68" i="24"/>
  <c r="O136" i="24"/>
  <c r="K38" i="24"/>
  <c r="M38" i="24"/>
  <c r="N136" i="24"/>
  <c r="I101" i="24"/>
  <c r="G101" i="24"/>
  <c r="L38" i="24"/>
  <c r="H101" i="24"/>
  <c r="P136" i="24"/>
  <c r="Z31" i="10"/>
  <c r="E49" i="32"/>
  <c r="B78" i="24"/>
  <c r="L48" i="24"/>
  <c r="P146" i="24"/>
  <c r="K48" i="24"/>
  <c r="M48" i="24"/>
  <c r="H111" i="24"/>
  <c r="G111" i="24"/>
  <c r="O146" i="24"/>
  <c r="I111" i="24"/>
  <c r="N146" i="24"/>
  <c r="C26" i="32"/>
  <c r="AG26" i="23"/>
  <c r="C26" i="50"/>
  <c r="AJ26" i="23"/>
  <c r="H20" i="50"/>
  <c r="C10" i="32"/>
  <c r="C10" i="50"/>
  <c r="AG10" i="23"/>
  <c r="AJ10" i="23"/>
  <c r="N80" i="12"/>
  <c r="L80" i="12"/>
  <c r="P80" i="12" s="1"/>
  <c r="K80" i="12"/>
  <c r="O80" i="12" s="1"/>
  <c r="M80" i="12"/>
  <c r="Q80" i="12" s="1"/>
  <c r="L107" i="12"/>
  <c r="M107" i="12"/>
  <c r="K107" i="12"/>
  <c r="J107" i="12"/>
  <c r="AM118" i="30"/>
  <c r="F53" i="51" s="1"/>
  <c r="Z33" i="10"/>
  <c r="E51" i="32"/>
  <c r="AF32" i="12"/>
  <c r="AA32" i="12"/>
  <c r="AK5" i="60"/>
  <c r="Z99" i="30"/>
  <c r="D99" i="30"/>
  <c r="O99" i="30"/>
  <c r="P60" i="12"/>
  <c r="R60" i="12" s="1"/>
  <c r="B80" i="24"/>
  <c r="G113" i="24"/>
  <c r="K50" i="24"/>
  <c r="O148" i="24"/>
  <c r="N148" i="24"/>
  <c r="H113" i="24"/>
  <c r="L50" i="24"/>
  <c r="I113" i="24"/>
  <c r="M50" i="24"/>
  <c r="P148" i="24"/>
  <c r="Q138" i="12"/>
  <c r="N162" i="12"/>
  <c r="K64" i="12"/>
  <c r="N40" i="12"/>
  <c r="J110" i="12"/>
  <c r="K110" i="12"/>
  <c r="L110" i="12"/>
  <c r="M110" i="12"/>
  <c r="H25" i="50"/>
  <c r="C15" i="32"/>
  <c r="C15" i="50"/>
  <c r="AG15" i="23"/>
  <c r="AJ15" i="23"/>
  <c r="C7" i="32"/>
  <c r="AG7" i="23"/>
  <c r="C7" i="50"/>
  <c r="AJ7" i="23"/>
  <c r="Z20" i="10"/>
  <c r="E38" i="32"/>
  <c r="N88" i="12"/>
  <c r="K88" i="12"/>
  <c r="L88" i="12"/>
  <c r="P88" i="12" s="1"/>
  <c r="M88" i="12"/>
  <c r="M71" i="12"/>
  <c r="Q71" i="12" s="1"/>
  <c r="L71" i="12"/>
  <c r="P71" i="12" s="1"/>
  <c r="N71" i="12"/>
  <c r="K71" i="12"/>
  <c r="M120" i="12"/>
  <c r="L120" i="12"/>
  <c r="J120" i="12"/>
  <c r="K120" i="12"/>
  <c r="E42" i="32"/>
  <c r="Z24" i="10"/>
  <c r="N85" i="12"/>
  <c r="M85" i="12"/>
  <c r="Q85" i="12" s="1"/>
  <c r="K85" i="12"/>
  <c r="O85" i="12" s="1"/>
  <c r="L85" i="12"/>
  <c r="P85" i="12" s="1"/>
  <c r="J125" i="12"/>
  <c r="M125" i="12"/>
  <c r="K125" i="12"/>
  <c r="L125" i="12"/>
  <c r="H102" i="24"/>
  <c r="O137" i="24"/>
  <c r="B69" i="24"/>
  <c r="I102" i="24"/>
  <c r="N137" i="24"/>
  <c r="G102" i="24"/>
  <c r="L39" i="24"/>
  <c r="K39" i="24"/>
  <c r="P137" i="24"/>
  <c r="M39" i="24"/>
  <c r="AK17" i="60"/>
  <c r="D111" i="30"/>
  <c r="O111" i="30"/>
  <c r="Z111" i="30"/>
  <c r="M64" i="12"/>
  <c r="J109" i="12"/>
  <c r="M109" i="12"/>
  <c r="K109" i="12"/>
  <c r="L109" i="12"/>
  <c r="AK27" i="60"/>
  <c r="O121" i="30"/>
  <c r="Z121" i="30"/>
  <c r="D121" i="30"/>
  <c r="N63" i="12"/>
  <c r="F75" i="14" s="1"/>
  <c r="G25" i="50"/>
  <c r="G25" i="32"/>
  <c r="C20" i="32"/>
  <c r="AG20" i="23"/>
  <c r="C20" i="50"/>
  <c r="AJ20" i="23"/>
  <c r="C12" i="32"/>
  <c r="AG12" i="23"/>
  <c r="C12" i="50"/>
  <c r="AJ12" i="23"/>
  <c r="Q148" i="12"/>
  <c r="G32" i="47"/>
  <c r="H32" i="47" s="1"/>
  <c r="G53" i="47"/>
  <c r="AK19" i="60"/>
  <c r="D113" i="30"/>
  <c r="O113" i="30"/>
  <c r="Z113" i="30"/>
  <c r="Q43" i="12"/>
  <c r="R43" i="12" s="1"/>
  <c r="R48" i="12"/>
  <c r="O162" i="12"/>
  <c r="AK9" i="60"/>
  <c r="Z103" i="30"/>
  <c r="D103" i="30"/>
  <c r="O103" i="30"/>
  <c r="G27" i="50"/>
  <c r="G27" i="32"/>
  <c r="H24" i="50"/>
  <c r="C22" i="32"/>
  <c r="C22" i="50"/>
  <c r="G19" i="50"/>
  <c r="G19" i="32"/>
  <c r="H16" i="50"/>
  <c r="C14" i="32"/>
  <c r="C14" i="50"/>
  <c r="G11" i="50"/>
  <c r="G11" i="32"/>
  <c r="H8" i="50"/>
  <c r="C6" i="32"/>
  <c r="C6" i="50"/>
  <c r="AG6" i="23"/>
  <c r="N58" i="12"/>
  <c r="F70" i="14" s="1"/>
  <c r="N50" i="12"/>
  <c r="F62" i="14" s="1"/>
  <c r="K58" i="24"/>
  <c r="M58" i="24"/>
  <c r="B88" i="24"/>
  <c r="G121" i="24"/>
  <c r="L58" i="24"/>
  <c r="P156" i="24"/>
  <c r="N156" i="24"/>
  <c r="H121" i="24"/>
  <c r="I121" i="24"/>
  <c r="O156" i="24"/>
  <c r="O141" i="24"/>
  <c r="H106" i="24"/>
  <c r="P141" i="24"/>
  <c r="K43" i="24"/>
  <c r="M43" i="24"/>
  <c r="L43" i="24"/>
  <c r="I106" i="24"/>
  <c r="N141" i="24"/>
  <c r="G106" i="24"/>
  <c r="B73" i="24"/>
  <c r="G112" i="24"/>
  <c r="N147" i="24"/>
  <c r="I112" i="24"/>
  <c r="K49" i="24"/>
  <c r="M49" i="24"/>
  <c r="B79" i="24"/>
  <c r="H112" i="24"/>
  <c r="P147" i="24"/>
  <c r="L49" i="24"/>
  <c r="O147" i="24"/>
  <c r="N41" i="12"/>
  <c r="F53" i="14" s="1"/>
  <c r="AM116" i="30"/>
  <c r="F51" i="51" s="1"/>
  <c r="Q142" i="12"/>
  <c r="N60" i="12"/>
  <c r="F72" i="14" s="1"/>
  <c r="G51" i="47"/>
  <c r="H51" i="47" s="1"/>
  <c r="G10" i="14"/>
  <c r="H10" i="14" s="1"/>
  <c r="L40" i="24"/>
  <c r="N138" i="24"/>
  <c r="M40" i="24"/>
  <c r="P138" i="24"/>
  <c r="B70" i="24"/>
  <c r="O138" i="24"/>
  <c r="I103" i="24"/>
  <c r="H103" i="24"/>
  <c r="G103" i="24"/>
  <c r="K40" i="24"/>
  <c r="M83" i="12"/>
  <c r="Q83" i="12" s="1"/>
  <c r="K83" i="12"/>
  <c r="O83" i="12" s="1"/>
  <c r="N83" i="12"/>
  <c r="L83" i="12"/>
  <c r="AF25" i="12"/>
  <c r="AA25" i="12"/>
  <c r="N51" i="12"/>
  <c r="F63" i="14" s="1"/>
  <c r="AF39" i="12"/>
  <c r="AA39" i="12"/>
  <c r="E57" i="32"/>
  <c r="Z39" i="10"/>
  <c r="Q160" i="12"/>
  <c r="AB28" i="60"/>
  <c r="F122" i="30"/>
  <c r="AM98" i="30"/>
  <c r="F33" i="51" s="1"/>
  <c r="G47" i="47"/>
  <c r="H47" i="47" s="1"/>
  <c r="G34" i="47"/>
  <c r="H34" i="47" s="1"/>
  <c r="O55" i="12"/>
  <c r="R55" i="12" s="1"/>
  <c r="O61" i="12"/>
  <c r="R61" i="12" s="1"/>
  <c r="O54" i="12"/>
  <c r="R54" i="12" s="1"/>
  <c r="N73" i="12"/>
  <c r="K73" i="12"/>
  <c r="O73" i="12" s="1"/>
  <c r="M73" i="12"/>
  <c r="Q73" i="12" s="1"/>
  <c r="L73" i="12"/>
  <c r="P73" i="12" s="1"/>
  <c r="F59" i="32"/>
  <c r="AA31" i="24"/>
  <c r="AF31" i="24"/>
  <c r="AK14" i="60"/>
  <c r="D108" i="30"/>
  <c r="O108" i="30"/>
  <c r="Z108" i="30"/>
  <c r="K111" i="12"/>
  <c r="J111" i="12"/>
  <c r="M111" i="12"/>
  <c r="L111" i="12"/>
  <c r="AF41" i="12"/>
  <c r="AA41" i="12"/>
  <c r="G198" i="10"/>
  <c r="E19" i="14"/>
  <c r="E43" i="14" s="1"/>
  <c r="M77" i="12"/>
  <c r="Q77" i="12" s="1"/>
  <c r="L77" i="12"/>
  <c r="K77" i="12"/>
  <c r="O77" i="12" s="1"/>
  <c r="N77" i="12"/>
  <c r="BA29" i="23"/>
  <c r="S29" i="31" s="1"/>
  <c r="D63" i="30" s="1"/>
  <c r="E46" i="32"/>
  <c r="Z28" i="10"/>
  <c r="M86" i="12"/>
  <c r="K86" i="12"/>
  <c r="O86" i="12" s="1"/>
  <c r="L86" i="12"/>
  <c r="N86" i="12"/>
  <c r="AF42" i="12"/>
  <c r="AA42" i="12"/>
  <c r="AK8" i="60"/>
  <c r="Z102" i="30"/>
  <c r="D102" i="30"/>
  <c r="O102" i="30"/>
  <c r="AK13" i="60"/>
  <c r="D107" i="30"/>
  <c r="O107" i="30"/>
  <c r="Z107" i="30"/>
  <c r="AK22" i="60"/>
  <c r="Z116" i="30"/>
  <c r="O116" i="30"/>
  <c r="D116" i="30"/>
  <c r="R47" i="12"/>
  <c r="G219" i="3"/>
  <c r="F226" i="3" s="1"/>
  <c r="F221" i="3"/>
  <c r="A226" i="3"/>
  <c r="C226" i="3" s="1"/>
  <c r="F220" i="3"/>
  <c r="AF38" i="12"/>
  <c r="AA38" i="12"/>
  <c r="H5" i="50"/>
  <c r="AB29" i="23"/>
  <c r="C21" i="32"/>
  <c r="AG21" i="23"/>
  <c r="C21" i="50"/>
  <c r="AJ21" i="23"/>
  <c r="H7" i="50"/>
  <c r="K121" i="12"/>
  <c r="J121" i="12"/>
  <c r="M121" i="12"/>
  <c r="L121" i="12"/>
  <c r="K113" i="12"/>
  <c r="J113" i="12"/>
  <c r="L113" i="12"/>
  <c r="M113" i="12"/>
  <c r="I37" i="47"/>
  <c r="J37" i="47" s="1"/>
  <c r="F12" i="53" s="1"/>
  <c r="AF24" i="24"/>
  <c r="AA24" i="24"/>
  <c r="AK6" i="60"/>
  <c r="D100" i="30"/>
  <c r="O100" i="30"/>
  <c r="Z100" i="30"/>
  <c r="I118" i="24"/>
  <c r="K55" i="24"/>
  <c r="G118" i="24"/>
  <c r="L55" i="24"/>
  <c r="B85" i="24"/>
  <c r="M55" i="24"/>
  <c r="P153" i="24"/>
  <c r="O153" i="24"/>
  <c r="N153" i="24"/>
  <c r="H118" i="24"/>
  <c r="AK11" i="60"/>
  <c r="D105" i="30"/>
  <c r="O105" i="30"/>
  <c r="Z105" i="30"/>
  <c r="R149" i="12"/>
  <c r="S149" i="12" s="1"/>
  <c r="X149" i="12" s="1"/>
  <c r="H28" i="50"/>
  <c r="G23" i="50"/>
  <c r="G23" i="32"/>
  <c r="G15" i="50"/>
  <c r="G15" i="32"/>
  <c r="G7" i="50"/>
  <c r="G7" i="32"/>
  <c r="AM115" i="30"/>
  <c r="F50" i="51" s="1"/>
  <c r="M84" i="12"/>
  <c r="L84" i="12"/>
  <c r="P84" i="12" s="1"/>
  <c r="N84" i="12"/>
  <c r="K84" i="12"/>
  <c r="O84" i="12" s="1"/>
  <c r="AM102" i="30"/>
  <c r="F37" i="51" s="1"/>
  <c r="H109" i="24"/>
  <c r="O144" i="24"/>
  <c r="K46" i="24"/>
  <c r="I109" i="24"/>
  <c r="M46" i="24"/>
  <c r="P144" i="24"/>
  <c r="N144" i="24"/>
  <c r="G109" i="24"/>
  <c r="B76" i="24"/>
  <c r="L46" i="24"/>
  <c r="AM99" i="30"/>
  <c r="F34" i="51" s="1"/>
  <c r="L60" i="24"/>
  <c r="M60" i="24"/>
  <c r="G123" i="24"/>
  <c r="P158" i="24"/>
  <c r="O158" i="24"/>
  <c r="K60" i="24"/>
  <c r="I123" i="24"/>
  <c r="H123" i="24"/>
  <c r="N158" i="24"/>
  <c r="B90" i="24"/>
  <c r="AM100" i="30"/>
  <c r="F35" i="51" s="1"/>
  <c r="D29" i="31"/>
  <c r="G28" i="50"/>
  <c r="G28" i="32"/>
  <c r="G20" i="50"/>
  <c r="G20" i="32"/>
  <c r="G12" i="50"/>
  <c r="G12" i="32"/>
  <c r="E53" i="32"/>
  <c r="Z35" i="10"/>
  <c r="Q147" i="12"/>
  <c r="N57" i="12"/>
  <c r="F69" i="14" s="1"/>
  <c r="AF25" i="24"/>
  <c r="AA25" i="24"/>
  <c r="AF35" i="12"/>
  <c r="AA35" i="12"/>
  <c r="R46" i="12"/>
  <c r="Q157" i="12"/>
  <c r="L64" i="12"/>
  <c r="AM108" i="30"/>
  <c r="F43" i="51" s="1"/>
  <c r="I117" i="24"/>
  <c r="B84" i="24"/>
  <c r="M54" i="24"/>
  <c r="G117" i="24"/>
  <c r="K54" i="24"/>
  <c r="H117" i="24"/>
  <c r="L54" i="24"/>
  <c r="N152" i="24"/>
  <c r="O152" i="24"/>
  <c r="P152" i="24"/>
  <c r="BD29" i="23"/>
  <c r="V29" i="31" s="1"/>
  <c r="AM119" i="30"/>
  <c r="F54" i="51" s="1"/>
  <c r="C28" i="32"/>
  <c r="AG28" i="23"/>
  <c r="C28" i="50"/>
  <c r="AJ28" i="23"/>
  <c r="H22" i="50"/>
  <c r="H14" i="50"/>
  <c r="H14" i="32"/>
  <c r="G9" i="50"/>
  <c r="G9" i="32"/>
  <c r="AM103" i="30"/>
  <c r="F38" i="51" s="1"/>
  <c r="L74" i="12"/>
  <c r="P74" i="12" s="1"/>
  <c r="K74" i="12"/>
  <c r="M74" i="12"/>
  <c r="Q74" i="12" s="1"/>
  <c r="N74" i="12"/>
  <c r="M116" i="12"/>
  <c r="L116" i="12"/>
  <c r="J116" i="12"/>
  <c r="K116" i="12"/>
  <c r="G38" i="47"/>
  <c r="H38" i="47" s="1"/>
  <c r="AA18" i="24"/>
  <c r="AF18" i="24"/>
  <c r="J124" i="12"/>
  <c r="K124" i="12"/>
  <c r="M124" i="12"/>
  <c r="L124" i="12"/>
  <c r="Q140" i="12"/>
  <c r="R44" i="12"/>
  <c r="Q40" i="12"/>
  <c r="G33" i="47"/>
  <c r="H33" i="47" s="1"/>
  <c r="AF27" i="12"/>
  <c r="AA27" i="12"/>
  <c r="Z21" i="10"/>
  <c r="E39" i="32"/>
  <c r="AM63" i="30"/>
  <c r="C27" i="32"/>
  <c r="AG27" i="23"/>
  <c r="C27" i="50"/>
  <c r="AJ27" i="23"/>
  <c r="G24" i="50"/>
  <c r="G24" i="32"/>
  <c r="H21" i="50"/>
  <c r="C19" i="32"/>
  <c r="AG19" i="23"/>
  <c r="C19" i="50"/>
  <c r="AJ19" i="23"/>
  <c r="G16" i="50"/>
  <c r="G16" i="32"/>
  <c r="H13" i="50"/>
  <c r="H13" i="32"/>
  <c r="C11" i="32"/>
  <c r="C11" i="50"/>
  <c r="AG11" i="23"/>
  <c r="AJ11" i="23"/>
  <c r="G8" i="50"/>
  <c r="G8" i="32"/>
  <c r="K53" i="24"/>
  <c r="P151" i="24"/>
  <c r="L53" i="24"/>
  <c r="B83" i="24"/>
  <c r="M53" i="24"/>
  <c r="I116" i="24"/>
  <c r="O151" i="24"/>
  <c r="G116" i="24"/>
  <c r="N151" i="24"/>
  <c r="H116" i="24"/>
  <c r="AF31" i="12"/>
  <c r="AA31" i="12"/>
  <c r="Q156" i="12"/>
  <c r="AF47" i="12"/>
  <c r="AA47" i="12"/>
  <c r="B86" i="24"/>
  <c r="G119" i="24"/>
  <c r="N154" i="24"/>
  <c r="K56" i="24"/>
  <c r="L56" i="24"/>
  <c r="O154" i="24"/>
  <c r="P154" i="24"/>
  <c r="I119" i="24"/>
  <c r="M56" i="24"/>
  <c r="H119" i="24"/>
  <c r="G42" i="47"/>
  <c r="H42" i="47" s="1"/>
  <c r="M104" i="12"/>
  <c r="K104" i="12"/>
  <c r="L104" i="12"/>
  <c r="J104" i="12"/>
  <c r="N87" i="12"/>
  <c r="K87" i="12"/>
  <c r="O87" i="12" s="1"/>
  <c r="M87" i="12"/>
  <c r="Q87" i="12" s="1"/>
  <c r="L87" i="12"/>
  <c r="P87" i="12" s="1"/>
  <c r="K82" i="12"/>
  <c r="O82" i="12" s="1"/>
  <c r="M82" i="12"/>
  <c r="L82" i="12"/>
  <c r="N82" i="12"/>
  <c r="G104" i="24"/>
  <c r="K41" i="24"/>
  <c r="P139" i="24"/>
  <c r="B71" i="24"/>
  <c r="I104" i="24"/>
  <c r="L41" i="24"/>
  <c r="N139" i="24"/>
  <c r="H104" i="24"/>
  <c r="M41" i="24"/>
  <c r="O139" i="24"/>
  <c r="G43" i="14"/>
  <c r="AK7" i="60"/>
  <c r="O101" i="30"/>
  <c r="D101" i="30"/>
  <c r="Z101" i="30"/>
  <c r="AM106" i="30"/>
  <c r="F41" i="51" s="1"/>
  <c r="E29" i="50"/>
  <c r="E29" i="32"/>
  <c r="N63" i="10"/>
  <c r="Q149" i="12"/>
  <c r="AA29" i="24"/>
  <c r="AF29" i="24"/>
  <c r="N62" i="12"/>
  <c r="F74" i="14" s="1"/>
  <c r="Q28" i="60"/>
  <c r="AM28" i="60"/>
  <c r="E48" i="32"/>
  <c r="Z30" i="10"/>
  <c r="AF30" i="12"/>
  <c r="AA30" i="12"/>
  <c r="AM101" i="30"/>
  <c r="F36" i="51" s="1"/>
  <c r="L72" i="12"/>
  <c r="N72" i="12"/>
  <c r="K72" i="12"/>
  <c r="O72" i="12" s="1"/>
  <c r="M72" i="12"/>
  <c r="Q72" i="12" s="1"/>
  <c r="O63" i="12"/>
  <c r="R63" i="12" s="1"/>
  <c r="O51" i="12"/>
  <c r="R51" i="12" s="1"/>
  <c r="O59" i="12"/>
  <c r="R59" i="12" s="1"/>
  <c r="O45" i="12"/>
  <c r="R45" i="12" s="1"/>
  <c r="N43" i="12"/>
  <c r="F55" i="14" s="1"/>
  <c r="M122" i="12"/>
  <c r="L122" i="12"/>
  <c r="K122" i="12"/>
  <c r="J122" i="12"/>
  <c r="Z48" i="12"/>
  <c r="AA48" i="12" s="1"/>
  <c r="AB48" i="12"/>
  <c r="I127" i="12"/>
  <c r="M75" i="12"/>
  <c r="N75" i="12"/>
  <c r="K75" i="12"/>
  <c r="O75" i="12" s="1"/>
  <c r="L75" i="12"/>
  <c r="AK12" i="60"/>
  <c r="O106" i="30"/>
  <c r="Z106" i="30"/>
  <c r="D106" i="30"/>
  <c r="AF33" i="12"/>
  <c r="AA33" i="12"/>
  <c r="G35" i="47"/>
  <c r="H35" i="47" s="1"/>
  <c r="N48" i="12"/>
  <c r="F60" i="14" s="1"/>
  <c r="AF29" i="12"/>
  <c r="AA29" i="12"/>
  <c r="Q144" i="12"/>
  <c r="G36" i="47"/>
  <c r="H36" i="47" s="1"/>
  <c r="C8" i="14"/>
  <c r="G8" i="14" s="1"/>
  <c r="H8" i="14" s="1"/>
  <c r="B223" i="10"/>
  <c r="F222" i="10"/>
  <c r="G224" i="10" s="1"/>
  <c r="G50" i="47"/>
  <c r="H50" i="47" s="1"/>
  <c r="M126" i="12"/>
  <c r="K126" i="12"/>
  <c r="L126" i="12"/>
  <c r="J126" i="12"/>
  <c r="AL29" i="23"/>
  <c r="L119" i="12"/>
  <c r="M119" i="12"/>
  <c r="K119" i="12"/>
  <c r="J119" i="12"/>
  <c r="G114" i="24"/>
  <c r="B81" i="24"/>
  <c r="K51" i="24"/>
  <c r="P149" i="24"/>
  <c r="L51" i="24"/>
  <c r="M51" i="24"/>
  <c r="H114" i="24"/>
  <c r="N149" i="24"/>
  <c r="O149" i="24"/>
  <c r="I114" i="24"/>
  <c r="AA27" i="24"/>
  <c r="AF27" i="24"/>
  <c r="L29" i="50"/>
  <c r="AI29" i="23"/>
  <c r="L34" i="50"/>
  <c r="I45" i="47" l="1"/>
  <c r="J45" i="47" s="1"/>
  <c r="F20" i="53" s="1"/>
  <c r="AF34" i="24"/>
  <c r="AF21" i="24"/>
  <c r="AA40" i="24"/>
  <c r="AF39" i="24"/>
  <c r="AA37" i="24"/>
  <c r="AA33" i="24"/>
  <c r="I43" i="47"/>
  <c r="J43" i="47" s="1"/>
  <c r="F18" i="53" s="1"/>
  <c r="I44" i="47"/>
  <c r="J44" i="47" s="1"/>
  <c r="F19" i="53" s="1"/>
  <c r="W161" i="12"/>
  <c r="AF30" i="24"/>
  <c r="M5" i="50"/>
  <c r="R161" i="12"/>
  <c r="S161" i="12" s="1"/>
  <c r="X161" i="12" s="1"/>
  <c r="R150" i="12"/>
  <c r="S150" i="12" s="1"/>
  <c r="X150" i="12" s="1"/>
  <c r="AM92" i="30"/>
  <c r="AP61" i="34"/>
  <c r="R138" i="12"/>
  <c r="C181" i="12"/>
  <c r="I31" i="47"/>
  <c r="J31" i="47" s="1"/>
  <c r="F6" i="53" s="1"/>
  <c r="H26" i="32"/>
  <c r="H56" i="32" s="1"/>
  <c r="H6" i="32"/>
  <c r="H36" i="32" s="1"/>
  <c r="H8" i="32"/>
  <c r="Z12" i="25" s="1"/>
  <c r="H24" i="32"/>
  <c r="Z28" i="25" s="1"/>
  <c r="H18" i="32"/>
  <c r="H48" i="32" s="1"/>
  <c r="H25" i="32"/>
  <c r="H55" i="32" s="1"/>
  <c r="H27" i="32"/>
  <c r="H57" i="32" s="1"/>
  <c r="H5" i="32"/>
  <c r="Z9" i="25" s="1"/>
  <c r="H10" i="32"/>
  <c r="Z14" i="25" s="1"/>
  <c r="H22" i="32"/>
  <c r="Z26" i="25" s="1"/>
  <c r="H15" i="32"/>
  <c r="Z19" i="25" s="1"/>
  <c r="H28" i="32"/>
  <c r="Z32" i="25" s="1"/>
  <c r="F64" i="12"/>
  <c r="F65" i="12" s="1"/>
  <c r="B179" i="12"/>
  <c r="W145" i="12"/>
  <c r="W141" i="12"/>
  <c r="B177" i="12"/>
  <c r="W158" i="12"/>
  <c r="J64" i="12"/>
  <c r="C65" i="12"/>
  <c r="Q148" i="24"/>
  <c r="D17" i="51" s="1"/>
  <c r="Q136" i="24"/>
  <c r="T136" i="24" s="1"/>
  <c r="W136" i="24" s="1"/>
  <c r="Z136" i="24" s="1"/>
  <c r="D199" i="24" s="1"/>
  <c r="E162" i="12"/>
  <c r="H162" i="12"/>
  <c r="K162" i="12"/>
  <c r="N122" i="12"/>
  <c r="C220" i="12" s="1"/>
  <c r="D94" i="12"/>
  <c r="G162" i="12"/>
  <c r="W155" i="12"/>
  <c r="R148" i="12"/>
  <c r="S148" i="12" s="1"/>
  <c r="X148" i="12" s="1"/>
  <c r="F18" i="51"/>
  <c r="G220" i="3"/>
  <c r="B185" i="12"/>
  <c r="X158" i="12"/>
  <c r="V158" i="12"/>
  <c r="Z158" i="12" s="1"/>
  <c r="AC158" i="12" s="1"/>
  <c r="D221" i="12" s="1"/>
  <c r="Q153" i="24"/>
  <c r="T153" i="24" s="1"/>
  <c r="W153" i="24" s="1"/>
  <c r="Z153" i="24" s="1"/>
  <c r="D216" i="24" s="1"/>
  <c r="B184" i="12"/>
  <c r="N120" i="12"/>
  <c r="C218" i="12" s="1"/>
  <c r="B172" i="12"/>
  <c r="N107" i="12"/>
  <c r="C205" i="12" s="1"/>
  <c r="Q140" i="24"/>
  <c r="D9" i="51" s="1"/>
  <c r="M162" i="12"/>
  <c r="N115" i="12"/>
  <c r="C213" i="12" s="1"/>
  <c r="D178" i="12"/>
  <c r="W150" i="12"/>
  <c r="Q137" i="24"/>
  <c r="V137" i="24" s="1"/>
  <c r="I162" i="12"/>
  <c r="P64" i="12"/>
  <c r="I48" i="47"/>
  <c r="J48" i="47" s="1"/>
  <c r="F23" i="53" s="1"/>
  <c r="I49" i="47"/>
  <c r="J49" i="47" s="1"/>
  <c r="F24" i="53" s="1"/>
  <c r="H61" i="24"/>
  <c r="F162" i="12"/>
  <c r="D189" i="12"/>
  <c r="Q64" i="12"/>
  <c r="L162" i="12"/>
  <c r="C188" i="12"/>
  <c r="N119" i="12"/>
  <c r="C217" i="12" s="1"/>
  <c r="C94" i="12"/>
  <c r="F94" i="12" s="1"/>
  <c r="F95" i="12" s="1"/>
  <c r="D162" i="12"/>
  <c r="D176" i="12"/>
  <c r="Q142" i="24"/>
  <c r="V142" i="24" s="1"/>
  <c r="R49" i="12"/>
  <c r="Q143" i="24"/>
  <c r="V143" i="24" s="1"/>
  <c r="B175" i="12"/>
  <c r="C193" i="12"/>
  <c r="D59" i="32"/>
  <c r="D28" i="60"/>
  <c r="D192" i="12"/>
  <c r="C176" i="12"/>
  <c r="D174" i="12"/>
  <c r="N116" i="12"/>
  <c r="C214" i="12" s="1"/>
  <c r="R73" i="12"/>
  <c r="B204" i="12" s="1"/>
  <c r="B178" i="12"/>
  <c r="AJ14" i="23"/>
  <c r="Q150" i="24"/>
  <c r="D19" i="51" s="1"/>
  <c r="D92" i="30"/>
  <c r="C162" i="12"/>
  <c r="C180" i="12"/>
  <c r="C184" i="12"/>
  <c r="B190" i="12"/>
  <c r="B182" i="12"/>
  <c r="D185" i="12"/>
  <c r="W29" i="23"/>
  <c r="C29" i="50" s="1"/>
  <c r="J162" i="12"/>
  <c r="C190" i="12"/>
  <c r="Z31" i="25"/>
  <c r="Q57" i="24"/>
  <c r="AK112" i="30"/>
  <c r="B27" i="15"/>
  <c r="L8" i="30"/>
  <c r="L8" i="31"/>
  <c r="S8" i="23"/>
  <c r="L8" i="32"/>
  <c r="P8" i="50"/>
  <c r="AA35" i="24"/>
  <c r="AF35" i="24"/>
  <c r="M11" i="50"/>
  <c r="I15" i="30"/>
  <c r="I15" i="31"/>
  <c r="B42" i="43"/>
  <c r="R15" i="23"/>
  <c r="O15" i="32" s="1"/>
  <c r="I15" i="32"/>
  <c r="T15" i="50"/>
  <c r="Q15" i="50"/>
  <c r="B44" i="15"/>
  <c r="L25" i="30"/>
  <c r="L25" i="31"/>
  <c r="S25" i="23"/>
  <c r="L25" i="32"/>
  <c r="P25" i="50"/>
  <c r="B53" i="16"/>
  <c r="K28" i="31"/>
  <c r="K28" i="30"/>
  <c r="K28" i="32"/>
  <c r="S28" i="50"/>
  <c r="R147" i="12"/>
  <c r="S147" i="12" s="1"/>
  <c r="X147" i="12" s="1"/>
  <c r="I38" i="47"/>
  <c r="J38" i="47" s="1"/>
  <c r="F13" i="53" s="1"/>
  <c r="O54" i="24"/>
  <c r="N54" i="24"/>
  <c r="D69" i="14" s="1"/>
  <c r="J29" i="47"/>
  <c r="Q40" i="24"/>
  <c r="C174" i="12"/>
  <c r="J7" i="30"/>
  <c r="B35" i="29"/>
  <c r="J7" i="31"/>
  <c r="J7" i="32"/>
  <c r="R7" i="50"/>
  <c r="B29" i="15"/>
  <c r="S10" i="23"/>
  <c r="L10" i="31"/>
  <c r="L10" i="30"/>
  <c r="L10" i="32"/>
  <c r="P10" i="50"/>
  <c r="H12" i="30"/>
  <c r="B44" i="25"/>
  <c r="H12" i="31"/>
  <c r="Q12" i="23"/>
  <c r="AK111" i="30"/>
  <c r="B44" i="29"/>
  <c r="J16" i="30"/>
  <c r="J16" i="31"/>
  <c r="J16" i="32"/>
  <c r="R16" i="50"/>
  <c r="F4" i="51"/>
  <c r="W138" i="12"/>
  <c r="Z39" i="3"/>
  <c r="E42" i="20"/>
  <c r="L42" i="20" s="1"/>
  <c r="C56" i="32"/>
  <c r="K27" i="31"/>
  <c r="K27" i="30"/>
  <c r="B52" i="16"/>
  <c r="K27" i="32"/>
  <c r="S27" i="50"/>
  <c r="AF48" i="12"/>
  <c r="G22" i="50"/>
  <c r="M22" i="50" s="1"/>
  <c r="G22" i="32"/>
  <c r="B38" i="29"/>
  <c r="J10" i="30"/>
  <c r="J10" i="31"/>
  <c r="J10" i="32"/>
  <c r="R10" i="50"/>
  <c r="I21" i="30"/>
  <c r="B48" i="43"/>
  <c r="I21" i="31"/>
  <c r="R21" i="23"/>
  <c r="O21" i="32" s="1"/>
  <c r="I21" i="32"/>
  <c r="Q21" i="50"/>
  <c r="T21" i="50"/>
  <c r="B51" i="25"/>
  <c r="H19" i="31"/>
  <c r="H19" i="30"/>
  <c r="Q19" i="23"/>
  <c r="M127" i="12"/>
  <c r="J5" i="31"/>
  <c r="J5" i="30"/>
  <c r="B33" i="29"/>
  <c r="M29" i="23"/>
  <c r="AH28" i="34" s="1"/>
  <c r="AH61" i="34" s="1"/>
  <c r="J5" i="32"/>
  <c r="R5" i="50"/>
  <c r="O159" i="24"/>
  <c r="L61" i="24"/>
  <c r="P37" i="24"/>
  <c r="P44" i="24"/>
  <c r="M23" i="50"/>
  <c r="Q59" i="24"/>
  <c r="AF25" i="10"/>
  <c r="AA25" i="10"/>
  <c r="B55" i="25"/>
  <c r="H23" i="31"/>
  <c r="H23" i="30"/>
  <c r="Q23" i="23"/>
  <c r="O41" i="24"/>
  <c r="N41" i="24"/>
  <c r="D56" i="14" s="1"/>
  <c r="R151" i="12"/>
  <c r="S151" i="12" s="1"/>
  <c r="X151" i="12" s="1"/>
  <c r="I42" i="47"/>
  <c r="J42" i="47" s="1"/>
  <c r="F17" i="53" s="1"/>
  <c r="Z24" i="3"/>
  <c r="E27" i="20"/>
  <c r="L27" i="20" s="1"/>
  <c r="C41" i="32"/>
  <c r="Z40" i="3"/>
  <c r="E43" i="20"/>
  <c r="L43" i="20" s="1"/>
  <c r="C57" i="32"/>
  <c r="J21" i="30"/>
  <c r="J21" i="31"/>
  <c r="B49" i="29"/>
  <c r="J21" i="32"/>
  <c r="Z33" i="29" s="1"/>
  <c r="R21" i="50"/>
  <c r="M117" i="24"/>
  <c r="J117" i="24"/>
  <c r="K117" i="24"/>
  <c r="L117" i="24"/>
  <c r="J123" i="24"/>
  <c r="K123" i="24"/>
  <c r="M123" i="24"/>
  <c r="L123" i="24"/>
  <c r="H29" i="50"/>
  <c r="C13" i="25"/>
  <c r="C19" i="25" s="1"/>
  <c r="C20" i="25" s="1"/>
  <c r="F57" i="51"/>
  <c r="F60" i="51" s="1"/>
  <c r="C187" i="12"/>
  <c r="J27" i="30"/>
  <c r="B55" i="29"/>
  <c r="J27" i="31"/>
  <c r="J27" i="32"/>
  <c r="Z39" i="29" s="1"/>
  <c r="R27" i="50"/>
  <c r="Z26" i="3"/>
  <c r="E29" i="20"/>
  <c r="L29" i="20" s="1"/>
  <c r="C43" i="32"/>
  <c r="Q79" i="12"/>
  <c r="R79" i="12" s="1"/>
  <c r="D179" i="12"/>
  <c r="AK28" i="60"/>
  <c r="N105" i="12"/>
  <c r="C203" i="12" s="1"/>
  <c r="I61" i="24"/>
  <c r="M100" i="24"/>
  <c r="L100" i="24"/>
  <c r="J100" i="24"/>
  <c r="K100" i="24"/>
  <c r="Q42" i="24"/>
  <c r="B32" i="15"/>
  <c r="L13" i="30"/>
  <c r="S13" i="23"/>
  <c r="L13" i="31"/>
  <c r="L13" i="32"/>
  <c r="P13" i="50"/>
  <c r="B170" i="12"/>
  <c r="K94" i="12"/>
  <c r="O70" i="12"/>
  <c r="AF18" i="10"/>
  <c r="AA18" i="10"/>
  <c r="N118" i="12"/>
  <c r="C216" i="12" s="1"/>
  <c r="AK114" i="30"/>
  <c r="K14" i="30"/>
  <c r="B39" i="16"/>
  <c r="K14" i="31"/>
  <c r="K14" i="32"/>
  <c r="S14" i="50"/>
  <c r="M8" i="50"/>
  <c r="J104" i="24"/>
  <c r="K104" i="24"/>
  <c r="M104" i="24"/>
  <c r="L104" i="24"/>
  <c r="Z17" i="25"/>
  <c r="H43" i="32"/>
  <c r="I7" i="30"/>
  <c r="B34" i="43"/>
  <c r="I7" i="31"/>
  <c r="R7" i="23"/>
  <c r="O7" i="32" s="1"/>
  <c r="I7" i="32"/>
  <c r="Q7" i="50"/>
  <c r="T7" i="50"/>
  <c r="B37" i="15"/>
  <c r="L18" i="30"/>
  <c r="S18" i="23"/>
  <c r="L18" i="31"/>
  <c r="L18" i="32"/>
  <c r="P18" i="50"/>
  <c r="AF21" i="10"/>
  <c r="AA21" i="10"/>
  <c r="C171" i="12"/>
  <c r="M28" i="50"/>
  <c r="Q54" i="24"/>
  <c r="S138" i="12"/>
  <c r="Z36" i="9"/>
  <c r="G50" i="32"/>
  <c r="Q60" i="24"/>
  <c r="Q55" i="24"/>
  <c r="AK102" i="30"/>
  <c r="P86" i="12"/>
  <c r="C186" i="12"/>
  <c r="Q43" i="24"/>
  <c r="Q58" i="24"/>
  <c r="I10" i="30"/>
  <c r="I10" i="31"/>
  <c r="B37" i="43"/>
  <c r="R10" i="23"/>
  <c r="O10" i="32" s="1"/>
  <c r="I10" i="32"/>
  <c r="T10" i="50"/>
  <c r="Q10" i="50"/>
  <c r="B45" i="15"/>
  <c r="L26" i="30"/>
  <c r="S26" i="23"/>
  <c r="L26" i="31"/>
  <c r="L26" i="32"/>
  <c r="P26" i="50"/>
  <c r="B43" i="43"/>
  <c r="I16" i="31"/>
  <c r="I16" i="30"/>
  <c r="R16" i="23"/>
  <c r="O16" i="32" s="1"/>
  <c r="I16" i="32"/>
  <c r="Q16" i="50"/>
  <c r="T16" i="50"/>
  <c r="M15" i="50"/>
  <c r="Z23" i="3"/>
  <c r="E26" i="20"/>
  <c r="L26" i="20" s="1"/>
  <c r="C40" i="32"/>
  <c r="L111" i="24"/>
  <c r="K111" i="24"/>
  <c r="J111" i="24"/>
  <c r="M111" i="24"/>
  <c r="Q38" i="24"/>
  <c r="B34" i="15"/>
  <c r="S15" i="23"/>
  <c r="L15" i="30"/>
  <c r="L15" i="31"/>
  <c r="L15" i="32"/>
  <c r="P15" i="50"/>
  <c r="R92" i="12"/>
  <c r="B223" i="12" s="1"/>
  <c r="C25" i="32"/>
  <c r="AG25" i="23"/>
  <c r="C25" i="50"/>
  <c r="AJ25" i="23"/>
  <c r="B38" i="15"/>
  <c r="L19" i="30"/>
  <c r="S19" i="23"/>
  <c r="L19" i="31"/>
  <c r="L19" i="32"/>
  <c r="P19" i="50"/>
  <c r="O92" i="30"/>
  <c r="AK98" i="30"/>
  <c r="D122" i="30"/>
  <c r="E61" i="24"/>
  <c r="L74" i="24"/>
  <c r="M74" i="24"/>
  <c r="Q74" i="24" s="1"/>
  <c r="K74" i="24"/>
  <c r="O74" i="24" s="1"/>
  <c r="N74" i="24"/>
  <c r="H12" i="32"/>
  <c r="J19" i="30"/>
  <c r="J19" i="31"/>
  <c r="B47" i="29"/>
  <c r="J19" i="32"/>
  <c r="Z31" i="29" s="1"/>
  <c r="R19" i="50"/>
  <c r="Z21" i="9"/>
  <c r="G35" i="32"/>
  <c r="Q51" i="24"/>
  <c r="R87" i="12"/>
  <c r="B218" i="12" s="1"/>
  <c r="L86" i="24"/>
  <c r="P86" i="24" s="1"/>
  <c r="M86" i="24"/>
  <c r="Q86" i="24" s="1"/>
  <c r="N86" i="24"/>
  <c r="K86" i="24"/>
  <c r="O86" i="24" s="1"/>
  <c r="J116" i="24"/>
  <c r="K116" i="24"/>
  <c r="M116" i="24"/>
  <c r="L116" i="24"/>
  <c r="N124" i="12"/>
  <c r="C222" i="12" s="1"/>
  <c r="Z25" i="9"/>
  <c r="G39" i="32"/>
  <c r="P60" i="24"/>
  <c r="Q84" i="12"/>
  <c r="D184" i="12"/>
  <c r="M85" i="24"/>
  <c r="Q85" i="24" s="1"/>
  <c r="L85" i="24"/>
  <c r="P85" i="24" s="1"/>
  <c r="N85" i="24"/>
  <c r="K85" i="24"/>
  <c r="AK107" i="30"/>
  <c r="Q147" i="24"/>
  <c r="O43" i="24"/>
  <c r="N43" i="24"/>
  <c r="D58" i="14" s="1"/>
  <c r="N58" i="24"/>
  <c r="D73" i="14" s="1"/>
  <c r="O58" i="24"/>
  <c r="Z19" i="3"/>
  <c r="E22" i="20"/>
  <c r="L22" i="20" s="1"/>
  <c r="C36" i="32"/>
  <c r="Z35" i="3"/>
  <c r="E38" i="20"/>
  <c r="L38" i="20" s="1"/>
  <c r="C52" i="32"/>
  <c r="F14" i="51"/>
  <c r="W148" i="12"/>
  <c r="AF20" i="10"/>
  <c r="AA20" i="10"/>
  <c r="Z28" i="3"/>
  <c r="E31" i="20"/>
  <c r="L31" i="20" s="1"/>
  <c r="C45" i="32"/>
  <c r="J11" i="30"/>
  <c r="B39" i="29"/>
  <c r="J11" i="31"/>
  <c r="J11" i="32"/>
  <c r="R11" i="50"/>
  <c r="P89" i="12"/>
  <c r="C189" i="12"/>
  <c r="L82" i="24"/>
  <c r="P82" i="24" s="1"/>
  <c r="N82" i="24"/>
  <c r="K82" i="24"/>
  <c r="O82" i="24" s="1"/>
  <c r="M82" i="24"/>
  <c r="Q82" i="24" s="1"/>
  <c r="AF37" i="10"/>
  <c r="AA37" i="10"/>
  <c r="AF34" i="10"/>
  <c r="AA34" i="10"/>
  <c r="Q44" i="24"/>
  <c r="O57" i="24"/>
  <c r="N57" i="24"/>
  <c r="D72" i="14" s="1"/>
  <c r="R93" i="12"/>
  <c r="B224" i="12" s="1"/>
  <c r="B192" i="12"/>
  <c r="Z29" i="9"/>
  <c r="G43" i="32"/>
  <c r="B47" i="43"/>
  <c r="I20" i="31"/>
  <c r="I20" i="30"/>
  <c r="R20" i="23"/>
  <c r="O20" i="32" s="1"/>
  <c r="I20" i="32"/>
  <c r="Q20" i="50"/>
  <c r="T20" i="50"/>
  <c r="H16" i="30"/>
  <c r="B48" i="25"/>
  <c r="H16" i="31"/>
  <c r="Q16" i="23"/>
  <c r="I28" i="31"/>
  <c r="I28" i="30"/>
  <c r="B55" i="43"/>
  <c r="R28" i="23"/>
  <c r="O28" i="32" s="1"/>
  <c r="I28" i="32"/>
  <c r="Q28" i="50"/>
  <c r="T28" i="50"/>
  <c r="P51" i="24"/>
  <c r="R159" i="12"/>
  <c r="S159" i="12" s="1"/>
  <c r="X159" i="12" s="1"/>
  <c r="I50" i="47"/>
  <c r="J50" i="47" s="1"/>
  <c r="F25" i="53" s="1"/>
  <c r="AK106" i="30"/>
  <c r="Q75" i="12"/>
  <c r="D175" i="12"/>
  <c r="Q139" i="24"/>
  <c r="B180" i="12"/>
  <c r="G38" i="32"/>
  <c r="Z24" i="9"/>
  <c r="Z32" i="9"/>
  <c r="G46" i="32"/>
  <c r="Z40" i="9"/>
  <c r="G54" i="32"/>
  <c r="K9" i="30"/>
  <c r="B34" i="16"/>
  <c r="K9" i="31"/>
  <c r="K9" i="32"/>
  <c r="S9" i="50"/>
  <c r="J20" i="30"/>
  <c r="J20" i="31"/>
  <c r="B48" i="29"/>
  <c r="J20" i="32"/>
  <c r="Z32" i="29" s="1"/>
  <c r="R20" i="50"/>
  <c r="B28" i="15"/>
  <c r="L9" i="30"/>
  <c r="S9" i="23"/>
  <c r="L9" i="31"/>
  <c r="L9" i="32"/>
  <c r="P9" i="50"/>
  <c r="B49" i="25"/>
  <c r="H17" i="31"/>
  <c r="H17" i="30"/>
  <c r="Q17" i="23"/>
  <c r="Y16" i="34" s="1"/>
  <c r="B42" i="25"/>
  <c r="H10" i="31"/>
  <c r="H10" i="30"/>
  <c r="Q10" i="23"/>
  <c r="Z41" i="3"/>
  <c r="E44" i="20"/>
  <c r="L44" i="20" s="1"/>
  <c r="C58" i="32"/>
  <c r="Z44" i="9"/>
  <c r="G58" i="32"/>
  <c r="H13" i="30"/>
  <c r="B45" i="25"/>
  <c r="H13" i="31"/>
  <c r="Q13" i="23"/>
  <c r="Q46" i="24"/>
  <c r="AK105" i="30"/>
  <c r="P55" i="24"/>
  <c r="Q86" i="12"/>
  <c r="D186" i="12"/>
  <c r="N111" i="12"/>
  <c r="C209" i="12" s="1"/>
  <c r="R143" i="12"/>
  <c r="S143" i="12" s="1"/>
  <c r="I34" i="47"/>
  <c r="J34" i="47" s="1"/>
  <c r="F9" i="53" s="1"/>
  <c r="F26" i="51"/>
  <c r="W160" i="12"/>
  <c r="P49" i="24"/>
  <c r="M112" i="24"/>
  <c r="K112" i="24"/>
  <c r="L112" i="24"/>
  <c r="J112" i="24"/>
  <c r="B173" i="12"/>
  <c r="H16" i="32"/>
  <c r="K12" i="30"/>
  <c r="K12" i="31"/>
  <c r="B37" i="16"/>
  <c r="K12" i="32"/>
  <c r="S12" i="50"/>
  <c r="J23" i="30"/>
  <c r="B51" i="29"/>
  <c r="J23" i="31"/>
  <c r="J23" i="32"/>
  <c r="Z35" i="29" s="1"/>
  <c r="R23" i="50"/>
  <c r="H18" i="30"/>
  <c r="B50" i="25"/>
  <c r="H18" i="31"/>
  <c r="Q18" i="23"/>
  <c r="AK103" i="30"/>
  <c r="D172" i="12"/>
  <c r="B51" i="43"/>
  <c r="I24" i="31"/>
  <c r="I24" i="30"/>
  <c r="R24" i="23"/>
  <c r="I24" i="32"/>
  <c r="T24" i="50"/>
  <c r="Q24" i="50"/>
  <c r="N109" i="12"/>
  <c r="C207" i="12" s="1"/>
  <c r="Q39" i="24"/>
  <c r="O71" i="12"/>
  <c r="R71" i="12" s="1"/>
  <c r="B202" i="12" s="1"/>
  <c r="B171" i="12"/>
  <c r="Q88" i="12"/>
  <c r="D188" i="12"/>
  <c r="B40" i="15"/>
  <c r="L21" i="30"/>
  <c r="S21" i="23"/>
  <c r="L21" i="31"/>
  <c r="L21" i="32"/>
  <c r="P21" i="50"/>
  <c r="P50" i="24"/>
  <c r="AK99" i="30"/>
  <c r="Q48" i="24"/>
  <c r="N117" i="12"/>
  <c r="C215" i="12" s="1"/>
  <c r="H23" i="32"/>
  <c r="B44" i="43"/>
  <c r="I17" i="30"/>
  <c r="I17" i="31"/>
  <c r="R17" i="23"/>
  <c r="O17" i="32" s="1"/>
  <c r="I17" i="32"/>
  <c r="Q17" i="50"/>
  <c r="T17" i="50"/>
  <c r="H15" i="30"/>
  <c r="B47" i="25"/>
  <c r="H15" i="31"/>
  <c r="Q15" i="23"/>
  <c r="C43" i="14"/>
  <c r="AA41" i="24"/>
  <c r="AF41" i="24"/>
  <c r="O89" i="12"/>
  <c r="B189" i="12"/>
  <c r="Q81" i="12"/>
  <c r="D181" i="12"/>
  <c r="Q145" i="24"/>
  <c r="M75" i="24"/>
  <c r="Q75" i="24" s="1"/>
  <c r="K75" i="24"/>
  <c r="O75" i="24" s="1"/>
  <c r="N75" i="24"/>
  <c r="L75" i="24"/>
  <c r="P75" i="24" s="1"/>
  <c r="N106" i="12"/>
  <c r="C204" i="12" s="1"/>
  <c r="O52" i="24"/>
  <c r="N52" i="24"/>
  <c r="D67" i="14" s="1"/>
  <c r="P52" i="24"/>
  <c r="G6" i="50"/>
  <c r="G6" i="32"/>
  <c r="C17" i="32"/>
  <c r="AG17" i="23"/>
  <c r="C17" i="50"/>
  <c r="AJ17" i="23"/>
  <c r="B40" i="16"/>
  <c r="K15" i="30"/>
  <c r="K15" i="31"/>
  <c r="K15" i="32"/>
  <c r="S15" i="50"/>
  <c r="J26" i="30"/>
  <c r="B54" i="29"/>
  <c r="J26" i="31"/>
  <c r="J26" i="32"/>
  <c r="Z38" i="29" s="1"/>
  <c r="R26" i="50"/>
  <c r="B46" i="15"/>
  <c r="L27" i="31"/>
  <c r="S27" i="23"/>
  <c r="L27" i="30"/>
  <c r="L27" i="32"/>
  <c r="P27" i="50"/>
  <c r="O28" i="60"/>
  <c r="Z122" i="30"/>
  <c r="AF29" i="10"/>
  <c r="AA29" i="10"/>
  <c r="F25" i="51"/>
  <c r="W159" i="12"/>
  <c r="I8" i="31"/>
  <c r="I8" i="30"/>
  <c r="B35" i="43"/>
  <c r="R8" i="23"/>
  <c r="O8" i="32" s="1"/>
  <c r="I8" i="32"/>
  <c r="T8" i="50"/>
  <c r="Q8" i="50"/>
  <c r="B60" i="25"/>
  <c r="H28" i="30"/>
  <c r="H28" i="31"/>
  <c r="Q28" i="23"/>
  <c r="D61" i="24"/>
  <c r="N37" i="24"/>
  <c r="O37" i="24"/>
  <c r="K61" i="24"/>
  <c r="L105" i="24"/>
  <c r="M105" i="24"/>
  <c r="K105" i="24"/>
  <c r="J105" i="24"/>
  <c r="AF32" i="10"/>
  <c r="AA32" i="10"/>
  <c r="P91" i="12"/>
  <c r="C191" i="12"/>
  <c r="N114" i="12"/>
  <c r="C212" i="12" s="1"/>
  <c r="P59" i="24"/>
  <c r="B25" i="15"/>
  <c r="L6" i="31"/>
  <c r="L6" i="30"/>
  <c r="S6" i="23"/>
  <c r="L6" i="32"/>
  <c r="P6" i="50"/>
  <c r="Q155" i="24"/>
  <c r="Z34" i="9"/>
  <c r="G48" i="32"/>
  <c r="B26" i="15"/>
  <c r="L7" i="31"/>
  <c r="S7" i="23"/>
  <c r="L7" i="30"/>
  <c r="L7" i="32"/>
  <c r="P7" i="50"/>
  <c r="D180" i="12"/>
  <c r="AA29" i="23"/>
  <c r="D173" i="12"/>
  <c r="Z37" i="3"/>
  <c r="E40" i="20"/>
  <c r="L40" i="20" s="1"/>
  <c r="C54" i="32"/>
  <c r="C179" i="12"/>
  <c r="N51" i="24"/>
  <c r="D66" i="14" s="1"/>
  <c r="O51" i="24"/>
  <c r="P72" i="12"/>
  <c r="R72" i="12" s="1"/>
  <c r="B203" i="12" s="1"/>
  <c r="C172" i="12"/>
  <c r="P82" i="12"/>
  <c r="C182" i="12"/>
  <c r="Q53" i="24"/>
  <c r="J12" i="30"/>
  <c r="J12" i="31"/>
  <c r="B40" i="29"/>
  <c r="J12" i="32"/>
  <c r="R12" i="50"/>
  <c r="B50" i="43"/>
  <c r="I23" i="31"/>
  <c r="I23" i="30"/>
  <c r="R23" i="23"/>
  <c r="O23" i="32" s="1"/>
  <c r="I23" i="32"/>
  <c r="T23" i="50"/>
  <c r="Q23" i="50"/>
  <c r="B36" i="15"/>
  <c r="S17" i="23"/>
  <c r="L17" i="31"/>
  <c r="L17" i="30"/>
  <c r="L17" i="32"/>
  <c r="P17" i="50"/>
  <c r="B57" i="25"/>
  <c r="H25" i="30"/>
  <c r="H25" i="31"/>
  <c r="Q25" i="23"/>
  <c r="B58" i="25"/>
  <c r="H26" i="31"/>
  <c r="H26" i="30"/>
  <c r="Q26" i="23"/>
  <c r="P54" i="24"/>
  <c r="AF35" i="10"/>
  <c r="AA35" i="10"/>
  <c r="B38" i="43"/>
  <c r="I11" i="31"/>
  <c r="I11" i="30"/>
  <c r="R11" i="23"/>
  <c r="O11" i="32" s="1"/>
  <c r="I11" i="32"/>
  <c r="T11" i="50"/>
  <c r="Q11" i="50"/>
  <c r="O60" i="24"/>
  <c r="N60" i="24"/>
  <c r="D75" i="14" s="1"/>
  <c r="O46" i="24"/>
  <c r="N46" i="24"/>
  <c r="D61" i="14" s="1"/>
  <c r="O55" i="24"/>
  <c r="N55" i="24"/>
  <c r="D70" i="14" s="1"/>
  <c r="AK100" i="30"/>
  <c r="R156" i="12"/>
  <c r="S156" i="12" s="1"/>
  <c r="X156" i="12" s="1"/>
  <c r="I47" i="47"/>
  <c r="J47" i="47" s="1"/>
  <c r="F22" i="53" s="1"/>
  <c r="K70" i="24"/>
  <c r="O70" i="24" s="1"/>
  <c r="M70" i="24"/>
  <c r="Q70" i="24" s="1"/>
  <c r="L70" i="24"/>
  <c r="P70" i="24" s="1"/>
  <c r="N70" i="24"/>
  <c r="R160" i="12"/>
  <c r="S160" i="12" s="1"/>
  <c r="I51" i="47"/>
  <c r="J51" i="47" s="1"/>
  <c r="F26" i="53" s="1"/>
  <c r="J106" i="24"/>
  <c r="M106" i="24"/>
  <c r="K106" i="24"/>
  <c r="L106" i="24"/>
  <c r="G41" i="32"/>
  <c r="Z27" i="9"/>
  <c r="Z35" i="9"/>
  <c r="G49" i="32"/>
  <c r="Z43" i="9"/>
  <c r="G57" i="32"/>
  <c r="J15" i="30"/>
  <c r="B43" i="29"/>
  <c r="J15" i="31"/>
  <c r="J15" i="32"/>
  <c r="R15" i="50"/>
  <c r="I26" i="30"/>
  <c r="B53" i="43"/>
  <c r="I26" i="31"/>
  <c r="R26" i="23"/>
  <c r="O26" i="32" s="1"/>
  <c r="I26" i="32"/>
  <c r="T26" i="50"/>
  <c r="Q26" i="50"/>
  <c r="B31" i="15"/>
  <c r="L12" i="30"/>
  <c r="S12" i="23"/>
  <c r="L12" i="31"/>
  <c r="L12" i="32"/>
  <c r="P12" i="50"/>
  <c r="N39" i="24"/>
  <c r="D54" i="14" s="1"/>
  <c r="O39" i="24"/>
  <c r="AF24" i="10"/>
  <c r="AA24" i="10"/>
  <c r="O88" i="12"/>
  <c r="B188" i="12"/>
  <c r="B36" i="29"/>
  <c r="J8" i="31"/>
  <c r="J8" i="30"/>
  <c r="J8" i="32"/>
  <c r="R8" i="50"/>
  <c r="H21" i="30"/>
  <c r="B53" i="25"/>
  <c r="H21" i="31"/>
  <c r="Q21" i="23"/>
  <c r="M26" i="50"/>
  <c r="P38" i="24"/>
  <c r="J6" i="30"/>
  <c r="J6" i="31"/>
  <c r="B34" i="29"/>
  <c r="J6" i="32"/>
  <c r="R6" i="50"/>
  <c r="B50" i="29"/>
  <c r="J22" i="31"/>
  <c r="J22" i="30"/>
  <c r="J22" i="32"/>
  <c r="Z34" i="29" s="1"/>
  <c r="R22" i="50"/>
  <c r="F9" i="51"/>
  <c r="W143" i="12"/>
  <c r="E59" i="32"/>
  <c r="K61" i="10" s="1"/>
  <c r="AF19" i="10"/>
  <c r="AA19" i="10"/>
  <c r="C9" i="32"/>
  <c r="C9" i="50"/>
  <c r="AG9" i="23"/>
  <c r="AJ9" i="23"/>
  <c r="H49" i="32"/>
  <c r="Z23" i="25"/>
  <c r="K7" i="30"/>
  <c r="B32" i="16"/>
  <c r="K7" i="31"/>
  <c r="K7" i="32"/>
  <c r="S7" i="50"/>
  <c r="J18" i="31"/>
  <c r="J18" i="30"/>
  <c r="B46" i="29"/>
  <c r="J18" i="32"/>
  <c r="Z30" i="29" s="1"/>
  <c r="R18" i="50"/>
  <c r="K5" i="30"/>
  <c r="N29" i="23"/>
  <c r="AS29" i="23" s="1"/>
  <c r="B30" i="16"/>
  <c r="K5" i="31"/>
  <c r="K5" i="32"/>
  <c r="S5" i="50"/>
  <c r="H11" i="30"/>
  <c r="B43" i="25"/>
  <c r="H11" i="31"/>
  <c r="Q11" i="23"/>
  <c r="AK115" i="30"/>
  <c r="G47" i="32"/>
  <c r="Z33" i="9"/>
  <c r="K18" i="31"/>
  <c r="K18" i="30"/>
  <c r="B43" i="16"/>
  <c r="K18" i="32"/>
  <c r="S18" i="50"/>
  <c r="W154" i="12"/>
  <c r="F20" i="51"/>
  <c r="V154" i="12"/>
  <c r="Z154" i="12" s="1"/>
  <c r="AC154" i="12" s="1"/>
  <c r="D217" i="12" s="1"/>
  <c r="M61" i="24"/>
  <c r="Q37" i="24"/>
  <c r="N159" i="24"/>
  <c r="Q135" i="24"/>
  <c r="AF32" i="24"/>
  <c r="AA32" i="24"/>
  <c r="AF26" i="24"/>
  <c r="AA26" i="24"/>
  <c r="L122" i="24"/>
  <c r="M122" i="24"/>
  <c r="K122" i="24"/>
  <c r="J122" i="24"/>
  <c r="B38" i="25"/>
  <c r="H6" i="30"/>
  <c r="H6" i="31"/>
  <c r="Q6" i="23"/>
  <c r="C170" i="12"/>
  <c r="L94" i="12"/>
  <c r="P70" i="12"/>
  <c r="M87" i="24"/>
  <c r="N87" i="24"/>
  <c r="L87" i="24"/>
  <c r="P87" i="24" s="1"/>
  <c r="K87" i="24"/>
  <c r="O87" i="24" s="1"/>
  <c r="Z42" i="9"/>
  <c r="G56" i="32"/>
  <c r="H7" i="30"/>
  <c r="H7" i="31"/>
  <c r="B39" i="25"/>
  <c r="Q7" i="23"/>
  <c r="O64" i="12"/>
  <c r="Z29" i="3"/>
  <c r="E32" i="20"/>
  <c r="L32" i="20" s="1"/>
  <c r="C46" i="32"/>
  <c r="L81" i="24"/>
  <c r="P81" i="24" s="1"/>
  <c r="M81" i="24"/>
  <c r="Q81" i="24" s="1"/>
  <c r="K81" i="24"/>
  <c r="O81" i="24" s="1"/>
  <c r="N81" i="24"/>
  <c r="M71" i="24"/>
  <c r="Q71" i="24" s="1"/>
  <c r="K71" i="24"/>
  <c r="O71" i="24" s="1"/>
  <c r="L71" i="24"/>
  <c r="P71" i="24" s="1"/>
  <c r="N71" i="24"/>
  <c r="D182" i="12"/>
  <c r="Q82" i="12"/>
  <c r="N104" i="12"/>
  <c r="C202" i="12" s="1"/>
  <c r="P56" i="24"/>
  <c r="K83" i="24"/>
  <c r="O83" i="24" s="1"/>
  <c r="M83" i="24"/>
  <c r="Q83" i="24" s="1"/>
  <c r="L83" i="24"/>
  <c r="P83" i="24" s="1"/>
  <c r="N83" i="24"/>
  <c r="M19" i="50"/>
  <c r="M27" i="50"/>
  <c r="O74" i="12"/>
  <c r="R74" i="12" s="1"/>
  <c r="B205" i="12" s="1"/>
  <c r="B174" i="12"/>
  <c r="H52" i="32"/>
  <c r="J13" i="30"/>
  <c r="J13" i="31"/>
  <c r="B41" i="29"/>
  <c r="J13" i="32"/>
  <c r="R13" i="50"/>
  <c r="B52" i="25"/>
  <c r="H20" i="31"/>
  <c r="H20" i="30"/>
  <c r="Q20" i="23"/>
  <c r="P46" i="24"/>
  <c r="Z31" i="9"/>
  <c r="G45" i="32"/>
  <c r="K24" i="30"/>
  <c r="B49" i="16"/>
  <c r="K24" i="31"/>
  <c r="K24" i="32"/>
  <c r="S24" i="50"/>
  <c r="Z34" i="3"/>
  <c r="E37" i="20"/>
  <c r="L37" i="20" s="1"/>
  <c r="C51" i="32"/>
  <c r="AK63" i="30"/>
  <c r="L79" i="24"/>
  <c r="P79" i="24" s="1"/>
  <c r="N79" i="24"/>
  <c r="M79" i="24"/>
  <c r="K79" i="24"/>
  <c r="O79" i="24" s="1"/>
  <c r="Q141" i="24"/>
  <c r="P58" i="24"/>
  <c r="AK113" i="30"/>
  <c r="Z33" i="3"/>
  <c r="E36" i="20"/>
  <c r="L36" i="20" s="1"/>
  <c r="C50" i="32"/>
  <c r="AK121" i="30"/>
  <c r="P39" i="24"/>
  <c r="N125" i="12"/>
  <c r="C223" i="12" s="1"/>
  <c r="Z20" i="3"/>
  <c r="E23" i="20"/>
  <c r="L23" i="20" s="1"/>
  <c r="C37" i="32"/>
  <c r="Q162" i="12"/>
  <c r="B49" i="43"/>
  <c r="I22" i="30"/>
  <c r="I22" i="31"/>
  <c r="R22" i="23"/>
  <c r="O22" i="32" s="1"/>
  <c r="I22" i="32"/>
  <c r="Q22" i="50"/>
  <c r="T22" i="50"/>
  <c r="Q146" i="24"/>
  <c r="P48" i="24"/>
  <c r="J101" i="24"/>
  <c r="K101" i="24"/>
  <c r="M101" i="24"/>
  <c r="L101" i="24"/>
  <c r="W146" i="12"/>
  <c r="F12" i="51"/>
  <c r="V146" i="12"/>
  <c r="Z146" i="12" s="1"/>
  <c r="AC146" i="12" s="1"/>
  <c r="D209" i="12" s="1"/>
  <c r="Q45" i="24"/>
  <c r="K127" i="12"/>
  <c r="N103" i="12"/>
  <c r="AK104" i="30"/>
  <c r="AK109" i="30"/>
  <c r="J24" i="30"/>
  <c r="B52" i="29"/>
  <c r="J24" i="31"/>
  <c r="J24" i="32"/>
  <c r="Z36" i="29" s="1"/>
  <c r="R24" i="50"/>
  <c r="Q91" i="12"/>
  <c r="D191" i="12"/>
  <c r="Z31" i="3"/>
  <c r="E34" i="20"/>
  <c r="L34" i="20" s="1"/>
  <c r="C48" i="32"/>
  <c r="I12" i="30"/>
  <c r="B39" i="43"/>
  <c r="I12" i="31"/>
  <c r="R12" i="23"/>
  <c r="O12" i="32" s="1"/>
  <c r="I12" i="32"/>
  <c r="T12" i="50"/>
  <c r="Q12" i="50"/>
  <c r="Z22" i="25"/>
  <c r="J17" i="30"/>
  <c r="B45" i="29"/>
  <c r="J17" i="31"/>
  <c r="J17" i="32"/>
  <c r="Z29" i="29" s="1"/>
  <c r="R17" i="50"/>
  <c r="H8" i="30"/>
  <c r="H8" i="31"/>
  <c r="B40" i="25"/>
  <c r="Q8" i="23"/>
  <c r="M114" i="24"/>
  <c r="K114" i="24"/>
  <c r="L114" i="24"/>
  <c r="J114" i="24"/>
  <c r="R145" i="12"/>
  <c r="S145" i="12" s="1"/>
  <c r="I36" i="47"/>
  <c r="J36" i="47" s="1"/>
  <c r="F11" i="53" s="1"/>
  <c r="G44" i="14"/>
  <c r="N56" i="24"/>
  <c r="D71" i="14" s="1"/>
  <c r="O56" i="24"/>
  <c r="F22" i="51"/>
  <c r="W156" i="12"/>
  <c r="P53" i="24"/>
  <c r="K25" i="30"/>
  <c r="B50" i="16"/>
  <c r="K25" i="31"/>
  <c r="K25" i="32"/>
  <c r="S25" i="50"/>
  <c r="F6" i="51"/>
  <c r="W140" i="12"/>
  <c r="V140" i="12"/>
  <c r="Z140" i="12" s="1"/>
  <c r="AC140" i="12" s="1"/>
  <c r="D203" i="12" s="1"/>
  <c r="Z28" i="9"/>
  <c r="G42" i="32"/>
  <c r="K21" i="30"/>
  <c r="K21" i="31"/>
  <c r="B46" i="16"/>
  <c r="K21" i="32"/>
  <c r="S21" i="50"/>
  <c r="K76" i="24"/>
  <c r="M76" i="24"/>
  <c r="Q76" i="24" s="1"/>
  <c r="L76" i="24"/>
  <c r="P76" i="24" s="1"/>
  <c r="N76" i="24"/>
  <c r="R84" i="12"/>
  <c r="B215" i="12" s="1"/>
  <c r="F8" i="51"/>
  <c r="W142" i="12"/>
  <c r="Q49" i="24"/>
  <c r="J121" i="24"/>
  <c r="K121" i="24"/>
  <c r="M121" i="24"/>
  <c r="L121" i="24"/>
  <c r="I18" i="30"/>
  <c r="B45" i="43"/>
  <c r="I18" i="31"/>
  <c r="R18" i="23"/>
  <c r="O18" i="32" s="1"/>
  <c r="I18" i="32"/>
  <c r="Q18" i="50"/>
  <c r="T18" i="50"/>
  <c r="Z41" i="9"/>
  <c r="G55" i="32"/>
  <c r="M102" i="24"/>
  <c r="L102" i="24"/>
  <c r="K102" i="24"/>
  <c r="J102" i="24"/>
  <c r="O50" i="24"/>
  <c r="N50" i="24"/>
  <c r="D65" i="14" s="1"/>
  <c r="L78" i="24"/>
  <c r="N78" i="24"/>
  <c r="M78" i="24"/>
  <c r="Q78" i="24" s="1"/>
  <c r="K78" i="24"/>
  <c r="O78" i="24" s="1"/>
  <c r="M13" i="50"/>
  <c r="I9" i="30"/>
  <c r="B36" i="43"/>
  <c r="I9" i="31"/>
  <c r="R9" i="23"/>
  <c r="O9" i="32" s="1"/>
  <c r="I9" i="32"/>
  <c r="Q9" i="50"/>
  <c r="T9" i="50"/>
  <c r="AF27" i="10"/>
  <c r="AA27" i="10"/>
  <c r="Q47" i="24"/>
  <c r="K110" i="24"/>
  <c r="M110" i="24"/>
  <c r="L110" i="24"/>
  <c r="J110" i="24"/>
  <c r="F19" i="51"/>
  <c r="W153" i="12"/>
  <c r="V153" i="12"/>
  <c r="Z153" i="12" s="1"/>
  <c r="AC153" i="12" s="1"/>
  <c r="D216" i="12" s="1"/>
  <c r="H11" i="32"/>
  <c r="B30" i="15"/>
  <c r="L11" i="30"/>
  <c r="S11" i="23"/>
  <c r="L11" i="31"/>
  <c r="L11" i="32"/>
  <c r="P11" i="50"/>
  <c r="G61" i="24"/>
  <c r="O44" i="24"/>
  <c r="N44" i="24"/>
  <c r="D59" i="14" s="1"/>
  <c r="C192" i="12"/>
  <c r="AF26" i="10"/>
  <c r="AA26" i="10"/>
  <c r="B33" i="43"/>
  <c r="I6" i="30"/>
  <c r="I6" i="31"/>
  <c r="R6" i="23"/>
  <c r="O6" i="32" s="1"/>
  <c r="I6" i="32"/>
  <c r="Q6" i="50"/>
  <c r="T6" i="50"/>
  <c r="D170" i="12"/>
  <c r="M94" i="12"/>
  <c r="Q70" i="12"/>
  <c r="J14" i="30"/>
  <c r="B42" i="29"/>
  <c r="J14" i="31"/>
  <c r="J14" i="32"/>
  <c r="R14" i="50"/>
  <c r="D190" i="12"/>
  <c r="D171" i="12"/>
  <c r="V152" i="12"/>
  <c r="Z152" i="12" s="1"/>
  <c r="AC152" i="12" s="1"/>
  <c r="D215" i="12" s="1"/>
  <c r="Q149" i="24"/>
  <c r="F10" i="51"/>
  <c r="W144" i="12"/>
  <c r="P75" i="12"/>
  <c r="C175" i="12"/>
  <c r="F15" i="51"/>
  <c r="W149" i="12"/>
  <c r="V149" i="12"/>
  <c r="Z149" i="12" s="1"/>
  <c r="AC149" i="12" s="1"/>
  <c r="D212" i="12" s="1"/>
  <c r="Q154" i="24"/>
  <c r="Z32" i="3"/>
  <c r="E35" i="20"/>
  <c r="L35" i="20" s="1"/>
  <c r="C49" i="32"/>
  <c r="F23" i="51"/>
  <c r="W157" i="12"/>
  <c r="V157" i="12"/>
  <c r="Z157" i="12" s="1"/>
  <c r="AC157" i="12" s="1"/>
  <c r="D220" i="12" s="1"/>
  <c r="H53" i="47"/>
  <c r="J109" i="24"/>
  <c r="L109" i="24"/>
  <c r="M109" i="24"/>
  <c r="K109" i="24"/>
  <c r="Z39" i="9"/>
  <c r="G53" i="32"/>
  <c r="B41" i="15"/>
  <c r="L22" i="30"/>
  <c r="S22" i="23"/>
  <c r="L22" i="31"/>
  <c r="L22" i="32"/>
  <c r="P22" i="50"/>
  <c r="N121" i="12"/>
  <c r="C219" i="12" s="1"/>
  <c r="AK116" i="30"/>
  <c r="N40" i="24"/>
  <c r="D55" i="14" s="1"/>
  <c r="O40" i="24"/>
  <c r="Q138" i="24"/>
  <c r="O49" i="24"/>
  <c r="N49" i="24"/>
  <c r="D64" i="14" s="1"/>
  <c r="P43" i="24"/>
  <c r="M88" i="24"/>
  <c r="K88" i="24"/>
  <c r="L88" i="24"/>
  <c r="P88" i="24" s="1"/>
  <c r="N88" i="24"/>
  <c r="D193" i="12"/>
  <c r="AG22" i="23"/>
  <c r="M12" i="50"/>
  <c r="T137" i="24"/>
  <c r="W137" i="24" s="1"/>
  <c r="Z137" i="24" s="1"/>
  <c r="D200" i="24" s="1"/>
  <c r="J113" i="24"/>
  <c r="L113" i="24"/>
  <c r="K113" i="24"/>
  <c r="M113" i="24"/>
  <c r="M10" i="50"/>
  <c r="B33" i="16"/>
  <c r="K8" i="30"/>
  <c r="K8" i="31"/>
  <c r="K8" i="32"/>
  <c r="S8" i="50"/>
  <c r="N108" i="12"/>
  <c r="C206" i="12" s="1"/>
  <c r="N47" i="24"/>
  <c r="D62" i="14" s="1"/>
  <c r="O47" i="24"/>
  <c r="P47" i="24"/>
  <c r="P45" i="24"/>
  <c r="F5" i="51"/>
  <c r="W139" i="12"/>
  <c r="V139" i="12"/>
  <c r="Z139" i="12" s="1"/>
  <c r="AC139" i="12" s="1"/>
  <c r="D202" i="12" s="1"/>
  <c r="J127" i="12"/>
  <c r="AK110" i="30"/>
  <c r="N112" i="12"/>
  <c r="C210" i="12" s="1"/>
  <c r="M107" i="24"/>
  <c r="L107" i="24"/>
  <c r="K107" i="24"/>
  <c r="J107" i="24"/>
  <c r="M89" i="24"/>
  <c r="L89" i="24"/>
  <c r="P89" i="24" s="1"/>
  <c r="K89" i="24"/>
  <c r="O89" i="24" s="1"/>
  <c r="N89" i="24"/>
  <c r="AF23" i="10"/>
  <c r="AA23" i="10"/>
  <c r="B43" i="15"/>
  <c r="S24" i="23"/>
  <c r="L24" i="31"/>
  <c r="L24" i="30"/>
  <c r="L24" i="32"/>
  <c r="P24" i="50"/>
  <c r="K22" i="30"/>
  <c r="K22" i="31"/>
  <c r="B47" i="16"/>
  <c r="K22" i="32"/>
  <c r="S22" i="50"/>
  <c r="H24" i="30"/>
  <c r="B56" i="25"/>
  <c r="H24" i="31"/>
  <c r="Q24" i="23"/>
  <c r="N126" i="12"/>
  <c r="C224" i="12" s="1"/>
  <c r="AA30" i="10"/>
  <c r="AF30" i="10"/>
  <c r="Q41" i="24"/>
  <c r="J119" i="24"/>
  <c r="M119" i="24"/>
  <c r="K119" i="24"/>
  <c r="L119" i="24"/>
  <c r="Q151" i="24"/>
  <c r="N53" i="24"/>
  <c r="D68" i="14" s="1"/>
  <c r="O53" i="24"/>
  <c r="H21" i="32"/>
  <c r="B42" i="16"/>
  <c r="K17" i="31"/>
  <c r="K17" i="30"/>
  <c r="K17" i="32"/>
  <c r="S17" i="50"/>
  <c r="J28" i="30"/>
  <c r="B56" i="29"/>
  <c r="J28" i="31"/>
  <c r="J28" i="32"/>
  <c r="Z40" i="29" s="1"/>
  <c r="R28" i="50"/>
  <c r="B41" i="25"/>
  <c r="H9" i="31"/>
  <c r="H9" i="30"/>
  <c r="Q9" i="23"/>
  <c r="L29" i="23"/>
  <c r="BY29" i="23" s="1"/>
  <c r="AQ29" i="31" s="1"/>
  <c r="J63" i="30" s="1"/>
  <c r="I5" i="30"/>
  <c r="I5" i="31"/>
  <c r="B32" i="43"/>
  <c r="R5" i="23"/>
  <c r="O5" i="32" s="1"/>
  <c r="I5" i="32"/>
  <c r="T5" i="50"/>
  <c r="Q5" i="50"/>
  <c r="L90" i="24"/>
  <c r="P90" i="24" s="1"/>
  <c r="M90" i="24"/>
  <c r="Q90" i="24" s="1"/>
  <c r="N90" i="24"/>
  <c r="K90" i="24"/>
  <c r="O90" i="24" s="1"/>
  <c r="Q144" i="24"/>
  <c r="H7" i="32"/>
  <c r="P77" i="12"/>
  <c r="R77" i="12" s="1"/>
  <c r="B208" i="12" s="1"/>
  <c r="C177" i="12"/>
  <c r="AK108" i="30"/>
  <c r="AM122" i="30"/>
  <c r="J103" i="24"/>
  <c r="K103" i="24"/>
  <c r="M103" i="24"/>
  <c r="L103" i="24"/>
  <c r="P40" i="24"/>
  <c r="B183" i="12"/>
  <c r="K20" i="30"/>
  <c r="B45" i="16"/>
  <c r="K20" i="31"/>
  <c r="K20" i="32"/>
  <c r="S20" i="50"/>
  <c r="R141" i="12"/>
  <c r="I32" i="47"/>
  <c r="B54" i="43"/>
  <c r="I27" i="31"/>
  <c r="I27" i="30"/>
  <c r="R27" i="23"/>
  <c r="O27" i="32" s="1"/>
  <c r="I27" i="32"/>
  <c r="Q27" i="50"/>
  <c r="T27" i="50"/>
  <c r="Q50" i="24"/>
  <c r="N80" i="24"/>
  <c r="L80" i="24"/>
  <c r="P80" i="24" s="1"/>
  <c r="M80" i="24"/>
  <c r="Q80" i="24" s="1"/>
  <c r="K80" i="24"/>
  <c r="O80" i="24" s="1"/>
  <c r="AF33" i="10"/>
  <c r="AA33" i="10"/>
  <c r="R80" i="12"/>
  <c r="B211" i="12" s="1"/>
  <c r="AF31" i="10"/>
  <c r="AA31" i="10"/>
  <c r="AK120" i="30"/>
  <c r="K11" i="30"/>
  <c r="B36" i="16"/>
  <c r="K11" i="31"/>
  <c r="K11" i="32"/>
  <c r="S11" i="50"/>
  <c r="L77" i="24"/>
  <c r="N77" i="24"/>
  <c r="M77" i="24"/>
  <c r="Q77" i="24" s="1"/>
  <c r="K77" i="24"/>
  <c r="O77" i="24" s="1"/>
  <c r="AF22" i="10"/>
  <c r="AA22" i="10"/>
  <c r="O45" i="24"/>
  <c r="N45" i="24"/>
  <c r="D60" i="14" s="1"/>
  <c r="J115" i="24"/>
  <c r="L115" i="24"/>
  <c r="M115" i="24"/>
  <c r="K115" i="24"/>
  <c r="D183" i="12"/>
  <c r="G14" i="50"/>
  <c r="G14" i="32"/>
  <c r="I13" i="30"/>
  <c r="I13" i="31"/>
  <c r="B40" i="43"/>
  <c r="R13" i="23"/>
  <c r="O13" i="32" s="1"/>
  <c r="I13" i="32"/>
  <c r="T13" i="50"/>
  <c r="Q13" i="50"/>
  <c r="K23" i="30"/>
  <c r="B48" i="16"/>
  <c r="K23" i="31"/>
  <c r="K23" i="32"/>
  <c r="S23" i="50"/>
  <c r="B59" i="25"/>
  <c r="H27" i="30"/>
  <c r="H27" i="31"/>
  <c r="Q27" i="23"/>
  <c r="AF38" i="10"/>
  <c r="AA38" i="10"/>
  <c r="L127" i="12"/>
  <c r="R90" i="12"/>
  <c r="B221" i="12" s="1"/>
  <c r="C185" i="12"/>
  <c r="B47" i="15"/>
  <c r="L28" i="30"/>
  <c r="S28" i="23"/>
  <c r="L28" i="31"/>
  <c r="L28" i="32"/>
  <c r="P28" i="50"/>
  <c r="K72" i="24"/>
  <c r="O72" i="24" s="1"/>
  <c r="L72" i="24"/>
  <c r="P72" i="24" s="1"/>
  <c r="M72" i="24"/>
  <c r="Q72" i="24" s="1"/>
  <c r="N72" i="24"/>
  <c r="F17" i="51"/>
  <c r="W151" i="12"/>
  <c r="C178" i="12"/>
  <c r="Z36" i="3"/>
  <c r="E39" i="20"/>
  <c r="L39" i="20" s="1"/>
  <c r="C53" i="32"/>
  <c r="G134" i="12"/>
  <c r="D133" i="12"/>
  <c r="P57" i="24"/>
  <c r="Z26" i="9"/>
  <c r="G40" i="32"/>
  <c r="B52" i="43"/>
  <c r="I25" i="30"/>
  <c r="I25" i="31"/>
  <c r="R25" i="23"/>
  <c r="O25" i="32" s="1"/>
  <c r="I25" i="32"/>
  <c r="Q25" i="50"/>
  <c r="T25" i="50"/>
  <c r="Z21" i="3"/>
  <c r="E24" i="20"/>
  <c r="L24" i="20" s="1"/>
  <c r="C38" i="32"/>
  <c r="M24" i="50"/>
  <c r="AK118" i="30"/>
  <c r="Q56" i="24"/>
  <c r="B187" i="12"/>
  <c r="K26" i="30"/>
  <c r="B51" i="16"/>
  <c r="K26" i="31"/>
  <c r="K26" i="32"/>
  <c r="S26" i="50"/>
  <c r="N84" i="24"/>
  <c r="K84" i="24"/>
  <c r="M84" i="24"/>
  <c r="Q84" i="24" s="1"/>
  <c r="L84" i="24"/>
  <c r="P84" i="24" s="1"/>
  <c r="Q158" i="24"/>
  <c r="B54" i="25"/>
  <c r="H22" i="31"/>
  <c r="H22" i="30"/>
  <c r="Q22" i="23"/>
  <c r="K19" i="30"/>
  <c r="B44" i="16"/>
  <c r="K19" i="31"/>
  <c r="K19" i="32"/>
  <c r="S19" i="50"/>
  <c r="B191" i="12"/>
  <c r="Z27" i="3"/>
  <c r="E30" i="20"/>
  <c r="L30" i="20" s="1"/>
  <c r="C44" i="32"/>
  <c r="Z25" i="3"/>
  <c r="E28" i="20"/>
  <c r="L28" i="20" s="1"/>
  <c r="C42" i="32"/>
  <c r="K69" i="24"/>
  <c r="O69" i="24" s="1"/>
  <c r="M69" i="24"/>
  <c r="Q69" i="24" s="1"/>
  <c r="L69" i="24"/>
  <c r="P69" i="24" s="1"/>
  <c r="N69" i="24"/>
  <c r="R85" i="12"/>
  <c r="B216" i="12" s="1"/>
  <c r="H20" i="32"/>
  <c r="B33" i="15"/>
  <c r="L14" i="31"/>
  <c r="L14" i="30"/>
  <c r="S14" i="23"/>
  <c r="L14" i="32"/>
  <c r="P14" i="50"/>
  <c r="O38" i="24"/>
  <c r="N38" i="24"/>
  <c r="D53" i="14" s="1"/>
  <c r="R78" i="12"/>
  <c r="B209" i="12" s="1"/>
  <c r="R155" i="12"/>
  <c r="S155" i="12" s="1"/>
  <c r="I46" i="47"/>
  <c r="J46" i="47" s="1"/>
  <c r="F21" i="53" s="1"/>
  <c r="B186" i="12"/>
  <c r="Z28" i="60"/>
  <c r="O122" i="30"/>
  <c r="Z18" i="3"/>
  <c r="AF18" i="3" s="1"/>
  <c r="E21" i="20"/>
  <c r="C35" i="32"/>
  <c r="C61" i="24"/>
  <c r="K67" i="24"/>
  <c r="B91" i="24"/>
  <c r="I159" i="24" s="1"/>
  <c r="N67" i="24"/>
  <c r="L67" i="24"/>
  <c r="M67" i="24"/>
  <c r="P42" i="24"/>
  <c r="H9" i="32"/>
  <c r="B38" i="16"/>
  <c r="K13" i="31"/>
  <c r="K13" i="30"/>
  <c r="K13" i="32"/>
  <c r="S13" i="50"/>
  <c r="B24" i="15"/>
  <c r="S5" i="23"/>
  <c r="O29" i="23"/>
  <c r="L28" i="34" s="1"/>
  <c r="L61" i="34" s="1"/>
  <c r="L5" i="31"/>
  <c r="L5" i="30"/>
  <c r="L5" i="32"/>
  <c r="Q157" i="24"/>
  <c r="F224" i="10"/>
  <c r="G222" i="10"/>
  <c r="F232" i="10" s="1"/>
  <c r="F223" i="10"/>
  <c r="A232" i="10"/>
  <c r="C232" i="10" s="1"/>
  <c r="R144" i="12"/>
  <c r="S144" i="12" s="1"/>
  <c r="X144" i="12" s="1"/>
  <c r="I35" i="47"/>
  <c r="J35" i="47" s="1"/>
  <c r="F10" i="53" s="1"/>
  <c r="AK101" i="30"/>
  <c r="P41" i="24"/>
  <c r="B193" i="12"/>
  <c r="R142" i="12"/>
  <c r="S142" i="12" s="1"/>
  <c r="X142" i="12" s="1"/>
  <c r="I33" i="47"/>
  <c r="J33" i="47" s="1"/>
  <c r="F8" i="53" s="1"/>
  <c r="H44" i="32"/>
  <c r="Z18" i="25"/>
  <c r="K10" i="31"/>
  <c r="K10" i="30"/>
  <c r="B35" i="16"/>
  <c r="K10" i="32"/>
  <c r="S10" i="50"/>
  <c r="B39" i="15"/>
  <c r="L20" i="30"/>
  <c r="S20" i="23"/>
  <c r="L20" i="31"/>
  <c r="L20" i="32"/>
  <c r="P20" i="50"/>
  <c r="Q152" i="24"/>
  <c r="F13" i="51"/>
  <c r="W147" i="12"/>
  <c r="Z23" i="9"/>
  <c r="G37" i="32"/>
  <c r="B41" i="43"/>
  <c r="I14" i="31"/>
  <c r="I14" i="30"/>
  <c r="R14" i="23"/>
  <c r="O14" i="32" s="1"/>
  <c r="I14" i="32"/>
  <c r="Q14" i="50"/>
  <c r="T14" i="50"/>
  <c r="L118" i="24"/>
  <c r="M118" i="24"/>
  <c r="J118" i="24"/>
  <c r="K118" i="24"/>
  <c r="N113" i="12"/>
  <c r="C211" i="12" s="1"/>
  <c r="M21" i="50"/>
  <c r="B42" i="15"/>
  <c r="S23" i="23"/>
  <c r="L23" i="31"/>
  <c r="L23" i="30"/>
  <c r="L23" i="32"/>
  <c r="P23" i="50"/>
  <c r="AF28" i="10"/>
  <c r="AA28" i="10"/>
  <c r="E44" i="14"/>
  <c r="AF39" i="10"/>
  <c r="AA39" i="10"/>
  <c r="P83" i="12"/>
  <c r="R83" i="12" s="1"/>
  <c r="B214" i="12" s="1"/>
  <c r="C183" i="12"/>
  <c r="K73" i="24"/>
  <c r="O73" i="24" s="1"/>
  <c r="M73" i="24"/>
  <c r="Q73" i="24" s="1"/>
  <c r="L73" i="24"/>
  <c r="P73" i="24" s="1"/>
  <c r="N73" i="24"/>
  <c r="Q156" i="24"/>
  <c r="D177" i="12"/>
  <c r="M20" i="50"/>
  <c r="M7" i="50"/>
  <c r="N110" i="12"/>
  <c r="C208" i="12" s="1"/>
  <c r="N64" i="12"/>
  <c r="F52" i="14"/>
  <c r="B41" i="16"/>
  <c r="K16" i="30"/>
  <c r="K16" i="31"/>
  <c r="K16" i="32"/>
  <c r="S16" i="50"/>
  <c r="B46" i="25"/>
  <c r="H14" i="31"/>
  <c r="H14" i="30"/>
  <c r="Q14" i="23"/>
  <c r="O48" i="24"/>
  <c r="N48" i="24"/>
  <c r="D63" i="14" s="1"/>
  <c r="K68" i="24"/>
  <c r="O68" i="24" s="1"/>
  <c r="M68" i="24"/>
  <c r="L68" i="24"/>
  <c r="N68" i="24"/>
  <c r="O81" i="12"/>
  <c r="B181" i="12"/>
  <c r="O76" i="12"/>
  <c r="R76" i="12" s="1"/>
  <c r="B207" i="12" s="1"/>
  <c r="B176" i="12"/>
  <c r="K108" i="24"/>
  <c r="M108" i="24"/>
  <c r="L108" i="24"/>
  <c r="J108" i="24"/>
  <c r="Q52" i="24"/>
  <c r="AF17" i="10"/>
  <c r="AA17" i="10"/>
  <c r="Z41" i="10"/>
  <c r="AK117" i="30"/>
  <c r="AK119" i="30"/>
  <c r="AN28" i="34"/>
  <c r="N123" i="12"/>
  <c r="C221" i="12" s="1"/>
  <c r="P159" i="24"/>
  <c r="O42" i="24"/>
  <c r="N42" i="24"/>
  <c r="D57" i="14" s="1"/>
  <c r="AF40" i="10"/>
  <c r="AA40" i="10"/>
  <c r="H17" i="32"/>
  <c r="B46" i="43"/>
  <c r="I19" i="30"/>
  <c r="I19" i="31"/>
  <c r="R19" i="23"/>
  <c r="O19" i="32" s="1"/>
  <c r="I19" i="32"/>
  <c r="T19" i="50"/>
  <c r="Q19" i="50"/>
  <c r="H5" i="30"/>
  <c r="K29" i="23"/>
  <c r="AF28" i="34" s="1"/>
  <c r="AF61" i="34" s="1"/>
  <c r="H5" i="31"/>
  <c r="B37" i="25"/>
  <c r="Q5" i="23"/>
  <c r="N59" i="24"/>
  <c r="D74" i="14" s="1"/>
  <c r="O59" i="24"/>
  <c r="M18" i="50"/>
  <c r="AF36" i="10"/>
  <c r="AA36" i="10"/>
  <c r="J120" i="24"/>
  <c r="K120" i="24"/>
  <c r="L120" i="24"/>
  <c r="M120" i="24"/>
  <c r="R40" i="12"/>
  <c r="Z37" i="9"/>
  <c r="G51" i="32"/>
  <c r="K6" i="30"/>
  <c r="B31" i="16"/>
  <c r="K6" i="31"/>
  <c r="K6" i="32"/>
  <c r="S6" i="50"/>
  <c r="J25" i="30"/>
  <c r="B53" i="29"/>
  <c r="J25" i="31"/>
  <c r="J25" i="32"/>
  <c r="Z37" i="29" s="1"/>
  <c r="R25" i="50"/>
  <c r="D187" i="12"/>
  <c r="C173" i="12"/>
  <c r="M16" i="50"/>
  <c r="B37" i="29"/>
  <c r="J9" i="31"/>
  <c r="J9" i="30"/>
  <c r="J9" i="32"/>
  <c r="R9" i="50"/>
  <c r="B35" i="15"/>
  <c r="L16" i="30"/>
  <c r="S16" i="23"/>
  <c r="L16" i="31"/>
  <c r="L16" i="32"/>
  <c r="P16" i="50"/>
  <c r="V150" i="12" l="1"/>
  <c r="Z150" i="12" s="1"/>
  <c r="AC150" i="12" s="1"/>
  <c r="D213" i="12" s="1"/>
  <c r="V136" i="24"/>
  <c r="T142" i="24"/>
  <c r="W142" i="24" s="1"/>
  <c r="Z142" i="24" s="1"/>
  <c r="D205" i="24" s="1"/>
  <c r="D5" i="51"/>
  <c r="H40" i="32"/>
  <c r="Z10" i="25"/>
  <c r="V147" i="12"/>
  <c r="Z147" i="12" s="1"/>
  <c r="AC147" i="12" s="1"/>
  <c r="D210" i="12" s="1"/>
  <c r="V161" i="12"/>
  <c r="Z161" i="12" s="1"/>
  <c r="AC161" i="12" s="1"/>
  <c r="D224" i="12" s="1"/>
  <c r="H35" i="32"/>
  <c r="B175" i="24"/>
  <c r="C187" i="24"/>
  <c r="B182" i="24"/>
  <c r="E182" i="24" s="1"/>
  <c r="E213" i="24" s="1"/>
  <c r="Z30" i="25"/>
  <c r="V159" i="12"/>
  <c r="Z159" i="12" s="1"/>
  <c r="AC159" i="12" s="1"/>
  <c r="D222" i="12" s="1"/>
  <c r="R59" i="24"/>
  <c r="H45" i="32"/>
  <c r="M45" i="32" s="1"/>
  <c r="CL23" i="23"/>
  <c r="BD23" i="31" s="1"/>
  <c r="T23" i="23"/>
  <c r="V23" i="23" s="1"/>
  <c r="AW9" i="34"/>
  <c r="AW42" i="34" s="1"/>
  <c r="T10" i="23"/>
  <c r="V10" i="23" s="1"/>
  <c r="AU22" i="23"/>
  <c r="T22" i="23"/>
  <c r="V22" i="23" s="1"/>
  <c r="CK25" i="23"/>
  <c r="BC25" i="31" s="1"/>
  <c r="T25" i="23"/>
  <c r="V25" i="23" s="1"/>
  <c r="CK9" i="23"/>
  <c r="BC9" i="31" s="1"/>
  <c r="T9" i="23"/>
  <c r="V9" i="23" s="1"/>
  <c r="M17" i="34"/>
  <c r="F33" i="57" s="1"/>
  <c r="T18" i="23"/>
  <c r="V18" i="23" s="1"/>
  <c r="AK26" i="34"/>
  <c r="T27" i="23"/>
  <c r="V27" i="23" s="1"/>
  <c r="AW23" i="34"/>
  <c r="AW56" i="34" s="1"/>
  <c r="T24" i="23"/>
  <c r="V24" i="23" s="1"/>
  <c r="U24" i="50" s="1"/>
  <c r="Y27" i="34"/>
  <c r="Y60" i="34" s="1"/>
  <c r="T28" i="23"/>
  <c r="V28" i="23" s="1"/>
  <c r="M21" i="32"/>
  <c r="T21" i="23"/>
  <c r="V21" i="23" s="1"/>
  <c r="CK20" i="23"/>
  <c r="T20" i="23"/>
  <c r="V20" i="23" s="1"/>
  <c r="Y5" i="34"/>
  <c r="Y38" i="34" s="1"/>
  <c r="T6" i="23"/>
  <c r="V6" i="23" s="1"/>
  <c r="O15" i="50"/>
  <c r="T15" i="23"/>
  <c r="V15" i="23" s="1"/>
  <c r="AU19" i="23"/>
  <c r="T19" i="23"/>
  <c r="V19" i="23" s="1"/>
  <c r="H38" i="32"/>
  <c r="O18" i="50"/>
  <c r="AW7" i="34"/>
  <c r="AW40" i="34" s="1"/>
  <c r="T8" i="23"/>
  <c r="V8" i="23" s="1"/>
  <c r="U8" i="50" s="1"/>
  <c r="H58" i="32"/>
  <c r="CL26" i="23"/>
  <c r="BD26" i="31" s="1"/>
  <c r="T26" i="23"/>
  <c r="V26" i="23" s="1"/>
  <c r="U26" i="50" s="1"/>
  <c r="CM17" i="23"/>
  <c r="BE17" i="31" s="1"/>
  <c r="T17" i="23"/>
  <c r="V17" i="23" s="1"/>
  <c r="H54" i="32"/>
  <c r="CK7" i="23"/>
  <c r="BC7" i="31" s="1"/>
  <c r="T7" i="23"/>
  <c r="V7" i="23" s="1"/>
  <c r="U7" i="50" s="1"/>
  <c r="CK11" i="23"/>
  <c r="BC11" i="31" s="1"/>
  <c r="T11" i="23"/>
  <c r="V11" i="23" s="1"/>
  <c r="U11" i="50" s="1"/>
  <c r="CK16" i="23"/>
  <c r="BC16" i="31" s="1"/>
  <c r="T16" i="23"/>
  <c r="V16" i="23" s="1"/>
  <c r="U16" i="50" s="1"/>
  <c r="M11" i="34"/>
  <c r="M44" i="34" s="1"/>
  <c r="T12" i="23"/>
  <c r="V12" i="23" s="1"/>
  <c r="O5" i="50"/>
  <c r="T5" i="23"/>
  <c r="AW13" i="34"/>
  <c r="AW46" i="34" s="1"/>
  <c r="T14" i="23"/>
  <c r="V14" i="23" s="1"/>
  <c r="O13" i="50"/>
  <c r="T13" i="23"/>
  <c r="V13" i="23" s="1"/>
  <c r="R88" i="12"/>
  <c r="B219" i="12" s="1"/>
  <c r="V148" i="12"/>
  <c r="Z148" i="12" s="1"/>
  <c r="AC148" i="12" s="1"/>
  <c r="D211" i="12" s="1"/>
  <c r="Z29" i="25"/>
  <c r="AA29" i="25" s="1"/>
  <c r="AK92" i="30"/>
  <c r="M25" i="34"/>
  <c r="M58" i="34" s="1"/>
  <c r="CQ17" i="23"/>
  <c r="CO28" i="23"/>
  <c r="CP22" i="23"/>
  <c r="CP5" i="23"/>
  <c r="CP27" i="23"/>
  <c r="CQ18" i="23"/>
  <c r="CQ19" i="23"/>
  <c r="CO21" i="23"/>
  <c r="CQ14" i="23"/>
  <c r="CO6" i="23"/>
  <c r="CQ20" i="23"/>
  <c r="CP28" i="23"/>
  <c r="CQ22" i="23"/>
  <c r="CQ5" i="23"/>
  <c r="CQ8" i="23"/>
  <c r="CQ21" i="23"/>
  <c r="CO16" i="23"/>
  <c r="CP6" i="23"/>
  <c r="CP26" i="23"/>
  <c r="CP25" i="23"/>
  <c r="CO24" i="23"/>
  <c r="CO8" i="23"/>
  <c r="CP21" i="23"/>
  <c r="CP16" i="23"/>
  <c r="CQ26" i="23"/>
  <c r="R75" i="12"/>
  <c r="B206" i="12" s="1"/>
  <c r="E184" i="12"/>
  <c r="E215" i="12" s="1"/>
  <c r="CO15" i="23"/>
  <c r="CQ10" i="23"/>
  <c r="CQ13" i="23"/>
  <c r="CQ25" i="23"/>
  <c r="CP24" i="23"/>
  <c r="CP8" i="23"/>
  <c r="CQ9" i="23"/>
  <c r="CQ16" i="23"/>
  <c r="CQ12" i="23"/>
  <c r="CO26" i="23"/>
  <c r="CO7" i="23"/>
  <c r="CP15" i="23"/>
  <c r="CO10" i="23"/>
  <c r="CO13" i="23"/>
  <c r="CO25" i="23"/>
  <c r="CQ24" i="23"/>
  <c r="CO9" i="23"/>
  <c r="CO23" i="23"/>
  <c r="CO12" i="23"/>
  <c r="CP7" i="23"/>
  <c r="CQ15" i="23"/>
  <c r="CP10" i="23"/>
  <c r="CP13" i="23"/>
  <c r="CP11" i="23"/>
  <c r="CP9" i="23"/>
  <c r="CP23" i="23"/>
  <c r="CP12" i="23"/>
  <c r="CO17" i="23"/>
  <c r="CQ7" i="23"/>
  <c r="CQ27" i="23"/>
  <c r="CO18" i="23"/>
  <c r="CO19" i="23"/>
  <c r="CQ11" i="23"/>
  <c r="CO14" i="23"/>
  <c r="CQ23" i="23"/>
  <c r="CO20" i="23"/>
  <c r="CP17" i="23"/>
  <c r="V156" i="12"/>
  <c r="Z156" i="12" s="1"/>
  <c r="AC156" i="12" s="1"/>
  <c r="D219" i="12" s="1"/>
  <c r="CQ28" i="23"/>
  <c r="CO22" i="23"/>
  <c r="CO5" i="23"/>
  <c r="CO27" i="23"/>
  <c r="CP18" i="23"/>
  <c r="CP19" i="23"/>
  <c r="CO11" i="23"/>
  <c r="CP14" i="23"/>
  <c r="CQ6" i="23"/>
  <c r="CP20" i="23"/>
  <c r="V148" i="24"/>
  <c r="T148" i="24"/>
  <c r="W148" i="24" s="1"/>
  <c r="Z148" i="24" s="1"/>
  <c r="D211" i="24" s="1"/>
  <c r="V140" i="24"/>
  <c r="T140" i="24"/>
  <c r="W140" i="24" s="1"/>
  <c r="Z140" i="24" s="1"/>
  <c r="D203" i="24" s="1"/>
  <c r="AJ29" i="23"/>
  <c r="AJ32" i="23" s="1"/>
  <c r="R48" i="24"/>
  <c r="O20" i="50"/>
  <c r="R38" i="24"/>
  <c r="V153" i="24"/>
  <c r="M10" i="34"/>
  <c r="F26" i="57" s="1"/>
  <c r="E188" i="12"/>
  <c r="E219" i="12" s="1"/>
  <c r="E185" i="12"/>
  <c r="E216" i="12" s="1"/>
  <c r="F216" i="12" s="1"/>
  <c r="O7" i="50"/>
  <c r="E178" i="12"/>
  <c r="E209" i="12" s="1"/>
  <c r="F209" i="12" s="1"/>
  <c r="Y8" i="34"/>
  <c r="G24" i="57" s="1"/>
  <c r="K24" i="57" s="1"/>
  <c r="O24" i="57" s="1"/>
  <c r="CL20" i="23"/>
  <c r="BD20" i="31" s="1"/>
  <c r="E182" i="12"/>
  <c r="E213" i="12" s="1"/>
  <c r="M54" i="32"/>
  <c r="CL25" i="23"/>
  <c r="BD25" i="31" s="1"/>
  <c r="AK17" i="34"/>
  <c r="AK50" i="34" s="1"/>
  <c r="B186" i="24"/>
  <c r="M18" i="32"/>
  <c r="E187" i="12"/>
  <c r="E218" i="12" s="1"/>
  <c r="D22" i="51"/>
  <c r="M12" i="32"/>
  <c r="O12" i="50"/>
  <c r="CM8" i="23"/>
  <c r="BE8" i="31" s="1"/>
  <c r="CM20" i="23"/>
  <c r="BE20" i="31" s="1"/>
  <c r="AU11" i="23"/>
  <c r="CL10" i="23"/>
  <c r="BD10" i="31" s="1"/>
  <c r="M159" i="24"/>
  <c r="B183" i="24"/>
  <c r="D171" i="24"/>
  <c r="B179" i="24"/>
  <c r="C95" i="12"/>
  <c r="E172" i="12"/>
  <c r="E203" i="12" s="1"/>
  <c r="F203" i="12" s="1"/>
  <c r="H159" i="24"/>
  <c r="AU20" i="23"/>
  <c r="D174" i="24"/>
  <c r="CM23" i="23"/>
  <c r="BE23" i="31" s="1"/>
  <c r="J94" i="12"/>
  <c r="C175" i="24"/>
  <c r="M11" i="32"/>
  <c r="AJ28" i="34"/>
  <c r="AJ61" i="34" s="1"/>
  <c r="R90" i="24"/>
  <c r="BZ29" i="23"/>
  <c r="AR29" i="31" s="1"/>
  <c r="U63" i="30" s="1"/>
  <c r="B174" i="24"/>
  <c r="M20" i="32"/>
  <c r="AW24" i="34"/>
  <c r="AW57" i="34" s="1"/>
  <c r="V28" i="34"/>
  <c r="V61" i="34" s="1"/>
  <c r="U28" i="34"/>
  <c r="U61" i="34" s="1"/>
  <c r="T143" i="24"/>
  <c r="W143" i="24" s="1"/>
  <c r="Z143" i="24" s="1"/>
  <c r="D206" i="24" s="1"/>
  <c r="CC29" i="23"/>
  <c r="AU29" i="31" s="1"/>
  <c r="K63" i="30" s="1"/>
  <c r="E181" i="12"/>
  <c r="E212" i="12" s="1"/>
  <c r="BU29" i="23"/>
  <c r="AM29" i="31" s="1"/>
  <c r="I63" i="30" s="1"/>
  <c r="I28" i="34"/>
  <c r="I61" i="34" s="1"/>
  <c r="D6" i="51"/>
  <c r="D12" i="51"/>
  <c r="AG29" i="23"/>
  <c r="AB30" i="23" s="1"/>
  <c r="R86" i="12"/>
  <c r="B217" i="12" s="1"/>
  <c r="CM12" i="23"/>
  <c r="BE12" i="31" s="1"/>
  <c r="O16" i="50"/>
  <c r="R81" i="12"/>
  <c r="B212" i="12" s="1"/>
  <c r="CD29" i="23"/>
  <c r="AV29" i="31" s="1"/>
  <c r="V63" i="30" s="1"/>
  <c r="CA29" i="23"/>
  <c r="AS29" i="31" s="1"/>
  <c r="AF63" i="30" s="1"/>
  <c r="O10" i="50"/>
  <c r="Q94" i="12"/>
  <c r="D11" i="51"/>
  <c r="AW19" i="34"/>
  <c r="AW52" i="34" s="1"/>
  <c r="M23" i="32"/>
  <c r="AU23" i="23"/>
  <c r="BV29" i="23"/>
  <c r="AN29" i="31" s="1"/>
  <c r="T63" i="30" s="1"/>
  <c r="CE29" i="23"/>
  <c r="AW29" i="31" s="1"/>
  <c r="AG63" i="30" s="1"/>
  <c r="Y13" i="34"/>
  <c r="G29" i="57" s="1"/>
  <c r="K29" i="57" s="1"/>
  <c r="O29" i="57" s="1"/>
  <c r="V151" i="12"/>
  <c r="Z151" i="12" s="1"/>
  <c r="AC151" i="12" s="1"/>
  <c r="D214" i="12" s="1"/>
  <c r="CF29" i="23"/>
  <c r="AX29" i="31" s="1"/>
  <c r="C169" i="24"/>
  <c r="AK22" i="34"/>
  <c r="AK55" i="34" s="1"/>
  <c r="E190" i="12"/>
  <c r="E221" i="12" s="1"/>
  <c r="F221" i="12" s="1"/>
  <c r="R53" i="24"/>
  <c r="D182" i="24"/>
  <c r="Y4" i="34"/>
  <c r="Y37" i="34" s="1"/>
  <c r="CM14" i="23"/>
  <c r="BE14" i="31" s="1"/>
  <c r="M21" i="34"/>
  <c r="M54" i="34" s="1"/>
  <c r="O24" i="50"/>
  <c r="CM11" i="23"/>
  <c r="BE11" i="31" s="1"/>
  <c r="Y17" i="34"/>
  <c r="G33" i="57" s="1"/>
  <c r="K33" i="57" s="1"/>
  <c r="O33" i="57" s="1"/>
  <c r="CK23" i="23"/>
  <c r="BC23" i="31" s="1"/>
  <c r="D186" i="24"/>
  <c r="AU5" i="23"/>
  <c r="AU14" i="23"/>
  <c r="C171" i="24"/>
  <c r="C172" i="24"/>
  <c r="Y21" i="34"/>
  <c r="G37" i="57" s="1"/>
  <c r="K37" i="57" s="1"/>
  <c r="O37" i="57" s="1"/>
  <c r="AU27" i="23"/>
  <c r="AK23" i="34"/>
  <c r="H39" i="57" s="1"/>
  <c r="L39" i="57" s="1"/>
  <c r="P39" i="57" s="1"/>
  <c r="M19" i="34"/>
  <c r="M52" i="34" s="1"/>
  <c r="O19" i="50"/>
  <c r="AW10" i="34"/>
  <c r="AW43" i="34" s="1"/>
  <c r="CL18" i="23"/>
  <c r="BD18" i="31" s="1"/>
  <c r="B210" i="12"/>
  <c r="Y22" i="34"/>
  <c r="G38" i="57" s="1"/>
  <c r="K38" i="57" s="1"/>
  <c r="O38" i="57" s="1"/>
  <c r="M9" i="34"/>
  <c r="M42" i="34" s="1"/>
  <c r="Y23" i="34"/>
  <c r="G39" i="57" s="1"/>
  <c r="K39" i="57" s="1"/>
  <c r="O39" i="57" s="1"/>
  <c r="M19" i="32"/>
  <c r="E174" i="12"/>
  <c r="E205" i="12" s="1"/>
  <c r="AU6" i="23"/>
  <c r="M7" i="32"/>
  <c r="AK25" i="34"/>
  <c r="AK58" i="34" s="1"/>
  <c r="C185" i="24"/>
  <c r="CL5" i="23"/>
  <c r="BD5" i="31" s="1"/>
  <c r="CL14" i="23"/>
  <c r="BD14" i="31" s="1"/>
  <c r="J159" i="24"/>
  <c r="E175" i="12"/>
  <c r="E206" i="12" s="1"/>
  <c r="D177" i="24"/>
  <c r="C183" i="24"/>
  <c r="Y6" i="34"/>
  <c r="Y39" i="34" s="1"/>
  <c r="CM6" i="23"/>
  <c r="BE6" i="31" s="1"/>
  <c r="CL21" i="23"/>
  <c r="BD21" i="31" s="1"/>
  <c r="R70" i="24"/>
  <c r="R46" i="24"/>
  <c r="CK26" i="23"/>
  <c r="BC26" i="31" s="1"/>
  <c r="E189" i="12"/>
  <c r="E220" i="12" s="1"/>
  <c r="CM15" i="23"/>
  <c r="BE15" i="31" s="1"/>
  <c r="AK9" i="34"/>
  <c r="H25" i="57" s="1"/>
  <c r="L25" i="57" s="1"/>
  <c r="P25" i="57" s="1"/>
  <c r="M24" i="32"/>
  <c r="D185" i="24"/>
  <c r="B178" i="24"/>
  <c r="O21" i="50"/>
  <c r="AK6" i="34"/>
  <c r="AK39" i="34" s="1"/>
  <c r="CK6" i="23"/>
  <c r="BC6" i="31" s="1"/>
  <c r="AU21" i="23"/>
  <c r="R82" i="12"/>
  <c r="B213" i="12" s="1"/>
  <c r="AW25" i="34"/>
  <c r="AW58" i="34" s="1"/>
  <c r="E186" i="12"/>
  <c r="E217" i="12" s="1"/>
  <c r="CL7" i="23"/>
  <c r="BD7" i="31" s="1"/>
  <c r="C181" i="24"/>
  <c r="AK4" i="34"/>
  <c r="H20" i="57" s="1"/>
  <c r="CM5" i="23"/>
  <c r="BE5" i="31" s="1"/>
  <c r="AK13" i="34"/>
  <c r="AK46" i="34" s="1"/>
  <c r="C91" i="24"/>
  <c r="CK22" i="23"/>
  <c r="BC22" i="31" s="1"/>
  <c r="M5" i="32"/>
  <c r="M26" i="34"/>
  <c r="F42" i="57" s="1"/>
  <c r="C170" i="24"/>
  <c r="M15" i="32"/>
  <c r="M6" i="32"/>
  <c r="V150" i="24"/>
  <c r="M10" i="32"/>
  <c r="M26" i="32"/>
  <c r="CM7" i="23"/>
  <c r="BE7" i="31" s="1"/>
  <c r="M5" i="34"/>
  <c r="M38" i="34" s="1"/>
  <c r="AK10" i="34"/>
  <c r="H26" i="57" s="1"/>
  <c r="L26" i="57" s="1"/>
  <c r="P26" i="57" s="1"/>
  <c r="K28" i="34"/>
  <c r="K61" i="34" s="1"/>
  <c r="Y20" i="34"/>
  <c r="Y53" i="34" s="1"/>
  <c r="AU26" i="23"/>
  <c r="R89" i="12"/>
  <c r="B220" i="12" s="1"/>
  <c r="AK14" i="34"/>
  <c r="AK47" i="34" s="1"/>
  <c r="C190" i="24"/>
  <c r="AW22" i="34"/>
  <c r="AW55" i="34" s="1"/>
  <c r="C29" i="32"/>
  <c r="B9" i="20" s="1"/>
  <c r="B10" i="20" s="1"/>
  <c r="P94" i="12"/>
  <c r="AW20" i="34"/>
  <c r="AW53" i="34" s="1"/>
  <c r="AW4" i="34"/>
  <c r="AW37" i="34" s="1"/>
  <c r="CL9" i="23"/>
  <c r="BD9" i="31" s="1"/>
  <c r="D175" i="24"/>
  <c r="CM21" i="23"/>
  <c r="BE21" i="31" s="1"/>
  <c r="CK15" i="23"/>
  <c r="BC15" i="31" s="1"/>
  <c r="CK5" i="23"/>
  <c r="BS29" i="23"/>
  <c r="AK29" i="31" s="1"/>
  <c r="AD63" i="30" s="1"/>
  <c r="R42" i="24"/>
  <c r="M13" i="34"/>
  <c r="F29" i="57" s="1"/>
  <c r="L159" i="24"/>
  <c r="E191" i="12"/>
  <c r="E222" i="12" s="1"/>
  <c r="CL22" i="23"/>
  <c r="BD22" i="31" s="1"/>
  <c r="M58" i="32"/>
  <c r="CK27" i="23"/>
  <c r="BC27" i="31" s="1"/>
  <c r="T150" i="24"/>
  <c r="W150" i="24" s="1"/>
  <c r="Z150" i="24" s="1"/>
  <c r="D213" i="24" s="1"/>
  <c r="AK19" i="34"/>
  <c r="H35" i="57" s="1"/>
  <c r="L35" i="57" s="1"/>
  <c r="P35" i="57" s="1"/>
  <c r="AW6" i="34"/>
  <c r="AW39" i="34" s="1"/>
  <c r="AK5" i="34"/>
  <c r="H21" i="57" s="1"/>
  <c r="L21" i="57" s="1"/>
  <c r="P21" i="57" s="1"/>
  <c r="CL11" i="23"/>
  <c r="BD11" i="31" s="1"/>
  <c r="CK21" i="23"/>
  <c r="BC21" i="31" s="1"/>
  <c r="Y25" i="34"/>
  <c r="Y58" i="34" s="1"/>
  <c r="E179" i="12"/>
  <c r="E210" i="12" s="1"/>
  <c r="M14" i="34"/>
  <c r="F30" i="57" s="1"/>
  <c r="R57" i="24"/>
  <c r="M18" i="34"/>
  <c r="M51" i="34" s="1"/>
  <c r="R44" i="24"/>
  <c r="AU7" i="23"/>
  <c r="AW5" i="34"/>
  <c r="AW38" i="34" s="1"/>
  <c r="AU15" i="23"/>
  <c r="D181" i="24"/>
  <c r="D178" i="24"/>
  <c r="CM10" i="23"/>
  <c r="BE10" i="31" s="1"/>
  <c r="M4" i="34"/>
  <c r="F20" i="57" s="1"/>
  <c r="E176" i="12"/>
  <c r="E207" i="12" s="1"/>
  <c r="F159" i="24"/>
  <c r="B168" i="24"/>
  <c r="AK21" i="34"/>
  <c r="H37" i="57" s="1"/>
  <c r="L37" i="57" s="1"/>
  <c r="P37" i="57" s="1"/>
  <c r="O14" i="50"/>
  <c r="C176" i="24"/>
  <c r="C186" i="24"/>
  <c r="CL6" i="23"/>
  <c r="BD6" i="31" s="1"/>
  <c r="O26" i="50"/>
  <c r="AK20" i="34"/>
  <c r="H36" i="57" s="1"/>
  <c r="L36" i="57" s="1"/>
  <c r="P36" i="57" s="1"/>
  <c r="C182" i="24"/>
  <c r="D173" i="24"/>
  <c r="AK59" i="34"/>
  <c r="H42" i="57"/>
  <c r="L42" i="57" s="1"/>
  <c r="P42" i="57" s="1"/>
  <c r="L53" i="32"/>
  <c r="AF26" i="15"/>
  <c r="AS13" i="60"/>
  <c r="AH107" i="30"/>
  <c r="L107" i="30"/>
  <c r="W107" i="30"/>
  <c r="N22" i="31"/>
  <c r="M22" i="31"/>
  <c r="G122" i="25"/>
  <c r="H122" i="25"/>
  <c r="O157" i="25"/>
  <c r="I122" i="25"/>
  <c r="N157" i="25"/>
  <c r="L59" i="25"/>
  <c r="M59" i="25"/>
  <c r="K59" i="25"/>
  <c r="B89" i="25"/>
  <c r="P157" i="25"/>
  <c r="I54" i="47"/>
  <c r="H54" i="47"/>
  <c r="Y49" i="34"/>
  <c r="G32" i="57"/>
  <c r="K32" i="57" s="1"/>
  <c r="O32" i="57" s="1"/>
  <c r="AP27" i="60"/>
  <c r="T121" i="30"/>
  <c r="I121" i="30"/>
  <c r="AE121" i="30"/>
  <c r="AF28" i="3"/>
  <c r="AA28" i="3"/>
  <c r="K36" i="32"/>
  <c r="Z23" i="16"/>
  <c r="B189" i="24"/>
  <c r="H29" i="31"/>
  <c r="M5" i="31"/>
  <c r="N5" i="31"/>
  <c r="AP18" i="60"/>
  <c r="AE112" i="30"/>
  <c r="I112" i="30"/>
  <c r="T112" i="30"/>
  <c r="D52" i="51"/>
  <c r="D25" i="51"/>
  <c r="T156" i="24"/>
  <c r="W156" i="24" s="1"/>
  <c r="Z156" i="24" s="1"/>
  <c r="D219" i="24" s="1"/>
  <c r="V156" i="24"/>
  <c r="AS22" i="60"/>
  <c r="W116" i="30"/>
  <c r="AH116" i="30"/>
  <c r="L116" i="30"/>
  <c r="AS19" i="60"/>
  <c r="L113" i="30"/>
  <c r="W113" i="30"/>
  <c r="AH113" i="30"/>
  <c r="D167" i="24"/>
  <c r="Q67" i="24"/>
  <c r="M91" i="24"/>
  <c r="AA18" i="3"/>
  <c r="R69" i="24"/>
  <c r="AF27" i="3"/>
  <c r="AA27" i="3"/>
  <c r="B208" i="16"/>
  <c r="B238" i="16" s="1"/>
  <c r="I107" i="16"/>
  <c r="L44" i="16"/>
  <c r="K44" i="16"/>
  <c r="M44" i="16"/>
  <c r="K107" i="16"/>
  <c r="B74" i="16"/>
  <c r="L107" i="16"/>
  <c r="G117" i="25"/>
  <c r="H117" i="25"/>
  <c r="N152" i="25"/>
  <c r="B84" i="25"/>
  <c r="I117" i="25"/>
  <c r="K54" i="25"/>
  <c r="M54" i="25"/>
  <c r="L54" i="25"/>
  <c r="O152" i="25"/>
  <c r="P152" i="25"/>
  <c r="AS27" i="60"/>
  <c r="W121" i="30"/>
  <c r="AH121" i="30"/>
  <c r="L121" i="30"/>
  <c r="AR10" i="60"/>
  <c r="V104" i="30"/>
  <c r="AG104" i="30"/>
  <c r="K104" i="30"/>
  <c r="R80" i="24"/>
  <c r="N27" i="32"/>
  <c r="F43" i="20" s="1"/>
  <c r="M43" i="20" s="1"/>
  <c r="Z38" i="43"/>
  <c r="AF38" i="43" s="1"/>
  <c r="I57" i="32"/>
  <c r="K50" i="32"/>
  <c r="Z37" i="16"/>
  <c r="D43" i="51"/>
  <c r="I29" i="31"/>
  <c r="AK8" i="34"/>
  <c r="AW8" i="34"/>
  <c r="AW41" i="34" s="1"/>
  <c r="AQ27" i="60"/>
  <c r="AF121" i="30"/>
  <c r="J121" i="30"/>
  <c r="U121" i="30"/>
  <c r="G75" i="15"/>
  <c r="K43" i="15"/>
  <c r="M43" i="15"/>
  <c r="L43" i="15"/>
  <c r="N112" i="15"/>
  <c r="I75" i="15"/>
  <c r="H75" i="15"/>
  <c r="O112" i="15"/>
  <c r="P112" i="15"/>
  <c r="R49" i="24"/>
  <c r="M41" i="15"/>
  <c r="L41" i="15"/>
  <c r="K41" i="15"/>
  <c r="G73" i="15"/>
  <c r="H73" i="15"/>
  <c r="I73" i="15"/>
  <c r="N110" i="15"/>
  <c r="O110" i="15"/>
  <c r="P110" i="15"/>
  <c r="V149" i="24"/>
  <c r="T149" i="24"/>
  <c r="W149" i="24" s="1"/>
  <c r="Z149" i="24" s="1"/>
  <c r="D212" i="24" s="1"/>
  <c r="D18" i="51"/>
  <c r="G105" i="29"/>
  <c r="H105" i="29"/>
  <c r="L42" i="29"/>
  <c r="P140" i="29"/>
  <c r="K42" i="29"/>
  <c r="M42" i="29"/>
  <c r="I105" i="29"/>
  <c r="B72" i="29"/>
  <c r="O140" i="29"/>
  <c r="N140" i="29"/>
  <c r="H99" i="43"/>
  <c r="I99" i="43"/>
  <c r="G99" i="43"/>
  <c r="P134" i="43"/>
  <c r="N134" i="43"/>
  <c r="M36" i="43"/>
  <c r="N36" i="43"/>
  <c r="C53" i="56" s="1"/>
  <c r="L36" i="43"/>
  <c r="B66" i="43"/>
  <c r="K36" i="43"/>
  <c r="O134" i="43"/>
  <c r="Z29" i="43"/>
  <c r="I48" i="32"/>
  <c r="N18" i="32"/>
  <c r="F34" i="20" s="1"/>
  <c r="M34" i="20" s="1"/>
  <c r="Y7" i="34"/>
  <c r="AO7" i="60"/>
  <c r="H101" i="30"/>
  <c r="AD101" i="30"/>
  <c r="S101" i="30"/>
  <c r="M8" i="30"/>
  <c r="R83" i="24"/>
  <c r="L32" i="16"/>
  <c r="M32" i="16"/>
  <c r="B196" i="16"/>
  <c r="B226" i="16" s="1"/>
  <c r="B62" i="16"/>
  <c r="I95" i="16"/>
  <c r="K95" i="16"/>
  <c r="L95" i="16"/>
  <c r="K32" i="16"/>
  <c r="AQ7" i="60"/>
  <c r="J101" i="30"/>
  <c r="U101" i="30"/>
  <c r="AF101" i="30"/>
  <c r="B169" i="24"/>
  <c r="AS11" i="60"/>
  <c r="L105" i="30"/>
  <c r="W105" i="30"/>
  <c r="AH105" i="30"/>
  <c r="AP10" i="60"/>
  <c r="I104" i="30"/>
  <c r="T104" i="30"/>
  <c r="AE104" i="30"/>
  <c r="F41" i="57"/>
  <c r="AF20" i="15"/>
  <c r="L47" i="32"/>
  <c r="AQ11" i="60"/>
  <c r="U105" i="30"/>
  <c r="AF105" i="30"/>
  <c r="J105" i="30"/>
  <c r="R37" i="24"/>
  <c r="O61" i="24"/>
  <c r="CL28" i="23"/>
  <c r="BD28" i="31" s="1"/>
  <c r="M35" i="43"/>
  <c r="N35" i="43"/>
  <c r="C52" i="56" s="1"/>
  <c r="G98" i="43"/>
  <c r="B65" i="43"/>
  <c r="H98" i="43"/>
  <c r="L35" i="43"/>
  <c r="I98" i="43"/>
  <c r="K35" i="43"/>
  <c r="O133" i="43"/>
  <c r="N133" i="43"/>
  <c r="P133" i="43"/>
  <c r="H78" i="15"/>
  <c r="L46" i="15"/>
  <c r="M46" i="15"/>
  <c r="I78" i="15"/>
  <c r="G78" i="15"/>
  <c r="N115" i="15"/>
  <c r="K46" i="15"/>
  <c r="O115" i="15"/>
  <c r="P115" i="15"/>
  <c r="O6" i="50"/>
  <c r="M6" i="50"/>
  <c r="D169" i="24"/>
  <c r="M48" i="29"/>
  <c r="L48" i="29"/>
  <c r="B78" i="29"/>
  <c r="O146" i="29"/>
  <c r="G111" i="29"/>
  <c r="H111" i="29"/>
  <c r="I111" i="29"/>
  <c r="P146" i="29"/>
  <c r="K48" i="29"/>
  <c r="N146" i="29"/>
  <c r="H111" i="25"/>
  <c r="I111" i="25"/>
  <c r="K48" i="25"/>
  <c r="L48" i="25"/>
  <c r="B78" i="25"/>
  <c r="G111" i="25"/>
  <c r="P146" i="25"/>
  <c r="O146" i="25"/>
  <c r="N146" i="25"/>
  <c r="M48" i="25"/>
  <c r="G110" i="43"/>
  <c r="H110" i="43"/>
  <c r="I110" i="43"/>
  <c r="L47" i="43"/>
  <c r="O145" i="43"/>
  <c r="P145" i="43"/>
  <c r="N145" i="43"/>
  <c r="B77" i="43"/>
  <c r="N47" i="43"/>
  <c r="C64" i="56" s="1"/>
  <c r="M47" i="43"/>
  <c r="K47" i="43"/>
  <c r="O153" i="29"/>
  <c r="P153" i="29"/>
  <c r="B85" i="29"/>
  <c r="H118" i="29"/>
  <c r="N153" i="29"/>
  <c r="I118" i="29"/>
  <c r="K55" i="29"/>
  <c r="L55" i="29"/>
  <c r="M55" i="29"/>
  <c r="G118" i="29"/>
  <c r="Z25" i="43"/>
  <c r="I44" i="32"/>
  <c r="N14" i="32"/>
  <c r="F30" i="20" s="1"/>
  <c r="M30" i="20" s="1"/>
  <c r="S29" i="23"/>
  <c r="AF30" i="23"/>
  <c r="AF32" i="23" s="1"/>
  <c r="L29" i="32"/>
  <c r="I119" i="29"/>
  <c r="B86" i="29"/>
  <c r="K56" i="29"/>
  <c r="M56" i="29"/>
  <c r="O154" i="29"/>
  <c r="G119" i="29"/>
  <c r="L56" i="29"/>
  <c r="P154" i="29"/>
  <c r="H119" i="29"/>
  <c r="N154" i="29"/>
  <c r="Z17" i="43"/>
  <c r="I36" i="32"/>
  <c r="N6" i="32"/>
  <c r="F22" i="20" s="1"/>
  <c r="M22" i="20" s="1"/>
  <c r="P78" i="24"/>
  <c r="R78" i="24" s="1"/>
  <c r="C178" i="24"/>
  <c r="T28" i="34"/>
  <c r="T61" i="34" s="1"/>
  <c r="B13" i="25"/>
  <c r="B19" i="25" s="1"/>
  <c r="B20" i="25" s="1"/>
  <c r="H29" i="32"/>
  <c r="AP24" i="60"/>
  <c r="T118" i="30"/>
  <c r="AE118" i="30"/>
  <c r="I118" i="30"/>
  <c r="J52" i="32"/>
  <c r="B190" i="24"/>
  <c r="AR13" i="60"/>
  <c r="K107" i="30"/>
  <c r="V107" i="30"/>
  <c r="AG107" i="30"/>
  <c r="N94" i="12"/>
  <c r="A231" i="12" s="1"/>
  <c r="AQ26" i="60"/>
  <c r="AF120" i="30"/>
  <c r="U120" i="30"/>
  <c r="J120" i="30"/>
  <c r="AQ8" i="60"/>
  <c r="AF102" i="30"/>
  <c r="J102" i="30"/>
  <c r="U102" i="30"/>
  <c r="B195" i="16"/>
  <c r="B225" i="16" s="1"/>
  <c r="I94" i="16"/>
  <c r="L94" i="16"/>
  <c r="B61" i="16"/>
  <c r="M31" i="16"/>
  <c r="K94" i="16"/>
  <c r="K31" i="16"/>
  <c r="L31" i="16"/>
  <c r="BQ29" i="23"/>
  <c r="AI29" i="31" s="1"/>
  <c r="H63" i="30" s="1"/>
  <c r="AO4" i="60"/>
  <c r="H29" i="30"/>
  <c r="AR28" i="34" s="1"/>
  <c r="AD98" i="30"/>
  <c r="S98" i="30"/>
  <c r="H98" i="30"/>
  <c r="M5" i="30"/>
  <c r="H47" i="32"/>
  <c r="Z21" i="25"/>
  <c r="AA41" i="10"/>
  <c r="P68" i="24"/>
  <c r="C168" i="24"/>
  <c r="CK14" i="23"/>
  <c r="M14" i="32"/>
  <c r="B205" i="16"/>
  <c r="B235" i="16" s="1"/>
  <c r="L104" i="16"/>
  <c r="M41" i="16"/>
  <c r="L41" i="16"/>
  <c r="K41" i="16"/>
  <c r="B71" i="16"/>
  <c r="I104" i="16"/>
  <c r="K104" i="16"/>
  <c r="D36" i="51"/>
  <c r="CH29" i="23"/>
  <c r="AZ29" i="31" s="1"/>
  <c r="W63" i="30" s="1"/>
  <c r="E91" i="24"/>
  <c r="G91" i="24" s="1"/>
  <c r="H91" i="24" s="1"/>
  <c r="I91" i="24" s="1"/>
  <c r="D91" i="24"/>
  <c r="Z24" i="25"/>
  <c r="H50" i="32"/>
  <c r="M50" i="32" s="1"/>
  <c r="AA32" i="25"/>
  <c r="AF32" i="25"/>
  <c r="H115" i="43"/>
  <c r="I115" i="43"/>
  <c r="G115" i="43"/>
  <c r="N52" i="43"/>
  <c r="C69" i="56" s="1"/>
  <c r="K52" i="43"/>
  <c r="P150" i="43"/>
  <c r="O150" i="43"/>
  <c r="N150" i="43"/>
  <c r="B82" i="43"/>
  <c r="L52" i="43"/>
  <c r="M52" i="43"/>
  <c r="Z30" i="23"/>
  <c r="CL27" i="23"/>
  <c r="BD27" i="31" s="1"/>
  <c r="D55" i="51"/>
  <c r="AP26" i="60"/>
  <c r="AE120" i="30"/>
  <c r="I120" i="30"/>
  <c r="T120" i="30"/>
  <c r="B209" i="16"/>
  <c r="B239" i="16" s="1"/>
  <c r="M45" i="16"/>
  <c r="B75" i="16"/>
  <c r="I108" i="16"/>
  <c r="L108" i="16"/>
  <c r="K45" i="16"/>
  <c r="L45" i="16"/>
  <c r="K108" i="16"/>
  <c r="B12" i="43"/>
  <c r="B13" i="43" s="1"/>
  <c r="B15" i="43" s="1"/>
  <c r="R29" i="23"/>
  <c r="R34" i="23" s="1"/>
  <c r="I29" i="32"/>
  <c r="Q29" i="50"/>
  <c r="T29" i="50"/>
  <c r="N9" i="31"/>
  <c r="M9" i="31"/>
  <c r="Z34" i="16"/>
  <c r="K47" i="32"/>
  <c r="D20" i="51"/>
  <c r="T151" i="24"/>
  <c r="W151" i="24" s="1"/>
  <c r="Z151" i="24" s="1"/>
  <c r="D214" i="24" s="1"/>
  <c r="V151" i="24"/>
  <c r="CL24" i="23"/>
  <c r="BD24" i="31" s="1"/>
  <c r="M24" i="31"/>
  <c r="N24" i="31"/>
  <c r="AF14" i="25"/>
  <c r="AA14" i="25"/>
  <c r="D45" i="51"/>
  <c r="O88" i="24"/>
  <c r="B188" i="24"/>
  <c r="B170" i="24"/>
  <c r="AF39" i="9"/>
  <c r="AA39" i="9"/>
  <c r="AP5" i="60"/>
  <c r="T99" i="30"/>
  <c r="AE99" i="30"/>
  <c r="I99" i="30"/>
  <c r="AS10" i="60"/>
  <c r="L104" i="30"/>
  <c r="W104" i="30"/>
  <c r="AH104" i="30"/>
  <c r="B180" i="24"/>
  <c r="V142" i="12"/>
  <c r="Z142" i="12" s="1"/>
  <c r="AC142" i="12" s="1"/>
  <c r="D205" i="12" s="1"/>
  <c r="AF28" i="9"/>
  <c r="AA28" i="9"/>
  <c r="I113" i="16"/>
  <c r="B214" i="16"/>
  <c r="B244" i="16" s="1"/>
  <c r="B80" i="16"/>
  <c r="L113" i="16"/>
  <c r="K113" i="16"/>
  <c r="M50" i="16"/>
  <c r="K50" i="16"/>
  <c r="L50" i="16"/>
  <c r="H112" i="43"/>
  <c r="L49" i="43"/>
  <c r="M49" i="43"/>
  <c r="N49" i="43"/>
  <c r="C66" i="56" s="1"/>
  <c r="K49" i="43"/>
  <c r="O147" i="43"/>
  <c r="I112" i="43"/>
  <c r="P147" i="43"/>
  <c r="G112" i="43"/>
  <c r="B79" i="43"/>
  <c r="N147" i="43"/>
  <c r="D48" i="51"/>
  <c r="BC20" i="31"/>
  <c r="AF29" i="3"/>
  <c r="AA29" i="3"/>
  <c r="W28" i="34"/>
  <c r="W61" i="34" s="1"/>
  <c r="I109" i="29"/>
  <c r="G109" i="29"/>
  <c r="H109" i="29"/>
  <c r="N144" i="29"/>
  <c r="B76" i="29"/>
  <c r="O144" i="29"/>
  <c r="P144" i="29"/>
  <c r="M46" i="29"/>
  <c r="Q46" i="29" s="1"/>
  <c r="K46" i="29"/>
  <c r="L46" i="29"/>
  <c r="P46" i="29" s="1"/>
  <c r="AA23" i="25"/>
  <c r="AF23" i="25"/>
  <c r="N134" i="29"/>
  <c r="G99" i="29"/>
  <c r="L36" i="29"/>
  <c r="H99" i="29"/>
  <c r="I99" i="29"/>
  <c r="K36" i="29"/>
  <c r="M36" i="29"/>
  <c r="B66" i="29"/>
  <c r="P134" i="29"/>
  <c r="O134" i="29"/>
  <c r="AP25" i="60"/>
  <c r="AE119" i="30"/>
  <c r="I119" i="30"/>
  <c r="T119" i="30"/>
  <c r="R91" i="12"/>
  <c r="B222" i="12" s="1"/>
  <c r="AO27" i="60"/>
  <c r="S121" i="30"/>
  <c r="AD121" i="30"/>
  <c r="H121" i="30"/>
  <c r="M28" i="30"/>
  <c r="AL27" i="34" s="1"/>
  <c r="AL60" i="34" s="1"/>
  <c r="J56" i="32"/>
  <c r="B70" i="16"/>
  <c r="L103" i="16"/>
  <c r="B204" i="16"/>
  <c r="B234" i="16" s="1"/>
  <c r="I103" i="16"/>
  <c r="M40" i="16"/>
  <c r="K103" i="16"/>
  <c r="K40" i="16"/>
  <c r="L40" i="16"/>
  <c r="R75" i="24"/>
  <c r="AS20" i="60"/>
  <c r="L114" i="30"/>
  <c r="W114" i="30"/>
  <c r="AH114" i="30"/>
  <c r="AQ22" i="60"/>
  <c r="AF116" i="30"/>
  <c r="J116" i="30"/>
  <c r="U116" i="30"/>
  <c r="AF41" i="3"/>
  <c r="AA41" i="3"/>
  <c r="AQ19" i="60"/>
  <c r="AF113" i="30"/>
  <c r="J113" i="30"/>
  <c r="U113" i="30"/>
  <c r="M15" i="34"/>
  <c r="AF29" i="9"/>
  <c r="AA29" i="9"/>
  <c r="D42" i="51"/>
  <c r="I46" i="32"/>
  <c r="Z27" i="43"/>
  <c r="N16" i="32"/>
  <c r="F32" i="20" s="1"/>
  <c r="M32" i="20" s="1"/>
  <c r="I100" i="43"/>
  <c r="G100" i="43"/>
  <c r="H100" i="43"/>
  <c r="P135" i="43"/>
  <c r="N135" i="43"/>
  <c r="N37" i="43"/>
  <c r="C54" i="56" s="1"/>
  <c r="B67" i="43"/>
  <c r="K37" i="43"/>
  <c r="L37" i="43"/>
  <c r="O135" i="43"/>
  <c r="M37" i="43"/>
  <c r="L48" i="32"/>
  <c r="AF21" i="15"/>
  <c r="E170" i="12"/>
  <c r="E201" i="12" s="1"/>
  <c r="B194" i="12"/>
  <c r="Z33" i="16"/>
  <c r="K46" i="32"/>
  <c r="X155" i="12"/>
  <c r="V155" i="12"/>
  <c r="Z155" i="12" s="1"/>
  <c r="AC155" i="12" s="1"/>
  <c r="D218" i="12" s="1"/>
  <c r="I95" i="43"/>
  <c r="G95" i="43"/>
  <c r="L32" i="43"/>
  <c r="P130" i="43"/>
  <c r="M32" i="43"/>
  <c r="H95" i="43"/>
  <c r="B56" i="43"/>
  <c r="H56" i="43" s="1"/>
  <c r="K32" i="43"/>
  <c r="N130" i="43"/>
  <c r="B62" i="43"/>
  <c r="N32" i="43"/>
  <c r="O130" i="43"/>
  <c r="M8" i="31"/>
  <c r="N8" i="31"/>
  <c r="D44" i="51"/>
  <c r="Z34" i="43"/>
  <c r="AF34" i="43" s="1"/>
  <c r="N23" i="32"/>
  <c r="F39" i="20" s="1"/>
  <c r="M39" i="20" s="1"/>
  <c r="I53" i="32"/>
  <c r="AP13" i="60"/>
  <c r="AE107" i="30"/>
  <c r="I107" i="30"/>
  <c r="T107" i="30"/>
  <c r="I71" i="15"/>
  <c r="K39" i="15"/>
  <c r="G71" i="15"/>
  <c r="L39" i="15"/>
  <c r="H71" i="15"/>
  <c r="M39" i="15"/>
  <c r="N108" i="15"/>
  <c r="O108" i="15"/>
  <c r="P108" i="15"/>
  <c r="K24" i="15"/>
  <c r="L24" i="15"/>
  <c r="M24" i="15"/>
  <c r="H56" i="15"/>
  <c r="G56" i="15"/>
  <c r="B48" i="15"/>
  <c r="AH32" i="15" s="1"/>
  <c r="I56" i="15"/>
  <c r="N93" i="15"/>
  <c r="O93" i="15"/>
  <c r="P93" i="15"/>
  <c r="G103" i="43"/>
  <c r="B70" i="43"/>
  <c r="H103" i="43"/>
  <c r="N138" i="43"/>
  <c r="I103" i="43"/>
  <c r="L40" i="43"/>
  <c r="N40" i="43"/>
  <c r="C57" i="56" s="1"/>
  <c r="K40" i="43"/>
  <c r="M40" i="43"/>
  <c r="P138" i="43"/>
  <c r="O138" i="43"/>
  <c r="E177" i="12"/>
  <c r="E208" i="12" s="1"/>
  <c r="H104" i="29"/>
  <c r="I104" i="29"/>
  <c r="G104" i="29"/>
  <c r="P139" i="29"/>
  <c r="N139" i="29"/>
  <c r="L41" i="29"/>
  <c r="B71" i="29"/>
  <c r="O139" i="29"/>
  <c r="K41" i="29"/>
  <c r="M41" i="29"/>
  <c r="AR6" i="60"/>
  <c r="K100" i="30"/>
  <c r="V100" i="30"/>
  <c r="AG100" i="30"/>
  <c r="M28" i="31"/>
  <c r="N28" i="31"/>
  <c r="AP7" i="60"/>
  <c r="I101" i="30"/>
  <c r="T101" i="30"/>
  <c r="AE101" i="30"/>
  <c r="Z28" i="43"/>
  <c r="I47" i="32"/>
  <c r="N17" i="32"/>
  <c r="F33" i="20" s="1"/>
  <c r="M33" i="20" s="1"/>
  <c r="AF12" i="15"/>
  <c r="L39" i="32"/>
  <c r="AF19" i="15"/>
  <c r="L46" i="32"/>
  <c r="J55" i="32"/>
  <c r="AP29" i="23"/>
  <c r="C15" i="43" s="1"/>
  <c r="Q68" i="24"/>
  <c r="D168" i="24"/>
  <c r="AO13" i="60"/>
  <c r="AD107" i="30"/>
  <c r="H107" i="30"/>
  <c r="S107" i="30"/>
  <c r="M14" i="30"/>
  <c r="AX13" i="34" s="1"/>
  <c r="M42" i="15"/>
  <c r="G74" i="15"/>
  <c r="H74" i="15"/>
  <c r="N111" i="15"/>
  <c r="I74" i="15"/>
  <c r="L42" i="15"/>
  <c r="K42" i="15"/>
  <c r="O111" i="15"/>
  <c r="P111" i="15"/>
  <c r="N139" i="43"/>
  <c r="M41" i="43"/>
  <c r="K41" i="43"/>
  <c r="I104" i="43"/>
  <c r="B71" i="43"/>
  <c r="G104" i="43"/>
  <c r="L41" i="43"/>
  <c r="N41" i="43"/>
  <c r="C58" i="56" s="1"/>
  <c r="P139" i="43"/>
  <c r="O139" i="43"/>
  <c r="H104" i="43"/>
  <c r="D21" i="51"/>
  <c r="T152" i="24"/>
  <c r="W152" i="24" s="1"/>
  <c r="Z152" i="24" s="1"/>
  <c r="D215" i="24" s="1"/>
  <c r="V152" i="24"/>
  <c r="K40" i="32"/>
  <c r="Z27" i="16"/>
  <c r="D26" i="51"/>
  <c r="T157" i="24"/>
  <c r="W157" i="24" s="1"/>
  <c r="Z157" i="24" s="1"/>
  <c r="D220" i="24" s="1"/>
  <c r="V157" i="24"/>
  <c r="AT29" i="23"/>
  <c r="Z30" i="16"/>
  <c r="K43" i="32"/>
  <c r="AF25" i="3"/>
  <c r="AA25" i="3"/>
  <c r="V158" i="24"/>
  <c r="D27" i="51"/>
  <c r="T158" i="24"/>
  <c r="W158" i="24" s="1"/>
  <c r="Z158" i="24" s="1"/>
  <c r="D221" i="24" s="1"/>
  <c r="B215" i="16"/>
  <c r="B245" i="16" s="1"/>
  <c r="I114" i="16"/>
  <c r="K114" i="16"/>
  <c r="L114" i="16"/>
  <c r="L51" i="16"/>
  <c r="M51" i="16"/>
  <c r="B81" i="16"/>
  <c r="K51" i="16"/>
  <c r="D53" i="51"/>
  <c r="AF36" i="3"/>
  <c r="AA36" i="3"/>
  <c r="R72" i="24"/>
  <c r="B212" i="16"/>
  <c r="B242" i="16" s="1"/>
  <c r="K111" i="16"/>
  <c r="I111" i="16"/>
  <c r="B78" i="16"/>
  <c r="L111" i="16"/>
  <c r="M48" i="16"/>
  <c r="K48" i="16"/>
  <c r="L48" i="16"/>
  <c r="AP12" i="60"/>
  <c r="AE106" i="30"/>
  <c r="I106" i="30"/>
  <c r="T106" i="30"/>
  <c r="P77" i="24"/>
  <c r="R77" i="24" s="1"/>
  <c r="C177" i="24"/>
  <c r="AR19" i="60"/>
  <c r="K113" i="30"/>
  <c r="V113" i="30"/>
  <c r="AG113" i="30"/>
  <c r="H104" i="25"/>
  <c r="I104" i="25"/>
  <c r="O139" i="25"/>
  <c r="B71" i="25"/>
  <c r="K41" i="25"/>
  <c r="M41" i="25"/>
  <c r="G104" i="25"/>
  <c r="L41" i="25"/>
  <c r="P139" i="25"/>
  <c r="N139" i="25"/>
  <c r="AR16" i="60"/>
  <c r="K110" i="30"/>
  <c r="V110" i="30"/>
  <c r="AG110" i="30"/>
  <c r="B86" i="25"/>
  <c r="M56" i="25"/>
  <c r="K56" i="25"/>
  <c r="L56" i="25"/>
  <c r="P154" i="25"/>
  <c r="I119" i="25"/>
  <c r="G119" i="25"/>
  <c r="O154" i="25"/>
  <c r="N154" i="25"/>
  <c r="H119" i="25"/>
  <c r="Q88" i="24"/>
  <c r="D188" i="24"/>
  <c r="R40" i="24"/>
  <c r="N131" i="43"/>
  <c r="L33" i="43"/>
  <c r="K33" i="43"/>
  <c r="N33" i="43"/>
  <c r="C50" i="56" s="1"/>
  <c r="O131" i="43"/>
  <c r="P131" i="43"/>
  <c r="B63" i="43"/>
  <c r="I96" i="43"/>
  <c r="G96" i="43"/>
  <c r="H96" i="43"/>
  <c r="M33" i="43"/>
  <c r="G62" i="15"/>
  <c r="K30" i="15"/>
  <c r="H62" i="15"/>
  <c r="L30" i="15"/>
  <c r="I62" i="15"/>
  <c r="M30" i="15"/>
  <c r="N99" i="15"/>
  <c r="O99" i="15"/>
  <c r="P99" i="15"/>
  <c r="I108" i="43"/>
  <c r="G108" i="43"/>
  <c r="H108" i="43"/>
  <c r="O143" i="43"/>
  <c r="B75" i="43"/>
  <c r="P143" i="43"/>
  <c r="N143" i="43"/>
  <c r="M45" i="43"/>
  <c r="K45" i="43"/>
  <c r="L45" i="43"/>
  <c r="N45" i="43"/>
  <c r="C62" i="56" s="1"/>
  <c r="O76" i="24"/>
  <c r="R76" i="24" s="1"/>
  <c r="B176" i="24"/>
  <c r="AR24" i="60"/>
  <c r="K118" i="30"/>
  <c r="V118" i="30"/>
  <c r="AG118" i="30"/>
  <c r="R56" i="24"/>
  <c r="D15" i="51"/>
  <c r="T146" i="24"/>
  <c r="W146" i="24" s="1"/>
  <c r="Z146" i="24" s="1"/>
  <c r="D209" i="24" s="1"/>
  <c r="V146" i="24"/>
  <c r="I112" i="16"/>
  <c r="B213" i="16"/>
  <c r="B243" i="16" s="1"/>
  <c r="M49" i="16"/>
  <c r="K112" i="16"/>
  <c r="K49" i="16"/>
  <c r="L112" i="16"/>
  <c r="L49" i="16"/>
  <c r="B79" i="16"/>
  <c r="Q159" i="24"/>
  <c r="T159" i="24" s="1"/>
  <c r="W159" i="24" s="1"/>
  <c r="Z159" i="24" s="1"/>
  <c r="AA159" i="24" s="1"/>
  <c r="K43" i="16"/>
  <c r="K106" i="16"/>
  <c r="L106" i="16"/>
  <c r="B207" i="16"/>
  <c r="B237" i="16" s="1"/>
  <c r="L43" i="16"/>
  <c r="B73" i="16"/>
  <c r="M43" i="16"/>
  <c r="I106" i="16"/>
  <c r="N21" i="31"/>
  <c r="M21" i="31"/>
  <c r="AF35" i="9"/>
  <c r="AA35" i="9"/>
  <c r="X160" i="12"/>
  <c r="V160" i="12"/>
  <c r="Z160" i="12" s="1"/>
  <c r="AC160" i="12" s="1"/>
  <c r="D223" i="12" s="1"/>
  <c r="M26" i="31"/>
  <c r="N26" i="31"/>
  <c r="D34" i="51"/>
  <c r="L40" i="15"/>
  <c r="M40" i="15"/>
  <c r="G72" i="15"/>
  <c r="I72" i="15"/>
  <c r="H72" i="15"/>
  <c r="N109" i="15"/>
  <c r="K40" i="15"/>
  <c r="O109" i="15"/>
  <c r="P109" i="15"/>
  <c r="X143" i="12"/>
  <c r="V143" i="12"/>
  <c r="Z143" i="12" s="1"/>
  <c r="AC143" i="12" s="1"/>
  <c r="D206" i="12" s="1"/>
  <c r="D176" i="24"/>
  <c r="M13" i="31"/>
  <c r="N13" i="31"/>
  <c r="O85" i="24"/>
  <c r="R85" i="24" s="1"/>
  <c r="B185" i="24"/>
  <c r="D184" i="24"/>
  <c r="D172" i="24"/>
  <c r="L21" i="20"/>
  <c r="Z24" i="43"/>
  <c r="N13" i="32"/>
  <c r="F29" i="20" s="1"/>
  <c r="M29" i="20" s="1"/>
  <c r="I43" i="32"/>
  <c r="B77" i="16"/>
  <c r="L47" i="16"/>
  <c r="B211" i="16"/>
  <c r="B241" i="16" s="1"/>
  <c r="K110" i="16"/>
  <c r="I110" i="16"/>
  <c r="L110" i="16"/>
  <c r="M47" i="16"/>
  <c r="K47" i="16"/>
  <c r="V154" i="24"/>
  <c r="T154" i="24"/>
  <c r="W154" i="24" s="1"/>
  <c r="Z154" i="24" s="1"/>
  <c r="D217" i="24" s="1"/>
  <c r="D23" i="51"/>
  <c r="AA20" i="3"/>
  <c r="AF20" i="3"/>
  <c r="AK27" i="34"/>
  <c r="O28" i="50"/>
  <c r="CK28" i="23"/>
  <c r="CM28" i="23"/>
  <c r="BE28" i="31" s="1"/>
  <c r="AW27" i="34"/>
  <c r="AW60" i="34" s="1"/>
  <c r="M27" i="34"/>
  <c r="J39" i="32"/>
  <c r="Z21" i="29"/>
  <c r="CG29" i="23"/>
  <c r="AY29" i="31" s="1"/>
  <c r="L63" i="30" s="1"/>
  <c r="K56" i="32"/>
  <c r="Z43" i="16"/>
  <c r="AF21" i="3"/>
  <c r="AA21" i="3"/>
  <c r="I79" i="15"/>
  <c r="K47" i="15"/>
  <c r="G79" i="15"/>
  <c r="M47" i="15"/>
  <c r="L47" i="15"/>
  <c r="N116" i="15"/>
  <c r="H79" i="15"/>
  <c r="O116" i="15"/>
  <c r="P116" i="15"/>
  <c r="Z40" i="16"/>
  <c r="K53" i="32"/>
  <c r="O8" i="50"/>
  <c r="CK8" i="23"/>
  <c r="M8" i="32"/>
  <c r="CL8" i="23"/>
  <c r="BD8" i="31" s="1"/>
  <c r="AS16" i="60"/>
  <c r="L110" i="30"/>
  <c r="W110" i="30"/>
  <c r="AH110" i="30"/>
  <c r="CL13" i="23"/>
  <c r="BD13" i="31" s="1"/>
  <c r="Y12" i="34"/>
  <c r="AW12" i="34"/>
  <c r="AW45" i="34" s="1"/>
  <c r="AK12" i="34"/>
  <c r="CK13" i="23"/>
  <c r="CM13" i="23"/>
  <c r="BE13" i="31" s="1"/>
  <c r="AU13" i="23"/>
  <c r="AF40" i="9"/>
  <c r="AA40" i="9"/>
  <c r="H100" i="29"/>
  <c r="I100" i="29"/>
  <c r="L37" i="29"/>
  <c r="K37" i="29"/>
  <c r="M37" i="29"/>
  <c r="P135" i="29"/>
  <c r="B67" i="29"/>
  <c r="O135" i="29"/>
  <c r="N135" i="29"/>
  <c r="G100" i="29"/>
  <c r="Q29" i="23"/>
  <c r="BT29" i="23"/>
  <c r="AL29" i="31" s="1"/>
  <c r="G130" i="24"/>
  <c r="AN61" i="34"/>
  <c r="N14" i="31"/>
  <c r="M14" i="31"/>
  <c r="R73" i="24"/>
  <c r="I98" i="16"/>
  <c r="L35" i="16"/>
  <c r="K98" i="16"/>
  <c r="L98" i="16"/>
  <c r="B199" i="16"/>
  <c r="B229" i="16" s="1"/>
  <c r="K35" i="16"/>
  <c r="M35" i="16"/>
  <c r="B65" i="16"/>
  <c r="L35" i="32"/>
  <c r="AF8" i="15"/>
  <c r="CI29" i="23"/>
  <c r="BA29" i="31" s="1"/>
  <c r="AH63" i="30" s="1"/>
  <c r="AR12" i="60"/>
  <c r="K106" i="30"/>
  <c r="V106" i="30"/>
  <c r="AG106" i="30"/>
  <c r="E159" i="24"/>
  <c r="D159" i="24"/>
  <c r="B167" i="24"/>
  <c r="O67" i="24"/>
  <c r="K91" i="24"/>
  <c r="CM22" i="23"/>
  <c r="AR25" i="60"/>
  <c r="V119" i="30"/>
  <c r="AG119" i="30"/>
  <c r="K119" i="30"/>
  <c r="AF26" i="9"/>
  <c r="AA26" i="9"/>
  <c r="CM27" i="23"/>
  <c r="BE27" i="31" s="1"/>
  <c r="Y26" i="34"/>
  <c r="AR22" i="60"/>
  <c r="V116" i="30"/>
  <c r="AG116" i="30"/>
  <c r="K116" i="30"/>
  <c r="Z30" i="9"/>
  <c r="G44" i="32"/>
  <c r="D180" i="24"/>
  <c r="K54" i="43"/>
  <c r="H117" i="43"/>
  <c r="M54" i="43"/>
  <c r="G117" i="43"/>
  <c r="L54" i="43"/>
  <c r="I117" i="43"/>
  <c r="B84" i="43"/>
  <c r="P152" i="43"/>
  <c r="N152" i="43"/>
  <c r="N54" i="43"/>
  <c r="C71" i="56" s="1"/>
  <c r="O152" i="43"/>
  <c r="M14" i="50"/>
  <c r="H37" i="32"/>
  <c r="M37" i="32" s="1"/>
  <c r="Z11" i="25"/>
  <c r="AG28" i="34"/>
  <c r="AG61" i="34" s="1"/>
  <c r="BW29" i="23"/>
  <c r="AO29" i="31" s="1"/>
  <c r="AE63" i="30" s="1"/>
  <c r="CM24" i="23"/>
  <c r="BE24" i="31" s="1"/>
  <c r="AO23" i="60"/>
  <c r="H117" i="30"/>
  <c r="AD117" i="30"/>
  <c r="S117" i="30"/>
  <c r="M24" i="30"/>
  <c r="Z23" i="34" s="1"/>
  <c r="Z56" i="34" s="1"/>
  <c r="AF27" i="15"/>
  <c r="L54" i="32"/>
  <c r="B177" i="24"/>
  <c r="Z25" i="16"/>
  <c r="K38" i="32"/>
  <c r="C173" i="24"/>
  <c r="AF25" i="15"/>
  <c r="L52" i="32"/>
  <c r="M49" i="32"/>
  <c r="D194" i="12"/>
  <c r="Z15" i="25"/>
  <c r="H41" i="32"/>
  <c r="M41" i="32" s="1"/>
  <c r="R50" i="24"/>
  <c r="AF41" i="9"/>
  <c r="AA41" i="9"/>
  <c r="AP17" i="60"/>
  <c r="AE111" i="30"/>
  <c r="I111" i="30"/>
  <c r="T111" i="30"/>
  <c r="AU8" i="23"/>
  <c r="I108" i="29"/>
  <c r="B75" i="29"/>
  <c r="G108" i="29"/>
  <c r="M45" i="29"/>
  <c r="P143" i="29"/>
  <c r="H108" i="29"/>
  <c r="K45" i="29"/>
  <c r="L45" i="29"/>
  <c r="O143" i="29"/>
  <c r="N143" i="29"/>
  <c r="D10" i="51"/>
  <c r="T141" i="24"/>
  <c r="W141" i="24" s="1"/>
  <c r="Z141" i="24" s="1"/>
  <c r="D204" i="24" s="1"/>
  <c r="V141" i="24"/>
  <c r="AO19" i="60"/>
  <c r="AD113" i="30"/>
  <c r="H113" i="30"/>
  <c r="S113" i="30"/>
  <c r="M20" i="30"/>
  <c r="AL19" i="34" s="1"/>
  <c r="AL52" i="34" s="1"/>
  <c r="AA26" i="25"/>
  <c r="AF26" i="25"/>
  <c r="I116" i="25"/>
  <c r="H116" i="25"/>
  <c r="K53" i="25"/>
  <c r="G116" i="25"/>
  <c r="M53" i="25"/>
  <c r="L53" i="25"/>
  <c r="O151" i="25"/>
  <c r="B83" i="25"/>
  <c r="P151" i="25"/>
  <c r="N151" i="25"/>
  <c r="J45" i="32"/>
  <c r="Z27" i="29"/>
  <c r="AF27" i="9"/>
  <c r="AA27" i="9"/>
  <c r="K26" i="15"/>
  <c r="L26" i="15"/>
  <c r="M26" i="15"/>
  <c r="N95" i="15"/>
  <c r="G58" i="15"/>
  <c r="H58" i="15"/>
  <c r="I58" i="15"/>
  <c r="O95" i="15"/>
  <c r="P95" i="15"/>
  <c r="AU28" i="23"/>
  <c r="M15" i="31"/>
  <c r="N15" i="31"/>
  <c r="AP16" i="60"/>
  <c r="T110" i="30"/>
  <c r="AE110" i="30"/>
  <c r="I110" i="30"/>
  <c r="C180" i="24"/>
  <c r="D38" i="51"/>
  <c r="G113" i="25"/>
  <c r="H113" i="25"/>
  <c r="N148" i="25"/>
  <c r="I113" i="25"/>
  <c r="K50" i="25"/>
  <c r="L50" i="25"/>
  <c r="B80" i="25"/>
  <c r="M50" i="25"/>
  <c r="P148" i="25"/>
  <c r="O148" i="25"/>
  <c r="Z29" i="16"/>
  <c r="K42" i="32"/>
  <c r="I108" i="25"/>
  <c r="G108" i="25"/>
  <c r="B75" i="25"/>
  <c r="H108" i="25"/>
  <c r="M45" i="25"/>
  <c r="N143" i="25"/>
  <c r="O143" i="25"/>
  <c r="L45" i="25"/>
  <c r="K45" i="25"/>
  <c r="P143" i="25"/>
  <c r="AO9" i="60"/>
  <c r="H103" i="30"/>
  <c r="S103" i="30"/>
  <c r="AD103" i="30"/>
  <c r="M10" i="30"/>
  <c r="AX9" i="34" s="1"/>
  <c r="AK16" i="34"/>
  <c r="CK17" i="23"/>
  <c r="AW16" i="34"/>
  <c r="AW49" i="34" s="1"/>
  <c r="AU17" i="23"/>
  <c r="M16" i="34"/>
  <c r="CL17" i="23"/>
  <c r="BD17" i="31" s="1"/>
  <c r="R58" i="24"/>
  <c r="J49" i="32"/>
  <c r="P74" i="24"/>
  <c r="R74" i="24" s="1"/>
  <c r="C174" i="24"/>
  <c r="H66" i="15"/>
  <c r="M34" i="15"/>
  <c r="K34" i="15"/>
  <c r="N103" i="15"/>
  <c r="I66" i="15"/>
  <c r="G66" i="15"/>
  <c r="L34" i="15"/>
  <c r="O103" i="15"/>
  <c r="P103" i="15"/>
  <c r="M40" i="32"/>
  <c r="AP15" i="60"/>
  <c r="T109" i="30"/>
  <c r="AE109" i="30"/>
  <c r="I109" i="30"/>
  <c r="AS25" i="60"/>
  <c r="L119" i="30"/>
  <c r="W119" i="30"/>
  <c r="AH119" i="30"/>
  <c r="AP9" i="60"/>
  <c r="AE103" i="30"/>
  <c r="I103" i="30"/>
  <c r="T103" i="30"/>
  <c r="G97" i="43"/>
  <c r="K34" i="43"/>
  <c r="P132" i="43"/>
  <c r="O132" i="43"/>
  <c r="H97" i="43"/>
  <c r="I97" i="43"/>
  <c r="N132" i="43"/>
  <c r="B64" i="43"/>
  <c r="N34" i="43"/>
  <c r="C51" i="56" s="1"/>
  <c r="M34" i="43"/>
  <c r="L34" i="43"/>
  <c r="H67" i="15"/>
  <c r="L35" i="15"/>
  <c r="M35" i="15"/>
  <c r="K35" i="15"/>
  <c r="N104" i="15"/>
  <c r="I67" i="15"/>
  <c r="G67" i="15"/>
  <c r="O104" i="15"/>
  <c r="P104" i="15"/>
  <c r="AF18" i="25"/>
  <c r="AA18" i="25"/>
  <c r="H39" i="32"/>
  <c r="Z13" i="25"/>
  <c r="M33" i="16"/>
  <c r="L33" i="16"/>
  <c r="L96" i="16"/>
  <c r="I96" i="16"/>
  <c r="B197" i="16"/>
  <c r="B227" i="16" s="1"/>
  <c r="B63" i="16"/>
  <c r="K96" i="16"/>
  <c r="K33" i="16"/>
  <c r="L41" i="32"/>
  <c r="AF14" i="15"/>
  <c r="AO6" i="60"/>
  <c r="S100" i="30"/>
  <c r="AD100" i="30"/>
  <c r="H100" i="30"/>
  <c r="M7" i="30"/>
  <c r="AL6" i="34" s="1"/>
  <c r="AL39" i="34" s="1"/>
  <c r="N132" i="29"/>
  <c r="G97" i="29"/>
  <c r="H97" i="29"/>
  <c r="K34" i="29"/>
  <c r="O132" i="29"/>
  <c r="P132" i="29"/>
  <c r="I97" i="29"/>
  <c r="L34" i="29"/>
  <c r="B64" i="29"/>
  <c r="M34" i="29"/>
  <c r="I109" i="43"/>
  <c r="G109" i="43"/>
  <c r="H109" i="43"/>
  <c r="P144" i="43"/>
  <c r="N144" i="43"/>
  <c r="M46" i="43"/>
  <c r="L46" i="43"/>
  <c r="N46" i="43"/>
  <c r="C63" i="56" s="1"/>
  <c r="B76" i="43"/>
  <c r="O144" i="43"/>
  <c r="K46" i="43"/>
  <c r="P67" i="24"/>
  <c r="L91" i="24"/>
  <c r="C167" i="24"/>
  <c r="AR18" i="60"/>
  <c r="AG112" i="30"/>
  <c r="K112" i="30"/>
  <c r="V112" i="30"/>
  <c r="AP4" i="60"/>
  <c r="I98" i="30"/>
  <c r="T98" i="30"/>
  <c r="I29" i="30"/>
  <c r="I92" i="30" s="1"/>
  <c r="AE98" i="30"/>
  <c r="AO8" i="60"/>
  <c r="S102" i="30"/>
  <c r="AD102" i="30"/>
  <c r="H102" i="30"/>
  <c r="M9" i="30"/>
  <c r="Z8" i="34" s="1"/>
  <c r="Z41" i="34" s="1"/>
  <c r="AR21" i="60"/>
  <c r="V115" i="30"/>
  <c r="K115" i="30"/>
  <c r="AG115" i="30"/>
  <c r="J48" i="32"/>
  <c r="AQ5" i="60"/>
  <c r="U99" i="30"/>
  <c r="J99" i="30"/>
  <c r="AF99" i="30"/>
  <c r="D183" i="24"/>
  <c r="AR14" i="60"/>
  <c r="V108" i="30"/>
  <c r="AG108" i="30"/>
  <c r="K108" i="30"/>
  <c r="D40" i="51"/>
  <c r="P29" i="50"/>
  <c r="AR5" i="60"/>
  <c r="K99" i="30"/>
  <c r="V99" i="30"/>
  <c r="AG99" i="30"/>
  <c r="G116" i="29"/>
  <c r="H116" i="29"/>
  <c r="M53" i="29"/>
  <c r="I116" i="29"/>
  <c r="L53" i="29"/>
  <c r="B83" i="29"/>
  <c r="K53" i="29"/>
  <c r="O151" i="29"/>
  <c r="P151" i="29"/>
  <c r="N151" i="29"/>
  <c r="AF37" i="9"/>
  <c r="AA37" i="9"/>
  <c r="H28" i="34"/>
  <c r="H61" i="34" s="1"/>
  <c r="I49" i="32"/>
  <c r="Z30" i="43"/>
  <c r="N19" i="32"/>
  <c r="F35" i="20" s="1"/>
  <c r="M35" i="20" s="1"/>
  <c r="B172" i="24"/>
  <c r="G109" i="25"/>
  <c r="H109" i="25"/>
  <c r="I109" i="25"/>
  <c r="O144" i="25"/>
  <c r="N144" i="25"/>
  <c r="M46" i="25"/>
  <c r="K46" i="25"/>
  <c r="B76" i="25"/>
  <c r="L46" i="25"/>
  <c r="P144" i="25"/>
  <c r="F76" i="14"/>
  <c r="A230" i="12"/>
  <c r="N66" i="12"/>
  <c r="N65" i="12"/>
  <c r="AF23" i="9"/>
  <c r="AA23" i="9"/>
  <c r="L50" i="32"/>
  <c r="AF23" i="15"/>
  <c r="AR9" i="60"/>
  <c r="K103" i="30"/>
  <c r="AG103" i="30"/>
  <c r="V103" i="30"/>
  <c r="X28" i="34"/>
  <c r="X61" i="34" s="1"/>
  <c r="AS4" i="60"/>
  <c r="L98" i="30"/>
  <c r="L29" i="30"/>
  <c r="AH92" i="30" s="1"/>
  <c r="AH98" i="30"/>
  <c r="W98" i="30"/>
  <c r="K159" i="24"/>
  <c r="C159" i="24"/>
  <c r="W42" i="24"/>
  <c r="G124" i="24"/>
  <c r="F61" i="24"/>
  <c r="Z42" i="24" s="1"/>
  <c r="AA42" i="24" s="1"/>
  <c r="J61" i="24"/>
  <c r="AF17" i="15"/>
  <c r="L44" i="32"/>
  <c r="AW21" i="34"/>
  <c r="AW54" i="34" s="1"/>
  <c r="U22" i="50"/>
  <c r="O22" i="50"/>
  <c r="M28" i="32"/>
  <c r="AF31" i="15"/>
  <c r="L58" i="32"/>
  <c r="N27" i="31"/>
  <c r="M27" i="31"/>
  <c r="R45" i="24"/>
  <c r="Z28" i="16"/>
  <c r="K41" i="32"/>
  <c r="J32" i="47"/>
  <c r="I53" i="47"/>
  <c r="Z16" i="43"/>
  <c r="I35" i="32"/>
  <c r="N5" i="32"/>
  <c r="F21" i="20" s="1"/>
  <c r="BX29" i="23"/>
  <c r="AP29" i="31" s="1"/>
  <c r="CB29" i="23"/>
  <c r="AT29" i="31" s="1"/>
  <c r="CM9" i="23"/>
  <c r="BE9" i="31" s="1"/>
  <c r="M8" i="34"/>
  <c r="J58" i="32"/>
  <c r="I105" i="16"/>
  <c r="B206" i="16"/>
  <c r="B236" i="16" s="1"/>
  <c r="B72" i="16"/>
  <c r="L105" i="16"/>
  <c r="M42" i="16"/>
  <c r="L42" i="16"/>
  <c r="K42" i="16"/>
  <c r="K105" i="16"/>
  <c r="AU24" i="23"/>
  <c r="AS23" i="60"/>
  <c r="W117" i="30"/>
  <c r="AH117" i="30"/>
  <c r="L117" i="30"/>
  <c r="R47" i="24"/>
  <c r="M22" i="32"/>
  <c r="V144" i="12"/>
  <c r="Z144" i="12" s="1"/>
  <c r="AC144" i="12" s="1"/>
  <c r="D207" i="12" s="1"/>
  <c r="N9" i="32"/>
  <c r="F25" i="20" s="1"/>
  <c r="M25" i="20" s="1"/>
  <c r="Z20" i="43"/>
  <c r="I39" i="32"/>
  <c r="K51" i="32"/>
  <c r="Z38" i="16"/>
  <c r="M7" i="34"/>
  <c r="AK7" i="34"/>
  <c r="AQ16" i="60"/>
  <c r="U110" i="30"/>
  <c r="AF110" i="30"/>
  <c r="J110" i="30"/>
  <c r="P137" i="43"/>
  <c r="G102" i="43"/>
  <c r="N39" i="43"/>
  <c r="C56" i="56" s="1"/>
  <c r="I102" i="43"/>
  <c r="M39" i="43"/>
  <c r="B69" i="43"/>
  <c r="L39" i="43"/>
  <c r="O137" i="43"/>
  <c r="N137" i="43"/>
  <c r="H102" i="43"/>
  <c r="K39" i="43"/>
  <c r="M13" i="32"/>
  <c r="N20" i="31"/>
  <c r="M20" i="31"/>
  <c r="L39" i="25"/>
  <c r="M39" i="25"/>
  <c r="K39" i="25"/>
  <c r="O137" i="25"/>
  <c r="P137" i="25"/>
  <c r="H102" i="25"/>
  <c r="I102" i="25"/>
  <c r="B69" i="25"/>
  <c r="N137" i="25"/>
  <c r="G102" i="25"/>
  <c r="Q87" i="24"/>
  <c r="R87" i="24" s="1"/>
  <c r="D187" i="24"/>
  <c r="M6" i="31"/>
  <c r="N6" i="31"/>
  <c r="C184" i="24"/>
  <c r="AK24" i="34"/>
  <c r="M24" i="34"/>
  <c r="CM25" i="23"/>
  <c r="BE25" i="31" s="1"/>
  <c r="AU25" i="23"/>
  <c r="Y24" i="34"/>
  <c r="AO24" i="60"/>
  <c r="AD118" i="30"/>
  <c r="S118" i="30"/>
  <c r="H118" i="30"/>
  <c r="M25" i="30"/>
  <c r="AX24" i="34" s="1"/>
  <c r="Z24" i="29"/>
  <c r="J42" i="32"/>
  <c r="G29" i="50"/>
  <c r="E31" i="50" s="1"/>
  <c r="G29" i="32"/>
  <c r="H57" i="15"/>
  <c r="L25" i="15"/>
  <c r="N94" i="15"/>
  <c r="I57" i="15"/>
  <c r="M25" i="15"/>
  <c r="G57" i="15"/>
  <c r="K25" i="15"/>
  <c r="O94" i="15"/>
  <c r="P94" i="15"/>
  <c r="B77" i="25"/>
  <c r="K47" i="25"/>
  <c r="L47" i="25"/>
  <c r="G110" i="25"/>
  <c r="O145" i="25"/>
  <c r="H110" i="25"/>
  <c r="M47" i="25"/>
  <c r="I110" i="25"/>
  <c r="P145" i="25"/>
  <c r="N145" i="25"/>
  <c r="K44" i="43"/>
  <c r="H107" i="43"/>
  <c r="I107" i="43"/>
  <c r="O142" i="43"/>
  <c r="B74" i="43"/>
  <c r="N44" i="43"/>
  <c r="C61" i="56" s="1"/>
  <c r="M44" i="43"/>
  <c r="L44" i="43"/>
  <c r="N142" i="43"/>
  <c r="P142" i="43"/>
  <c r="G107" i="43"/>
  <c r="AO17" i="60"/>
  <c r="AD111" i="30"/>
  <c r="H111" i="30"/>
  <c r="S111" i="30"/>
  <c r="M18" i="30"/>
  <c r="Z17" i="34" s="1"/>
  <c r="Z50" i="34" s="1"/>
  <c r="K100" i="16"/>
  <c r="L100" i="16"/>
  <c r="B201" i="16"/>
  <c r="B231" i="16" s="1"/>
  <c r="L37" i="16"/>
  <c r="I100" i="16"/>
  <c r="B67" i="16"/>
  <c r="M37" i="16"/>
  <c r="K37" i="16"/>
  <c r="AU16" i="23"/>
  <c r="AW15" i="34"/>
  <c r="AW48" i="34" s="1"/>
  <c r="CM16" i="23"/>
  <c r="BE16" i="31" s="1"/>
  <c r="CL16" i="23"/>
  <c r="AK15" i="34"/>
  <c r="M16" i="32"/>
  <c r="Y15" i="34"/>
  <c r="L47" i="29"/>
  <c r="O145" i="29"/>
  <c r="P145" i="29"/>
  <c r="G110" i="29"/>
  <c r="H110" i="29"/>
  <c r="N145" i="29"/>
  <c r="B77" i="29"/>
  <c r="K47" i="29"/>
  <c r="M47" i="29"/>
  <c r="I110" i="29"/>
  <c r="Y42" i="24"/>
  <c r="I124" i="24"/>
  <c r="AF19" i="25"/>
  <c r="AA19" i="25"/>
  <c r="H100" i="25"/>
  <c r="O135" i="25"/>
  <c r="G100" i="25"/>
  <c r="B67" i="25"/>
  <c r="I100" i="25"/>
  <c r="L37" i="25"/>
  <c r="M37" i="25"/>
  <c r="K37" i="25"/>
  <c r="B61" i="25"/>
  <c r="B62" i="25" s="1"/>
  <c r="N135" i="25"/>
  <c r="P135" i="25"/>
  <c r="M38" i="32"/>
  <c r="M36" i="16"/>
  <c r="K36" i="16"/>
  <c r="K99" i="16"/>
  <c r="L99" i="16"/>
  <c r="B66" i="16"/>
  <c r="L36" i="16"/>
  <c r="B200" i="16"/>
  <c r="B230" i="16" s="1"/>
  <c r="I99" i="16"/>
  <c r="AS21" i="60"/>
  <c r="W115" i="30"/>
  <c r="AH115" i="30"/>
  <c r="L115" i="30"/>
  <c r="J54" i="32"/>
  <c r="AR15" i="60"/>
  <c r="V109" i="30"/>
  <c r="AG109" i="30"/>
  <c r="K109" i="30"/>
  <c r="H65" i="15"/>
  <c r="N102" i="15"/>
  <c r="I65" i="15"/>
  <c r="M33" i="15"/>
  <c r="K33" i="15"/>
  <c r="G65" i="15"/>
  <c r="L33" i="15"/>
  <c r="O102" i="15"/>
  <c r="P102" i="15"/>
  <c r="AF41" i="10"/>
  <c r="Q89" i="24"/>
  <c r="R89" i="24" s="1"/>
  <c r="D189" i="24"/>
  <c r="M48" i="32"/>
  <c r="AP22" i="60"/>
  <c r="AE116" i="30"/>
  <c r="I116" i="30"/>
  <c r="T116" i="30"/>
  <c r="N61" i="24"/>
  <c r="N62" i="24" s="1"/>
  <c r="D52" i="14"/>
  <c r="AO15" i="60"/>
  <c r="AD109" i="30"/>
  <c r="H109" i="30"/>
  <c r="S109" i="30"/>
  <c r="M16" i="30"/>
  <c r="AX15" i="34" s="1"/>
  <c r="AS15" i="60"/>
  <c r="AH109" i="30"/>
  <c r="L109" i="30"/>
  <c r="W109" i="30"/>
  <c r="AQ24" i="60"/>
  <c r="U118" i="30"/>
  <c r="AF118" i="30"/>
  <c r="J118" i="30"/>
  <c r="R64" i="12"/>
  <c r="BR29" i="23"/>
  <c r="AJ29" i="31" s="1"/>
  <c r="S63" i="30" s="1"/>
  <c r="D54" i="51"/>
  <c r="Y46" i="34"/>
  <c r="E193" i="12"/>
  <c r="E224" i="12" s="1"/>
  <c r="F224" i="12" s="1"/>
  <c r="CJ29" i="23"/>
  <c r="BB29" i="31" s="1"/>
  <c r="L29" i="31"/>
  <c r="B202" i="16"/>
  <c r="B232" i="16" s="1"/>
  <c r="I101" i="16"/>
  <c r="B68" i="16"/>
  <c r="K38" i="16"/>
  <c r="L101" i="16"/>
  <c r="K101" i="16"/>
  <c r="L38" i="16"/>
  <c r="M38" i="16"/>
  <c r="G159" i="24"/>
  <c r="M35" i="32"/>
  <c r="K49" i="32"/>
  <c r="Z36" i="16"/>
  <c r="AK54" i="34"/>
  <c r="AO21" i="60"/>
  <c r="H115" i="30"/>
  <c r="S115" i="30"/>
  <c r="AD115" i="30"/>
  <c r="M22" i="30"/>
  <c r="Z21" i="34" s="1"/>
  <c r="Z54" i="34" s="1"/>
  <c r="O84" i="24"/>
  <c r="R84" i="24" s="1"/>
  <c r="B184" i="24"/>
  <c r="I55" i="32"/>
  <c r="N25" i="32"/>
  <c r="F41" i="20" s="1"/>
  <c r="M41" i="20" s="1"/>
  <c r="Z36" i="43"/>
  <c r="AF36" i="43" s="1"/>
  <c r="AW26" i="34"/>
  <c r="AW59" i="34" s="1"/>
  <c r="O27" i="50"/>
  <c r="M27" i="32"/>
  <c r="AO26" i="60"/>
  <c r="S120" i="30"/>
  <c r="H120" i="30"/>
  <c r="AD120" i="30"/>
  <c r="M27" i="30"/>
  <c r="Z26" i="34" s="1"/>
  <c r="Z59" i="34" s="1"/>
  <c r="S141" i="12"/>
  <c r="S162" i="12" s="1"/>
  <c r="V162" i="12" s="1"/>
  <c r="Z162" i="12" s="1"/>
  <c r="AC162" i="12" s="1"/>
  <c r="AD162" i="12" s="1"/>
  <c r="R162" i="12"/>
  <c r="E183" i="12"/>
  <c r="E214" i="12" s="1"/>
  <c r="V144" i="24"/>
  <c r="D13" i="51"/>
  <c r="T144" i="24"/>
  <c r="W144" i="24" s="1"/>
  <c r="Z144" i="24" s="1"/>
  <c r="D207" i="24" s="1"/>
  <c r="AQ29" i="23"/>
  <c r="AU9" i="23"/>
  <c r="Z25" i="25"/>
  <c r="H51" i="32"/>
  <c r="CK24" i="23"/>
  <c r="M23" i="34"/>
  <c r="K52" i="32"/>
  <c r="Z39" i="16"/>
  <c r="AR7" i="60"/>
  <c r="K101" i="30"/>
  <c r="V101" i="30"/>
  <c r="AG101" i="30"/>
  <c r="AF32" i="3"/>
  <c r="AA32" i="3"/>
  <c r="J44" i="32"/>
  <c r="Z26" i="29"/>
  <c r="K109" i="16"/>
  <c r="B210" i="16"/>
  <c r="B240" i="16" s="1"/>
  <c r="L46" i="16"/>
  <c r="I109" i="16"/>
  <c r="B76" i="16"/>
  <c r="K46" i="16"/>
  <c r="L109" i="16"/>
  <c r="M46" i="16"/>
  <c r="Q79" i="24"/>
  <c r="R79" i="24" s="1"/>
  <c r="D179" i="24"/>
  <c r="AF31" i="9"/>
  <c r="AA31" i="9"/>
  <c r="I115" i="25"/>
  <c r="L52" i="25"/>
  <c r="O150" i="25"/>
  <c r="N150" i="25"/>
  <c r="K52" i="25"/>
  <c r="M52" i="25"/>
  <c r="G115" i="25"/>
  <c r="B82" i="25"/>
  <c r="H115" i="25"/>
  <c r="P150" i="25"/>
  <c r="M7" i="31"/>
  <c r="N7" i="31"/>
  <c r="AF33" i="9"/>
  <c r="AA33" i="9"/>
  <c r="K29" i="32"/>
  <c r="S29" i="50"/>
  <c r="AI28" i="34"/>
  <c r="AI61" i="34" s="1"/>
  <c r="Z24" i="16"/>
  <c r="K37" i="32"/>
  <c r="O9" i="50"/>
  <c r="M9" i="50"/>
  <c r="R55" i="24"/>
  <c r="AF34" i="9"/>
  <c r="AA34" i="9"/>
  <c r="C189" i="24"/>
  <c r="N8" i="32"/>
  <c r="F24" i="20" s="1"/>
  <c r="M24" i="20" s="1"/>
  <c r="Z19" i="43"/>
  <c r="I38" i="32"/>
  <c r="Z30" i="3"/>
  <c r="E33" i="20"/>
  <c r="L33" i="20" s="1"/>
  <c r="C47" i="32"/>
  <c r="R52" i="24"/>
  <c r="C179" i="24"/>
  <c r="M12" i="34"/>
  <c r="H105" i="25"/>
  <c r="G105" i="25"/>
  <c r="I105" i="25"/>
  <c r="O140" i="25"/>
  <c r="N140" i="25"/>
  <c r="B72" i="25"/>
  <c r="K42" i="25"/>
  <c r="L42" i="25"/>
  <c r="M42" i="25"/>
  <c r="P140" i="25"/>
  <c r="M17" i="31"/>
  <c r="N17" i="31"/>
  <c r="I97" i="16"/>
  <c r="B198" i="16"/>
  <c r="B228" i="16" s="1"/>
  <c r="L97" i="16"/>
  <c r="M34" i="16"/>
  <c r="K34" i="16"/>
  <c r="K97" i="16"/>
  <c r="L34" i="16"/>
  <c r="B64" i="16"/>
  <c r="E180" i="12"/>
  <c r="E211" i="12" s="1"/>
  <c r="F211" i="12" s="1"/>
  <c r="B173" i="24"/>
  <c r="AS18" i="60"/>
  <c r="L112" i="30"/>
  <c r="W112" i="30"/>
  <c r="AH112" i="30"/>
  <c r="D190" i="24"/>
  <c r="T138" i="24"/>
  <c r="W138" i="24" s="1"/>
  <c r="Z138" i="24" s="1"/>
  <c r="D201" i="24" s="1"/>
  <c r="D7" i="51"/>
  <c r="V138" i="24"/>
  <c r="D51" i="51"/>
  <c r="F215" i="12"/>
  <c r="AQ13" i="60"/>
  <c r="AF107" i="30"/>
  <c r="J107" i="30"/>
  <c r="U107" i="30"/>
  <c r="AP8" i="60"/>
  <c r="I102" i="30"/>
  <c r="T102" i="30"/>
  <c r="AE102" i="30"/>
  <c r="AR20" i="60"/>
  <c r="V114" i="30"/>
  <c r="AG114" i="30"/>
  <c r="K114" i="30"/>
  <c r="Z42" i="16"/>
  <c r="K55" i="32"/>
  <c r="X145" i="12"/>
  <c r="V145" i="12"/>
  <c r="Z145" i="12" s="1"/>
  <c r="AC145" i="12" s="1"/>
  <c r="D208" i="12" s="1"/>
  <c r="AF31" i="3"/>
  <c r="AA31" i="3"/>
  <c r="AQ23" i="60"/>
  <c r="AF117" i="30"/>
  <c r="J117" i="30"/>
  <c r="U117" i="30"/>
  <c r="C201" i="12"/>
  <c r="C225" i="12" s="1"/>
  <c r="N127" i="12"/>
  <c r="Z33" i="43"/>
  <c r="AF33" i="43" s="1"/>
  <c r="N22" i="32"/>
  <c r="F38" i="20" s="1"/>
  <c r="M38" i="20" s="1"/>
  <c r="I52" i="32"/>
  <c r="D56" i="51"/>
  <c r="C188" i="24"/>
  <c r="K54" i="32"/>
  <c r="Z41" i="16"/>
  <c r="Y19" i="34"/>
  <c r="U20" i="50"/>
  <c r="J43" i="32"/>
  <c r="Z25" i="29"/>
  <c r="M6" i="34"/>
  <c r="AF42" i="9"/>
  <c r="AA42" i="9"/>
  <c r="C194" i="12"/>
  <c r="H101" i="25"/>
  <c r="I101" i="25"/>
  <c r="B68" i="25"/>
  <c r="P136" i="25"/>
  <c r="O136" i="25"/>
  <c r="N136" i="25"/>
  <c r="G101" i="25"/>
  <c r="L38" i="25"/>
  <c r="M38" i="25"/>
  <c r="K38" i="25"/>
  <c r="Y10" i="34"/>
  <c r="M43" i="25"/>
  <c r="G106" i="25"/>
  <c r="K43" i="25"/>
  <c r="H106" i="25"/>
  <c r="B73" i="25"/>
  <c r="I106" i="25"/>
  <c r="L43" i="25"/>
  <c r="O141" i="25"/>
  <c r="P141" i="25"/>
  <c r="N141" i="25"/>
  <c r="K29" i="31"/>
  <c r="M20" i="34"/>
  <c r="I56" i="32"/>
  <c r="Z37" i="43"/>
  <c r="AF37" i="43" s="1"/>
  <c r="N26" i="32"/>
  <c r="F42" i="20" s="1"/>
  <c r="M42" i="20" s="1"/>
  <c r="K43" i="29"/>
  <c r="G106" i="29"/>
  <c r="L43" i="29"/>
  <c r="H106" i="29"/>
  <c r="B73" i="29"/>
  <c r="P141" i="29"/>
  <c r="I106" i="29"/>
  <c r="M43" i="29"/>
  <c r="N141" i="29"/>
  <c r="O141" i="29"/>
  <c r="R60" i="24"/>
  <c r="H113" i="43"/>
  <c r="I113" i="43"/>
  <c r="N148" i="43"/>
  <c r="L50" i="43"/>
  <c r="G113" i="43"/>
  <c r="N50" i="43"/>
  <c r="C67" i="56" s="1"/>
  <c r="K50" i="43"/>
  <c r="B80" i="43"/>
  <c r="M50" i="43"/>
  <c r="P148" i="43"/>
  <c r="O148" i="43"/>
  <c r="R51" i="24"/>
  <c r="AF37" i="3"/>
  <c r="AA37" i="3"/>
  <c r="L37" i="32"/>
  <c r="AF10" i="15"/>
  <c r="AF30" i="15"/>
  <c r="L57" i="32"/>
  <c r="I117" i="29"/>
  <c r="L54" i="29"/>
  <c r="G117" i="29"/>
  <c r="B84" i="29"/>
  <c r="H117" i="29"/>
  <c r="M54" i="29"/>
  <c r="P152" i="29"/>
  <c r="K54" i="29"/>
  <c r="O152" i="29"/>
  <c r="N152" i="29"/>
  <c r="O17" i="50"/>
  <c r="M17" i="50"/>
  <c r="D14" i="51"/>
  <c r="T145" i="24"/>
  <c r="W145" i="24" s="1"/>
  <c r="Z145" i="24" s="1"/>
  <c r="D208" i="24" s="1"/>
  <c r="V145" i="24"/>
  <c r="E171" i="12"/>
  <c r="E202" i="12" s="1"/>
  <c r="F202" i="12" s="1"/>
  <c r="O24" i="32"/>
  <c r="AU18" i="23"/>
  <c r="CM18" i="23"/>
  <c r="BE18" i="31" s="1"/>
  <c r="Z20" i="25"/>
  <c r="H46" i="32"/>
  <c r="M46" i="32" s="1"/>
  <c r="AU10" i="23"/>
  <c r="AS8" i="60"/>
  <c r="L102" i="30"/>
  <c r="W102" i="30"/>
  <c r="AH102" i="30"/>
  <c r="K39" i="32"/>
  <c r="Z26" i="16"/>
  <c r="AF24" i="9"/>
  <c r="AA24" i="9"/>
  <c r="I50" i="32"/>
  <c r="Z31" i="43"/>
  <c r="N20" i="32"/>
  <c r="F36" i="20" s="1"/>
  <c r="M36" i="20" s="1"/>
  <c r="E192" i="12"/>
  <c r="E223" i="12" s="1"/>
  <c r="R82" i="24"/>
  <c r="Z23" i="29"/>
  <c r="J41" i="32"/>
  <c r="R43" i="24"/>
  <c r="Z16" i="25"/>
  <c r="H42" i="32"/>
  <c r="M42" i="32" s="1"/>
  <c r="D33" i="51"/>
  <c r="AF18" i="15"/>
  <c r="L45" i="32"/>
  <c r="I106" i="43"/>
  <c r="H106" i="43"/>
  <c r="M43" i="43"/>
  <c r="N43" i="43"/>
  <c r="C60" i="56" s="1"/>
  <c r="B73" i="43"/>
  <c r="P141" i="43"/>
  <c r="L43" i="43"/>
  <c r="K43" i="43"/>
  <c r="O141" i="43"/>
  <c r="N141" i="43"/>
  <c r="G106" i="43"/>
  <c r="L37" i="15"/>
  <c r="I69" i="15"/>
  <c r="N106" i="15"/>
  <c r="G69" i="15"/>
  <c r="H69" i="15"/>
  <c r="K37" i="15"/>
  <c r="M37" i="15"/>
  <c r="O106" i="15"/>
  <c r="P106" i="15"/>
  <c r="L43" i="32"/>
  <c r="AF16" i="15"/>
  <c r="K124" i="24"/>
  <c r="AF40" i="3"/>
  <c r="AA40" i="3"/>
  <c r="R41" i="24"/>
  <c r="P61" i="24"/>
  <c r="Y18" i="34"/>
  <c r="K52" i="16"/>
  <c r="B82" i="16"/>
  <c r="L52" i="16"/>
  <c r="K115" i="16"/>
  <c r="B216" i="16"/>
  <c r="B246" i="16" s="1"/>
  <c r="I115" i="16"/>
  <c r="M52" i="16"/>
  <c r="L115" i="16"/>
  <c r="F28" i="51"/>
  <c r="Z45" i="16"/>
  <c r="K58" i="32"/>
  <c r="AS24" i="60"/>
  <c r="AH118" i="30"/>
  <c r="L118" i="30"/>
  <c r="W118" i="30"/>
  <c r="AP14" i="60"/>
  <c r="T108" i="30"/>
  <c r="AE108" i="30"/>
  <c r="I108" i="30"/>
  <c r="D47" i="51"/>
  <c r="AF31" i="25"/>
  <c r="AA31" i="25"/>
  <c r="D4" i="51"/>
  <c r="T135" i="24"/>
  <c r="W135" i="24" s="1"/>
  <c r="Z135" i="24" s="1"/>
  <c r="D198" i="24" s="1"/>
  <c r="V135" i="24"/>
  <c r="Z35" i="16"/>
  <c r="K48" i="32"/>
  <c r="D50" i="51"/>
  <c r="AK43" i="34"/>
  <c r="AO10" i="60"/>
  <c r="H104" i="30"/>
  <c r="S104" i="30"/>
  <c r="AD104" i="30"/>
  <c r="M11" i="30"/>
  <c r="AX10" i="34" s="1"/>
  <c r="I93" i="16"/>
  <c r="L93" i="16"/>
  <c r="M30" i="16"/>
  <c r="B60" i="16"/>
  <c r="B54" i="16"/>
  <c r="D54" i="16" s="1"/>
  <c r="H54" i="16" s="1"/>
  <c r="L30" i="16"/>
  <c r="K30" i="16"/>
  <c r="B194" i="16"/>
  <c r="K93" i="16"/>
  <c r="M9" i="32"/>
  <c r="I113" i="29"/>
  <c r="B80" i="29"/>
  <c r="P148" i="29"/>
  <c r="O148" i="29"/>
  <c r="N148" i="29"/>
  <c r="K50" i="29"/>
  <c r="L50" i="29"/>
  <c r="G113" i="29"/>
  <c r="M50" i="29"/>
  <c r="H113" i="29"/>
  <c r="J38" i="32"/>
  <c r="Z20" i="29"/>
  <c r="AQ14" i="60"/>
  <c r="J108" i="30"/>
  <c r="U108" i="30"/>
  <c r="AF108" i="30"/>
  <c r="AO25" i="60"/>
  <c r="S119" i="30"/>
  <c r="H119" i="30"/>
  <c r="AD119" i="30"/>
  <c r="M26" i="30"/>
  <c r="N25" i="31"/>
  <c r="M25" i="31"/>
  <c r="I68" i="15"/>
  <c r="H68" i="15"/>
  <c r="N105" i="15"/>
  <c r="K36" i="15"/>
  <c r="L36" i="15"/>
  <c r="G68" i="15"/>
  <c r="M36" i="15"/>
  <c r="O105" i="15"/>
  <c r="P105" i="15"/>
  <c r="AS6" i="60"/>
  <c r="L100" i="30"/>
  <c r="W100" i="30"/>
  <c r="AH100" i="30"/>
  <c r="L36" i="32"/>
  <c r="AF9" i="15"/>
  <c r="AS26" i="60"/>
  <c r="AH120" i="30"/>
  <c r="W120" i="30"/>
  <c r="L120" i="30"/>
  <c r="AQ25" i="60"/>
  <c r="J119" i="30"/>
  <c r="U119" i="30"/>
  <c r="AF119" i="30"/>
  <c r="M17" i="32"/>
  <c r="L51" i="32"/>
  <c r="AF24" i="15"/>
  <c r="AP23" i="60"/>
  <c r="I117" i="30"/>
  <c r="T117" i="30"/>
  <c r="AE117" i="30"/>
  <c r="AW17" i="34"/>
  <c r="AW50" i="34" s="1"/>
  <c r="M51" i="29"/>
  <c r="K51" i="29"/>
  <c r="O149" i="29"/>
  <c r="G114" i="29"/>
  <c r="N149" i="29"/>
  <c r="B81" i="29"/>
  <c r="P149" i="29"/>
  <c r="L51" i="29"/>
  <c r="H114" i="29"/>
  <c r="I114" i="29"/>
  <c r="E173" i="12"/>
  <c r="E204" i="12" s="1"/>
  <c r="AF44" i="9"/>
  <c r="AA44" i="9"/>
  <c r="Y9" i="34"/>
  <c r="AO16" i="60"/>
  <c r="S110" i="30"/>
  <c r="AD110" i="30"/>
  <c r="H110" i="30"/>
  <c r="M17" i="30"/>
  <c r="Z16" i="34" s="1"/>
  <c r="Z49" i="34" s="1"/>
  <c r="K28" i="15"/>
  <c r="N97" i="15"/>
  <c r="L28" i="15"/>
  <c r="G60" i="15"/>
  <c r="M28" i="15"/>
  <c r="H60" i="15"/>
  <c r="I60" i="15"/>
  <c r="O97" i="15"/>
  <c r="P97" i="15"/>
  <c r="D41" i="51"/>
  <c r="Z39" i="43"/>
  <c r="AF39" i="43" s="1"/>
  <c r="N28" i="32"/>
  <c r="F44" i="20" s="1"/>
  <c r="M44" i="20" s="1"/>
  <c r="I58" i="32"/>
  <c r="D16" i="51"/>
  <c r="T147" i="24"/>
  <c r="W147" i="24" s="1"/>
  <c r="Z147" i="24" s="1"/>
  <c r="D210" i="24" s="1"/>
  <c r="V147" i="24"/>
  <c r="R86" i="24"/>
  <c r="AF21" i="9"/>
  <c r="AA21" i="9"/>
  <c r="O25" i="50"/>
  <c r="M25" i="50"/>
  <c r="AF36" i="9"/>
  <c r="AA36" i="9"/>
  <c r="AA17" i="25"/>
  <c r="AF17" i="25"/>
  <c r="Z31" i="16"/>
  <c r="K44" i="32"/>
  <c r="J124" i="24"/>
  <c r="AF26" i="3"/>
  <c r="AA26" i="3"/>
  <c r="AO22" i="60"/>
  <c r="H116" i="30"/>
  <c r="S116" i="30"/>
  <c r="AD116" i="30"/>
  <c r="M23" i="30"/>
  <c r="AL22" i="34" s="1"/>
  <c r="AL55" i="34" s="1"/>
  <c r="J29" i="32"/>
  <c r="R29" i="50"/>
  <c r="CL19" i="23"/>
  <c r="BD19" i="31" s="1"/>
  <c r="I51" i="32"/>
  <c r="Z32" i="43"/>
  <c r="N21" i="32"/>
  <c r="F37" i="20" s="1"/>
  <c r="M37" i="20" s="1"/>
  <c r="AQ9" i="60"/>
  <c r="AF103" i="30"/>
  <c r="J103" i="30"/>
  <c r="U103" i="30"/>
  <c r="AR26" i="60"/>
  <c r="V120" i="30"/>
  <c r="AG120" i="30"/>
  <c r="K120" i="30"/>
  <c r="AW11" i="34"/>
  <c r="AW44" i="34" s="1"/>
  <c r="U12" i="50"/>
  <c r="L40" i="32"/>
  <c r="AF13" i="15"/>
  <c r="I98" i="29"/>
  <c r="L35" i="29"/>
  <c r="M35" i="29"/>
  <c r="B65" i="29"/>
  <c r="K35" i="29"/>
  <c r="P133" i="29"/>
  <c r="N133" i="29"/>
  <c r="O133" i="29"/>
  <c r="H98" i="29"/>
  <c r="G98" i="29"/>
  <c r="F4" i="53"/>
  <c r="AR27" i="60"/>
  <c r="AG121" i="30"/>
  <c r="K121" i="30"/>
  <c r="V121" i="30"/>
  <c r="L44" i="15"/>
  <c r="I76" i="15"/>
  <c r="N113" i="15"/>
  <c r="M44" i="15"/>
  <c r="G76" i="15"/>
  <c r="K44" i="15"/>
  <c r="H76" i="15"/>
  <c r="O113" i="15"/>
  <c r="P113" i="15"/>
  <c r="AA30" i="25"/>
  <c r="AF30" i="25"/>
  <c r="AP19" i="60"/>
  <c r="T113" i="30"/>
  <c r="I113" i="30"/>
  <c r="AE113" i="30"/>
  <c r="G102" i="29"/>
  <c r="B69" i="29"/>
  <c r="H102" i="29"/>
  <c r="I102" i="29"/>
  <c r="N137" i="29"/>
  <c r="M39" i="29"/>
  <c r="K39" i="29"/>
  <c r="L39" i="29"/>
  <c r="P137" i="29"/>
  <c r="O137" i="29"/>
  <c r="AF19" i="3"/>
  <c r="AA19" i="3"/>
  <c r="AF25" i="9"/>
  <c r="AA25" i="9"/>
  <c r="M25" i="32"/>
  <c r="AS14" i="60"/>
  <c r="L108" i="30"/>
  <c r="W108" i="30"/>
  <c r="AH108" i="30"/>
  <c r="I40" i="32"/>
  <c r="N10" i="32"/>
  <c r="F26" i="20" s="1"/>
  <c r="M26" i="20" s="1"/>
  <c r="Z21" i="43"/>
  <c r="D37" i="51"/>
  <c r="L124" i="24"/>
  <c r="J51" i="32"/>
  <c r="M23" i="31"/>
  <c r="N23" i="31"/>
  <c r="G96" i="29"/>
  <c r="B63" i="29"/>
  <c r="H96" i="29"/>
  <c r="B57" i="29"/>
  <c r="B58" i="29" s="1"/>
  <c r="M33" i="29"/>
  <c r="K33" i="29"/>
  <c r="L33" i="29"/>
  <c r="O131" i="29"/>
  <c r="N131" i="29"/>
  <c r="I96" i="29"/>
  <c r="P131" i="29"/>
  <c r="I101" i="29"/>
  <c r="G101" i="29"/>
  <c r="N136" i="29"/>
  <c r="K38" i="29"/>
  <c r="L38" i="29"/>
  <c r="B68" i="29"/>
  <c r="H101" i="29"/>
  <c r="P136" i="29"/>
  <c r="M38" i="29"/>
  <c r="O136" i="29"/>
  <c r="J46" i="32"/>
  <c r="Z28" i="29"/>
  <c r="CK12" i="23"/>
  <c r="AS9" i="60"/>
  <c r="AH103" i="30"/>
  <c r="L103" i="30"/>
  <c r="W103" i="30"/>
  <c r="AQ6" i="60"/>
  <c r="J100" i="30"/>
  <c r="U100" i="30"/>
  <c r="AF100" i="30"/>
  <c r="AF11" i="15"/>
  <c r="L38" i="32"/>
  <c r="O138" i="25"/>
  <c r="N138" i="25"/>
  <c r="M40" i="25"/>
  <c r="B70" i="25"/>
  <c r="I103" i="25"/>
  <c r="G103" i="25"/>
  <c r="L40" i="25"/>
  <c r="K40" i="25"/>
  <c r="P138" i="25"/>
  <c r="H103" i="25"/>
  <c r="AF22" i="25"/>
  <c r="AA22" i="25"/>
  <c r="AP11" i="60"/>
  <c r="T105" i="30"/>
  <c r="I105" i="30"/>
  <c r="AE105" i="30"/>
  <c r="AP21" i="60"/>
  <c r="AE115" i="30"/>
  <c r="I115" i="30"/>
  <c r="T115" i="30"/>
  <c r="AF33" i="3"/>
  <c r="AA33" i="3"/>
  <c r="AF34" i="3"/>
  <c r="AA34" i="3"/>
  <c r="AR23" i="60"/>
  <c r="V117" i="30"/>
  <c r="AG117" i="30"/>
  <c r="K117" i="30"/>
  <c r="AQ12" i="60"/>
  <c r="J106" i="30"/>
  <c r="AF106" i="30"/>
  <c r="U106" i="30"/>
  <c r="R71" i="24"/>
  <c r="Q61" i="24"/>
  <c r="AR17" i="60"/>
  <c r="V111" i="30"/>
  <c r="AG111" i="30"/>
  <c r="K111" i="30"/>
  <c r="Z22" i="16"/>
  <c r="K35" i="32"/>
  <c r="AR4" i="60"/>
  <c r="V98" i="30"/>
  <c r="K98" i="30"/>
  <c r="K29" i="30"/>
  <c r="AG92" i="30" s="1"/>
  <c r="AG98" i="30"/>
  <c r="Z22" i="3"/>
  <c r="E25" i="20"/>
  <c r="L25" i="20" s="1"/>
  <c r="C39" i="32"/>
  <c r="J36" i="32"/>
  <c r="Z18" i="29"/>
  <c r="R39" i="24"/>
  <c r="M31" i="15"/>
  <c r="N100" i="15"/>
  <c r="K31" i="15"/>
  <c r="L31" i="15"/>
  <c r="H63" i="15"/>
  <c r="G63" i="15"/>
  <c r="I63" i="15"/>
  <c r="O100" i="15"/>
  <c r="P100" i="15"/>
  <c r="I116" i="43"/>
  <c r="G116" i="43"/>
  <c r="H116" i="43"/>
  <c r="N151" i="43"/>
  <c r="L53" i="43"/>
  <c r="K53" i="43"/>
  <c r="N53" i="43"/>
  <c r="C70" i="56" s="1"/>
  <c r="B83" i="43"/>
  <c r="M53" i="43"/>
  <c r="O151" i="43"/>
  <c r="P151" i="43"/>
  <c r="AF43" i="9"/>
  <c r="AA43" i="9"/>
  <c r="Z22" i="43"/>
  <c r="N11" i="32"/>
  <c r="F27" i="20" s="1"/>
  <c r="M27" i="20" s="1"/>
  <c r="I41" i="32"/>
  <c r="G121" i="25"/>
  <c r="I121" i="25"/>
  <c r="O156" i="25"/>
  <c r="N156" i="25"/>
  <c r="H121" i="25"/>
  <c r="B88" i="25"/>
  <c r="M58" i="25"/>
  <c r="K58" i="25"/>
  <c r="L58" i="25"/>
  <c r="P156" i="25"/>
  <c r="G120" i="25"/>
  <c r="N155" i="25"/>
  <c r="M57" i="25"/>
  <c r="L57" i="25"/>
  <c r="K57" i="25"/>
  <c r="H120" i="25"/>
  <c r="B87" i="25"/>
  <c r="I120" i="25"/>
  <c r="P155" i="25"/>
  <c r="O155" i="25"/>
  <c r="H103" i="29"/>
  <c r="O138" i="29"/>
  <c r="I103" i="29"/>
  <c r="N138" i="29"/>
  <c r="B70" i="29"/>
  <c r="M40" i="29"/>
  <c r="G103" i="29"/>
  <c r="K40" i="29"/>
  <c r="L40" i="29"/>
  <c r="P138" i="29"/>
  <c r="AS5" i="60"/>
  <c r="L99" i="30"/>
  <c r="W99" i="30"/>
  <c r="AH99" i="30"/>
  <c r="Z32" i="16"/>
  <c r="K45" i="32"/>
  <c r="G36" i="32"/>
  <c r="M36" i="32" s="1"/>
  <c r="Z22" i="9"/>
  <c r="CL15" i="23"/>
  <c r="BD15" i="31" s="1"/>
  <c r="AW14" i="34"/>
  <c r="AW47" i="34" s="1"/>
  <c r="H114" i="43"/>
  <c r="I114" i="43"/>
  <c r="B81" i="43"/>
  <c r="M51" i="43"/>
  <c r="G114" i="43"/>
  <c r="O149" i="43"/>
  <c r="P149" i="43"/>
  <c r="N149" i="43"/>
  <c r="K51" i="43"/>
  <c r="N51" i="43"/>
  <c r="C68" i="56" s="1"/>
  <c r="L51" i="43"/>
  <c r="M18" i="31"/>
  <c r="N18" i="31"/>
  <c r="CK10" i="23"/>
  <c r="N10" i="31"/>
  <c r="M10" i="31"/>
  <c r="B79" i="25"/>
  <c r="G112" i="25"/>
  <c r="M49" i="25"/>
  <c r="H112" i="25"/>
  <c r="P147" i="25"/>
  <c r="I112" i="25"/>
  <c r="O147" i="25"/>
  <c r="N147" i="25"/>
  <c r="L49" i="25"/>
  <c r="K49" i="25"/>
  <c r="J50" i="32"/>
  <c r="AR8" i="60"/>
  <c r="K102" i="30"/>
  <c r="V102" i="30"/>
  <c r="AG102" i="30"/>
  <c r="V139" i="24"/>
  <c r="D8" i="51"/>
  <c r="T139" i="24"/>
  <c r="W139" i="24" s="1"/>
  <c r="Z139" i="24" s="1"/>
  <c r="D202" i="24" s="1"/>
  <c r="M55" i="43"/>
  <c r="N55" i="43"/>
  <c r="C72" i="56" s="1"/>
  <c r="L55" i="43"/>
  <c r="K55" i="43"/>
  <c r="B85" i="43"/>
  <c r="N153" i="43"/>
  <c r="G118" i="43"/>
  <c r="H118" i="43"/>
  <c r="P153" i="43"/>
  <c r="I118" i="43"/>
  <c r="O153" i="43"/>
  <c r="M16" i="31"/>
  <c r="N16" i="31"/>
  <c r="B187" i="24"/>
  <c r="AQ10" i="60"/>
  <c r="U104" i="30"/>
  <c r="J104" i="30"/>
  <c r="AF104" i="30"/>
  <c r="AF22" i="15"/>
  <c r="L49" i="32"/>
  <c r="E41" i="20"/>
  <c r="L41" i="20" s="1"/>
  <c r="Z38" i="3"/>
  <c r="C55" i="32"/>
  <c r="L56" i="32"/>
  <c r="AF29" i="15"/>
  <c r="X138" i="12"/>
  <c r="Z18" i="43"/>
  <c r="N7" i="32"/>
  <c r="F23" i="20" s="1"/>
  <c r="M23" i="20" s="1"/>
  <c r="I37" i="32"/>
  <c r="B203" i="16"/>
  <c r="B233" i="16" s="1"/>
  <c r="I102" i="16"/>
  <c r="M39" i="16"/>
  <c r="K39" i="16"/>
  <c r="B69" i="16"/>
  <c r="L39" i="16"/>
  <c r="K102" i="16"/>
  <c r="L102" i="16"/>
  <c r="O94" i="12"/>
  <c r="R70" i="12"/>
  <c r="AS12" i="60"/>
  <c r="W106" i="30"/>
  <c r="L106" i="30"/>
  <c r="AH106" i="30"/>
  <c r="M124" i="24"/>
  <c r="J57" i="32"/>
  <c r="G112" i="29"/>
  <c r="M49" i="29"/>
  <c r="L49" i="29"/>
  <c r="P147" i="29"/>
  <c r="H112" i="29"/>
  <c r="O147" i="29"/>
  <c r="I112" i="29"/>
  <c r="B79" i="29"/>
  <c r="K49" i="29"/>
  <c r="N147" i="29"/>
  <c r="AF24" i="3"/>
  <c r="AA24" i="3"/>
  <c r="G118" i="25"/>
  <c r="H118" i="25"/>
  <c r="K55" i="25"/>
  <c r="N153" i="25"/>
  <c r="B85" i="25"/>
  <c r="M55" i="25"/>
  <c r="P153" i="25"/>
  <c r="O153" i="25"/>
  <c r="I118" i="25"/>
  <c r="L55" i="25"/>
  <c r="AQ4" i="60"/>
  <c r="U98" i="30"/>
  <c r="J98" i="30"/>
  <c r="AF98" i="30"/>
  <c r="J29" i="30"/>
  <c r="AF28" i="60" s="1"/>
  <c r="CK19" i="23"/>
  <c r="Z38" i="9"/>
  <c r="G52" i="32"/>
  <c r="M56" i="32"/>
  <c r="AK11" i="34"/>
  <c r="B217" i="16"/>
  <c r="B247" i="16" s="1"/>
  <c r="I116" i="16"/>
  <c r="L53" i="16"/>
  <c r="K116" i="16"/>
  <c r="B83" i="16"/>
  <c r="L116" i="16"/>
  <c r="K53" i="16"/>
  <c r="M53" i="16"/>
  <c r="O11" i="50"/>
  <c r="AF29" i="25"/>
  <c r="I64" i="15"/>
  <c r="M32" i="15"/>
  <c r="G64" i="15"/>
  <c r="N101" i="15"/>
  <c r="K32" i="15"/>
  <c r="L32" i="15"/>
  <c r="H64" i="15"/>
  <c r="O101" i="15"/>
  <c r="P101" i="15"/>
  <c r="M22" i="34"/>
  <c r="O23" i="50"/>
  <c r="Z17" i="29"/>
  <c r="J35" i="32"/>
  <c r="J29" i="31"/>
  <c r="AO18" i="60"/>
  <c r="S112" i="30"/>
  <c r="AD112" i="30"/>
  <c r="H112" i="30"/>
  <c r="M19" i="30"/>
  <c r="AX18" i="34" s="1"/>
  <c r="N146" i="43"/>
  <c r="B78" i="43"/>
  <c r="K48" i="43"/>
  <c r="G111" i="43"/>
  <c r="L48" i="43"/>
  <c r="H111" i="43"/>
  <c r="N48" i="43"/>
  <c r="C65" i="56" s="1"/>
  <c r="I111" i="43"/>
  <c r="M48" i="43"/>
  <c r="O146" i="43"/>
  <c r="P146" i="43"/>
  <c r="AQ15" i="60"/>
  <c r="U109" i="30"/>
  <c r="AF109" i="30"/>
  <c r="J109" i="30"/>
  <c r="D170" i="24"/>
  <c r="R54" i="24"/>
  <c r="I45" i="32"/>
  <c r="Z26" i="43"/>
  <c r="N15" i="32"/>
  <c r="F31" i="20" s="1"/>
  <c r="M31" i="20" s="1"/>
  <c r="AQ20" i="60"/>
  <c r="U114" i="30"/>
  <c r="AF114" i="30"/>
  <c r="J114" i="30"/>
  <c r="J28" i="34"/>
  <c r="J61" i="34" s="1"/>
  <c r="AW18" i="34"/>
  <c r="AW51" i="34" s="1"/>
  <c r="N19" i="31"/>
  <c r="M19" i="31"/>
  <c r="AP20" i="60"/>
  <c r="AE114" i="30"/>
  <c r="I114" i="30"/>
  <c r="T114" i="30"/>
  <c r="AF39" i="3"/>
  <c r="AA39" i="3"/>
  <c r="G107" i="29"/>
  <c r="B74" i="29"/>
  <c r="N142" i="29"/>
  <c r="L44" i="29"/>
  <c r="K44" i="29"/>
  <c r="M44" i="29"/>
  <c r="P142" i="29"/>
  <c r="H107" i="29"/>
  <c r="O142" i="29"/>
  <c r="I107" i="29"/>
  <c r="CL12" i="23"/>
  <c r="BD12" i="31" s="1"/>
  <c r="N12" i="31"/>
  <c r="M12" i="31"/>
  <c r="G61" i="15"/>
  <c r="K29" i="15"/>
  <c r="H61" i="15"/>
  <c r="I61" i="15"/>
  <c r="N98" i="15"/>
  <c r="M29" i="15"/>
  <c r="L29" i="15"/>
  <c r="O98" i="15"/>
  <c r="P98" i="15"/>
  <c r="AF28" i="15"/>
  <c r="L55" i="32"/>
  <c r="AS7" i="60"/>
  <c r="AH101" i="30"/>
  <c r="L101" i="30"/>
  <c r="W101" i="30"/>
  <c r="AF28" i="25"/>
  <c r="AA28" i="25"/>
  <c r="M57" i="32"/>
  <c r="B171" i="24"/>
  <c r="AR29" i="23"/>
  <c r="AK18" i="34"/>
  <c r="I114" i="25"/>
  <c r="L51" i="25"/>
  <c r="M51" i="25"/>
  <c r="B81" i="25"/>
  <c r="G114" i="25"/>
  <c r="K51" i="25"/>
  <c r="H114" i="25"/>
  <c r="O149" i="25"/>
  <c r="N149" i="25"/>
  <c r="P149" i="25"/>
  <c r="V138" i="12"/>
  <c r="Y11" i="34"/>
  <c r="M44" i="25"/>
  <c r="B74" i="25"/>
  <c r="G107" i="25"/>
  <c r="O142" i="25"/>
  <c r="H107" i="25"/>
  <c r="P142" i="25"/>
  <c r="I107" i="25"/>
  <c r="N142" i="25"/>
  <c r="K44" i="25"/>
  <c r="L44" i="25"/>
  <c r="I105" i="43"/>
  <c r="K42" i="43"/>
  <c r="N42" i="43"/>
  <c r="C59" i="56" s="1"/>
  <c r="B72" i="43"/>
  <c r="G105" i="43"/>
  <c r="L42" i="43"/>
  <c r="O140" i="43"/>
  <c r="P140" i="43"/>
  <c r="H105" i="43"/>
  <c r="M42" i="43"/>
  <c r="N140" i="43"/>
  <c r="G59" i="15"/>
  <c r="M27" i="15"/>
  <c r="K27" i="15"/>
  <c r="H59" i="15"/>
  <c r="L27" i="15"/>
  <c r="I59" i="15"/>
  <c r="N96" i="15"/>
  <c r="O96" i="15"/>
  <c r="P96" i="15"/>
  <c r="AF12" i="25"/>
  <c r="AA12" i="25"/>
  <c r="AA10" i="25"/>
  <c r="AF10" i="25"/>
  <c r="J47" i="32"/>
  <c r="Z23" i="43"/>
  <c r="I42" i="32"/>
  <c r="N12" i="32"/>
  <c r="F28" i="20" s="1"/>
  <c r="M28" i="20" s="1"/>
  <c r="H115" i="29"/>
  <c r="M52" i="29"/>
  <c r="I115" i="29"/>
  <c r="K52" i="29"/>
  <c r="B82" i="29"/>
  <c r="P150" i="29"/>
  <c r="O150" i="29"/>
  <c r="G115" i="29"/>
  <c r="L52" i="29"/>
  <c r="N150" i="29"/>
  <c r="D39" i="51"/>
  <c r="R81" i="24"/>
  <c r="AO5" i="60"/>
  <c r="AD99" i="30"/>
  <c r="H99" i="30"/>
  <c r="S99" i="30"/>
  <c r="M6" i="30"/>
  <c r="AX5" i="34" s="1"/>
  <c r="M11" i="31"/>
  <c r="N11" i="31"/>
  <c r="AQ17" i="60"/>
  <c r="U111" i="30"/>
  <c r="AF111" i="30"/>
  <c r="J111" i="30"/>
  <c r="AQ21" i="60"/>
  <c r="AF115" i="30"/>
  <c r="J115" i="30"/>
  <c r="U115" i="30"/>
  <c r="AO20" i="60"/>
  <c r="AD114" i="30"/>
  <c r="H114" i="30"/>
  <c r="S114" i="30"/>
  <c r="M21" i="30"/>
  <c r="AL20" i="34" s="1"/>
  <c r="AL53" i="34" s="1"/>
  <c r="L42" i="32"/>
  <c r="AF15" i="15"/>
  <c r="D35" i="51"/>
  <c r="G101" i="43"/>
  <c r="H101" i="43"/>
  <c r="N136" i="43"/>
  <c r="I101" i="43"/>
  <c r="N38" i="43"/>
  <c r="C55" i="56" s="1"/>
  <c r="M38" i="43"/>
  <c r="K38" i="43"/>
  <c r="L38" i="43"/>
  <c r="B68" i="43"/>
  <c r="O136" i="43"/>
  <c r="P136" i="43"/>
  <c r="CM26" i="23"/>
  <c r="B181" i="24"/>
  <c r="D24" i="51"/>
  <c r="T155" i="24"/>
  <c r="W155" i="24" s="1"/>
  <c r="Z155" i="24" s="1"/>
  <c r="D218" i="24" s="1"/>
  <c r="V155" i="24"/>
  <c r="X42" i="24"/>
  <c r="H124" i="24"/>
  <c r="I123" i="25"/>
  <c r="P158" i="25"/>
  <c r="O158" i="25"/>
  <c r="G123" i="25"/>
  <c r="N158" i="25"/>
  <c r="K60" i="25"/>
  <c r="L60" i="25"/>
  <c r="B90" i="25"/>
  <c r="M60" i="25"/>
  <c r="H123" i="25"/>
  <c r="C44" i="14"/>
  <c r="Y14" i="34"/>
  <c r="AO14" i="60"/>
  <c r="AD108" i="30"/>
  <c r="H108" i="30"/>
  <c r="S108" i="30"/>
  <c r="M15" i="30"/>
  <c r="AX14" i="34" s="1"/>
  <c r="H53" i="32"/>
  <c r="M53" i="32" s="1"/>
  <c r="Z27" i="25"/>
  <c r="I54" i="32"/>
  <c r="N24" i="32"/>
  <c r="F40" i="20" s="1"/>
  <c r="M40" i="20" s="1"/>
  <c r="Z35" i="43"/>
  <c r="AF35" i="43" s="1"/>
  <c r="CK18" i="23"/>
  <c r="J53" i="32"/>
  <c r="AR11" i="60"/>
  <c r="K105" i="30"/>
  <c r="AG105" i="30"/>
  <c r="V105" i="30"/>
  <c r="AO12" i="60"/>
  <c r="AD106" i="30"/>
  <c r="H106" i="30"/>
  <c r="S106" i="30"/>
  <c r="M13" i="30"/>
  <c r="AL12" i="34" s="1"/>
  <c r="AL45" i="34" s="1"/>
  <c r="AF32" i="9"/>
  <c r="AA32" i="9"/>
  <c r="AF35" i="3"/>
  <c r="AA35" i="3"/>
  <c r="AQ18" i="60"/>
  <c r="J112" i="30"/>
  <c r="AF112" i="30"/>
  <c r="U112" i="30"/>
  <c r="AK122" i="30"/>
  <c r="M38" i="15"/>
  <c r="I70" i="15"/>
  <c r="H70" i="15"/>
  <c r="K38" i="15"/>
  <c r="G70" i="15"/>
  <c r="L38" i="15"/>
  <c r="N107" i="15"/>
  <c r="O107" i="15"/>
  <c r="P107" i="15"/>
  <c r="AF23" i="3"/>
  <c r="AA23" i="3"/>
  <c r="I77" i="15"/>
  <c r="M45" i="15"/>
  <c r="G77" i="15"/>
  <c r="N114" i="15"/>
  <c r="L45" i="15"/>
  <c r="H77" i="15"/>
  <c r="K45" i="15"/>
  <c r="O114" i="15"/>
  <c r="P114" i="15"/>
  <c r="AS17" i="60"/>
  <c r="W111" i="30"/>
  <c r="AH111" i="30"/>
  <c r="L111" i="30"/>
  <c r="AP6" i="60"/>
  <c r="T100" i="30"/>
  <c r="AE100" i="30"/>
  <c r="I100" i="30"/>
  <c r="D49" i="51"/>
  <c r="M43" i="32"/>
  <c r="CM19" i="23"/>
  <c r="BE19" i="31" s="1"/>
  <c r="Z22" i="29"/>
  <c r="J40" i="32"/>
  <c r="Z44" i="16"/>
  <c r="K57" i="32"/>
  <c r="W162" i="12"/>
  <c r="D46" i="51"/>
  <c r="AU12" i="23"/>
  <c r="AO11" i="60"/>
  <c r="S105" i="30"/>
  <c r="AD105" i="30"/>
  <c r="H105" i="30"/>
  <c r="M12" i="30"/>
  <c r="AX11" i="34" s="1"/>
  <c r="Z19" i="29"/>
  <c r="J37" i="32"/>
  <c r="AA9" i="25"/>
  <c r="AF9" i="25"/>
  <c r="AK42" i="34" l="1"/>
  <c r="M47" i="34"/>
  <c r="F35" i="57"/>
  <c r="J35" i="57" s="1"/>
  <c r="M46" i="34"/>
  <c r="F27" i="57"/>
  <c r="G41" i="57"/>
  <c r="K41" i="57" s="1"/>
  <c r="O41" i="57" s="1"/>
  <c r="M50" i="34"/>
  <c r="G43" i="57"/>
  <c r="K43" i="57" s="1"/>
  <c r="O43" i="57" s="1"/>
  <c r="E174" i="24"/>
  <c r="E205" i="24" s="1"/>
  <c r="B220" i="24"/>
  <c r="H33" i="57"/>
  <c r="L33" i="57" s="1"/>
  <c r="P33" i="57" s="1"/>
  <c r="CN20" i="23"/>
  <c r="BF20" i="31" s="1"/>
  <c r="Q160" i="24"/>
  <c r="B201" i="24"/>
  <c r="B221" i="24"/>
  <c r="F213" i="12"/>
  <c r="G213" i="12" s="1"/>
  <c r="W30" i="23"/>
  <c r="E186" i="24"/>
  <c r="E217" i="24" s="1"/>
  <c r="F219" i="12"/>
  <c r="G219" i="12" s="1"/>
  <c r="V5" i="23"/>
  <c r="AV5" i="23" s="1"/>
  <c r="M43" i="34"/>
  <c r="B216" i="24"/>
  <c r="G21" i="57"/>
  <c r="K21" i="57" s="1"/>
  <c r="O21" i="57" s="1"/>
  <c r="K30" i="23"/>
  <c r="T29" i="23"/>
  <c r="CO29" i="23" s="1"/>
  <c r="AC32" i="15"/>
  <c r="G20" i="57"/>
  <c r="E178" i="24"/>
  <c r="E209" i="24" s="1"/>
  <c r="F206" i="12"/>
  <c r="F24" i="14" s="1"/>
  <c r="M117" i="15"/>
  <c r="B203" i="24"/>
  <c r="G36" i="57"/>
  <c r="K36" i="57" s="1"/>
  <c r="O36" i="57" s="1"/>
  <c r="F37" i="57"/>
  <c r="G61" i="25"/>
  <c r="F217" i="12"/>
  <c r="F35" i="14" s="1"/>
  <c r="Z10" i="34"/>
  <c r="Z43" i="34" s="1"/>
  <c r="I61" i="25"/>
  <c r="F212" i="12"/>
  <c r="G212" i="12" s="1"/>
  <c r="E171" i="24"/>
  <c r="E202" i="24" s="1"/>
  <c r="AL10" i="34"/>
  <c r="AL43" i="34" s="1"/>
  <c r="E179" i="24"/>
  <c r="E210" i="24" s="1"/>
  <c r="Y33" i="25"/>
  <c r="D57" i="29"/>
  <c r="Y30" i="23"/>
  <c r="F25" i="57"/>
  <c r="F214" i="12"/>
  <c r="G214" i="12" s="1"/>
  <c r="C61" i="25"/>
  <c r="X30" i="23"/>
  <c r="B209" i="24"/>
  <c r="Y41" i="34"/>
  <c r="F218" i="12"/>
  <c r="G218" i="12" s="1"/>
  <c r="E61" i="25"/>
  <c r="H29" i="57"/>
  <c r="L29" i="57" s="1"/>
  <c r="P29" i="57" s="1"/>
  <c r="Q134" i="43"/>
  <c r="S134" i="43" s="1"/>
  <c r="T134" i="43" s="1"/>
  <c r="W134" i="43" s="1"/>
  <c r="D197" i="43" s="1"/>
  <c r="D61" i="25"/>
  <c r="AX17" i="34"/>
  <c r="AX50" i="34" s="1"/>
  <c r="Y55" i="34"/>
  <c r="U25" i="50"/>
  <c r="X33" i="25"/>
  <c r="C117" i="15"/>
  <c r="Z20" i="34"/>
  <c r="Z53" i="34" s="1"/>
  <c r="CN23" i="23"/>
  <c r="BF23" i="31" s="1"/>
  <c r="W33" i="25"/>
  <c r="AL17" i="34"/>
  <c r="AL50" i="34" s="1"/>
  <c r="AK56" i="34"/>
  <c r="Y56" i="34"/>
  <c r="Z11" i="34"/>
  <c r="Z44" i="34" s="1"/>
  <c r="AC40" i="43"/>
  <c r="F210" i="12"/>
  <c r="F28" i="14" s="1"/>
  <c r="AL26" i="34"/>
  <c r="AL59" i="34" s="1"/>
  <c r="H61" i="25"/>
  <c r="AB33" i="25"/>
  <c r="D56" i="43"/>
  <c r="E183" i="24"/>
  <c r="E214" i="24" s="1"/>
  <c r="CN5" i="23"/>
  <c r="BF5" i="31" s="1"/>
  <c r="E175" i="24"/>
  <c r="E206" i="24" s="1"/>
  <c r="Q135" i="29"/>
  <c r="K8" i="51" s="1"/>
  <c r="L117" i="15"/>
  <c r="U17" i="50"/>
  <c r="F207" i="12"/>
  <c r="G207" i="12" s="1"/>
  <c r="AE32" i="15"/>
  <c r="H38" i="57"/>
  <c r="L38" i="57" s="1"/>
  <c r="P38" i="57" s="1"/>
  <c r="Q137" i="25"/>
  <c r="T137" i="25" s="1"/>
  <c r="W137" i="25" s="1"/>
  <c r="Z137" i="25" s="1"/>
  <c r="D200" i="25" s="1"/>
  <c r="Q152" i="43"/>
  <c r="S152" i="43" s="1"/>
  <c r="T152" i="43" s="1"/>
  <c r="W152" i="43" s="1"/>
  <c r="D215" i="43" s="1"/>
  <c r="J117" i="15"/>
  <c r="F220" i="12"/>
  <c r="F38" i="14" s="1"/>
  <c r="E187" i="24"/>
  <c r="E218" i="24" s="1"/>
  <c r="Q138" i="29"/>
  <c r="K11" i="51" s="1"/>
  <c r="E48" i="15"/>
  <c r="I48" i="15" s="1"/>
  <c r="AF92" i="30"/>
  <c r="B204" i="24"/>
  <c r="AC33" i="25"/>
  <c r="E172" i="24"/>
  <c r="E203" i="24" s="1"/>
  <c r="AX19" i="34"/>
  <c r="AX52" i="34" s="1"/>
  <c r="H117" i="15"/>
  <c r="I117" i="15"/>
  <c r="O38" i="32"/>
  <c r="AS28" i="34"/>
  <c r="AS61" i="34" s="1"/>
  <c r="C48" i="15"/>
  <c r="E117" i="15"/>
  <c r="D160" i="24"/>
  <c r="F117" i="15"/>
  <c r="D48" i="15"/>
  <c r="H48" i="15" s="1"/>
  <c r="AQ63" i="30"/>
  <c r="G221" i="12"/>
  <c r="F39" i="14"/>
  <c r="AI103" i="30"/>
  <c r="B214" i="24"/>
  <c r="AK53" i="34"/>
  <c r="O37" i="32"/>
  <c r="Q147" i="25"/>
  <c r="V147" i="25" s="1"/>
  <c r="Q151" i="43"/>
  <c r="S151" i="43" s="1"/>
  <c r="T151" i="43" s="1"/>
  <c r="W151" i="43" s="1"/>
  <c r="D214" i="43" s="1"/>
  <c r="CN21" i="23"/>
  <c r="BF21" i="31" s="1"/>
  <c r="BC5" i="31"/>
  <c r="Q151" i="25"/>
  <c r="T151" i="25" s="1"/>
  <c r="W151" i="25" s="1"/>
  <c r="Z151" i="25" s="1"/>
  <c r="D214" i="25" s="1"/>
  <c r="E56" i="43"/>
  <c r="I56" i="43"/>
  <c r="Y54" i="34"/>
  <c r="H28" i="60"/>
  <c r="AK28" i="34"/>
  <c r="AK61" i="34" s="1"/>
  <c r="S92" i="30"/>
  <c r="Q143" i="25"/>
  <c r="S28" i="60"/>
  <c r="G22" i="57"/>
  <c r="K22" i="57" s="1"/>
  <c r="O22" i="57" s="1"/>
  <c r="Q103" i="15"/>
  <c r="M14" i="51" s="1"/>
  <c r="K117" i="15"/>
  <c r="AI32" i="15"/>
  <c r="D117" i="15"/>
  <c r="C56" i="43"/>
  <c r="Y40" i="43"/>
  <c r="AP119" i="30"/>
  <c r="I54" i="51" s="1"/>
  <c r="H92" i="30"/>
  <c r="X41" i="29"/>
  <c r="X108" i="30"/>
  <c r="H41" i="57"/>
  <c r="L41" i="57" s="1"/>
  <c r="P41" i="57" s="1"/>
  <c r="O56" i="32"/>
  <c r="Y50" i="34"/>
  <c r="Q150" i="25"/>
  <c r="T150" i="25" s="1"/>
  <c r="W150" i="25" s="1"/>
  <c r="Z150" i="25" s="1"/>
  <c r="D213" i="25" s="1"/>
  <c r="Q145" i="25"/>
  <c r="V145" i="25" s="1"/>
  <c r="Q138" i="43"/>
  <c r="S138" i="43" s="1"/>
  <c r="T138" i="43" s="1"/>
  <c r="W138" i="43" s="1"/>
  <c r="D201" i="43" s="1"/>
  <c r="X40" i="43"/>
  <c r="AD92" i="30"/>
  <c r="AI112" i="30"/>
  <c r="Z5" i="34"/>
  <c r="Z38" i="34" s="1"/>
  <c r="N44" i="15"/>
  <c r="B213" i="24"/>
  <c r="F213" i="24" s="1"/>
  <c r="D34" i="14" s="1"/>
  <c r="AS115" i="30"/>
  <c r="L50" i="51" s="1"/>
  <c r="AL24" i="34"/>
  <c r="AL57" i="34" s="1"/>
  <c r="N35" i="15"/>
  <c r="B211" i="24"/>
  <c r="AK37" i="34"/>
  <c r="G56" i="43"/>
  <c r="AR63" i="30"/>
  <c r="Z18" i="34"/>
  <c r="Z51" i="34" s="1"/>
  <c r="AP117" i="30"/>
  <c r="I52" i="51" s="1"/>
  <c r="AP63" i="30"/>
  <c r="E185" i="24"/>
  <c r="E216" i="24" s="1"/>
  <c r="AS103" i="30"/>
  <c r="L38" i="51" s="1"/>
  <c r="H57" i="29"/>
  <c r="AR120" i="30"/>
  <c r="K55" i="51" s="1"/>
  <c r="O58" i="32"/>
  <c r="M156" i="16"/>
  <c r="O43" i="32"/>
  <c r="B206" i="24"/>
  <c r="AB40" i="43"/>
  <c r="AJ31" i="23"/>
  <c r="E57" i="29"/>
  <c r="G117" i="15"/>
  <c r="AD28" i="60"/>
  <c r="CN25" i="23"/>
  <c r="BF25" i="31" s="1"/>
  <c r="X120" i="30"/>
  <c r="Z12" i="34"/>
  <c r="Z45" i="34" s="1"/>
  <c r="O45" i="32"/>
  <c r="AI110" i="30"/>
  <c r="H22" i="57"/>
  <c r="L22" i="57" s="1"/>
  <c r="P22" i="57" s="1"/>
  <c r="N37" i="15"/>
  <c r="AQ117" i="30"/>
  <c r="J52" i="51" s="1"/>
  <c r="W28" i="60"/>
  <c r="AX12" i="34"/>
  <c r="AX45" i="34" s="1"/>
  <c r="Q150" i="29"/>
  <c r="S150" i="29" s="1"/>
  <c r="T150" i="29" s="1"/>
  <c r="W150" i="29" s="1"/>
  <c r="D213" i="29" s="1"/>
  <c r="AA42" i="3"/>
  <c r="N60" i="3" s="1"/>
  <c r="AV28" i="34"/>
  <c r="AV61" i="34" s="1"/>
  <c r="T92" i="30"/>
  <c r="E188" i="24"/>
  <c r="E219" i="24" s="1"/>
  <c r="AI114" i="30"/>
  <c r="AQ111" i="30"/>
  <c r="J46" i="51" s="1"/>
  <c r="AQ114" i="30"/>
  <c r="J49" i="51" s="1"/>
  <c r="AU28" i="34"/>
  <c r="AU61" i="34" s="1"/>
  <c r="AR111" i="30"/>
  <c r="K46" i="51" s="1"/>
  <c r="AP115" i="30"/>
  <c r="I50" i="51" s="1"/>
  <c r="P155" i="29"/>
  <c r="H120" i="29"/>
  <c r="C54" i="16"/>
  <c r="G54" i="16" s="1"/>
  <c r="F34" i="57"/>
  <c r="J34" i="57" s="1"/>
  <c r="M59" i="34"/>
  <c r="F21" i="57"/>
  <c r="W92" i="30"/>
  <c r="AS92" i="30" s="1"/>
  <c r="AE28" i="60"/>
  <c r="B205" i="24"/>
  <c r="F205" i="24" s="1"/>
  <c r="D26" i="14" s="1"/>
  <c r="N26" i="15"/>
  <c r="AK52" i="34"/>
  <c r="AR113" i="30"/>
  <c r="K48" i="51" s="1"/>
  <c r="Q111" i="15"/>
  <c r="M22" i="51" s="1"/>
  <c r="AD32" i="15"/>
  <c r="N39" i="15"/>
  <c r="H30" i="57"/>
  <c r="L30" i="57" s="1"/>
  <c r="P30" i="57" s="1"/>
  <c r="Q146" i="29"/>
  <c r="S146" i="29" s="1"/>
  <c r="T146" i="29" s="1"/>
  <c r="W146" i="29" s="1"/>
  <c r="D209" i="29" s="1"/>
  <c r="Q115" i="15"/>
  <c r="M26" i="51" s="1"/>
  <c r="M37" i="34"/>
  <c r="O50" i="32"/>
  <c r="AR106" i="30"/>
  <c r="K41" i="51" s="1"/>
  <c r="AK38" i="34"/>
  <c r="Z40" i="43"/>
  <c r="AP120" i="30"/>
  <c r="I55" i="51" s="1"/>
  <c r="N43" i="15"/>
  <c r="O54" i="32"/>
  <c r="AS106" i="30"/>
  <c r="L41" i="51" s="1"/>
  <c r="N31" i="15"/>
  <c r="O44" i="32"/>
  <c r="AU10" i="60"/>
  <c r="AU17" i="60"/>
  <c r="E181" i="24"/>
  <c r="E212" i="24" s="1"/>
  <c r="AQ104" i="30"/>
  <c r="J39" i="51" s="1"/>
  <c r="Z45" i="9"/>
  <c r="AA45" i="9" s="1"/>
  <c r="N63" i="9" s="1"/>
  <c r="O41" i="32"/>
  <c r="Q100" i="15"/>
  <c r="M11" i="51" s="1"/>
  <c r="Y28" i="34"/>
  <c r="M30" i="34" s="1"/>
  <c r="AQ119" i="30"/>
  <c r="J54" i="51" s="1"/>
  <c r="AI119" i="30"/>
  <c r="AC46" i="16"/>
  <c r="AX26" i="34"/>
  <c r="AX59" i="34" s="1"/>
  <c r="M44" i="32"/>
  <c r="AQ110" i="30"/>
  <c r="J45" i="51" s="1"/>
  <c r="L92" i="30"/>
  <c r="T28" i="60"/>
  <c r="CN7" i="23"/>
  <c r="BF7" i="31" s="1"/>
  <c r="C92" i="24"/>
  <c r="AQ102" i="30"/>
  <c r="J37" i="51" s="1"/>
  <c r="Q154" i="29"/>
  <c r="S154" i="29" s="1"/>
  <c r="T154" i="29" s="1"/>
  <c r="W154" i="29" s="1"/>
  <c r="D217" i="29" s="1"/>
  <c r="X101" i="30"/>
  <c r="O40" i="32"/>
  <c r="AR101" i="30"/>
  <c r="K36" i="51" s="1"/>
  <c r="AP101" i="30"/>
  <c r="I36" i="51" s="1"/>
  <c r="O57" i="32"/>
  <c r="AP116" i="30"/>
  <c r="I51" i="51" s="1"/>
  <c r="I28" i="60"/>
  <c r="AP106" i="30"/>
  <c r="I41" i="51" s="1"/>
  <c r="U6" i="50"/>
  <c r="AS113" i="30"/>
  <c r="L48" i="51" s="1"/>
  <c r="AR105" i="30"/>
  <c r="K40" i="51" s="1"/>
  <c r="Z46" i="16"/>
  <c r="O48" i="32"/>
  <c r="AP100" i="30"/>
  <c r="I35" i="51" s="1"/>
  <c r="Z14" i="34"/>
  <c r="Z47" i="34" s="1"/>
  <c r="Q96" i="15"/>
  <c r="M7" i="51" s="1"/>
  <c r="O36" i="32"/>
  <c r="B200" i="24"/>
  <c r="Q138" i="25"/>
  <c r="V138" i="25" s="1"/>
  <c r="Q149" i="29"/>
  <c r="K22" i="51" s="1"/>
  <c r="N36" i="15"/>
  <c r="E156" i="16"/>
  <c r="AU24" i="60"/>
  <c r="O49" i="32"/>
  <c r="AE92" i="30"/>
  <c r="U14" i="50"/>
  <c r="B207" i="24"/>
  <c r="F222" i="12"/>
  <c r="G222" i="12" s="1"/>
  <c r="F205" i="12"/>
  <c r="G205" i="12" s="1"/>
  <c r="Q133" i="43"/>
  <c r="S133" i="43" s="1"/>
  <c r="T133" i="43" s="1"/>
  <c r="W133" i="43" s="1"/>
  <c r="D196" i="43" s="1"/>
  <c r="AI105" i="30"/>
  <c r="CN6" i="23"/>
  <c r="BF6" i="31" s="1"/>
  <c r="AU15" i="60"/>
  <c r="X114" i="30"/>
  <c r="AU9" i="60"/>
  <c r="X116" i="30"/>
  <c r="CN11" i="23"/>
  <c r="BF11" i="31" s="1"/>
  <c r="AI106" i="30"/>
  <c r="Q142" i="29"/>
  <c r="S142" i="29" s="1"/>
  <c r="T142" i="29" s="1"/>
  <c r="W142" i="29" s="1"/>
  <c r="D205" i="29" s="1"/>
  <c r="Z22" i="34"/>
  <c r="Z55" i="34" s="1"/>
  <c r="AL16" i="34"/>
  <c r="AL49" i="34" s="1"/>
  <c r="AI118" i="30"/>
  <c r="B218" i="24"/>
  <c r="N40" i="15"/>
  <c r="AR100" i="30"/>
  <c r="K35" i="51" s="1"/>
  <c r="O42" i="32"/>
  <c r="E168" i="24"/>
  <c r="E199" i="24" s="1"/>
  <c r="AQ121" i="30"/>
  <c r="J56" i="51" s="1"/>
  <c r="F22" i="57"/>
  <c r="M39" i="34"/>
  <c r="M28" i="34"/>
  <c r="N39" i="25"/>
  <c r="H54" i="14" s="1"/>
  <c r="I54" i="14" s="1"/>
  <c r="O39" i="25"/>
  <c r="J26" i="57"/>
  <c r="AO116" i="30"/>
  <c r="M116" i="30"/>
  <c r="O54" i="29"/>
  <c r="N54" i="29"/>
  <c r="D70" i="56" s="1"/>
  <c r="M73" i="29"/>
  <c r="Q73" i="29" s="1"/>
  <c r="K73" i="29"/>
  <c r="O73" i="29" s="1"/>
  <c r="L73" i="29"/>
  <c r="P73" i="29" s="1"/>
  <c r="N73" i="29"/>
  <c r="BH21" i="31"/>
  <c r="BI21" i="31"/>
  <c r="AV21" i="23"/>
  <c r="U21" i="50"/>
  <c r="K73" i="25"/>
  <c r="O73" i="25" s="1"/>
  <c r="L73" i="25"/>
  <c r="P73" i="25" s="1"/>
  <c r="M73" i="25"/>
  <c r="Q73" i="25" s="1"/>
  <c r="N73" i="25"/>
  <c r="BD16" i="31"/>
  <c r="CN16" i="23"/>
  <c r="BF16" i="31" s="1"/>
  <c r="M100" i="16"/>
  <c r="N100" i="16" s="1"/>
  <c r="C264" i="16" s="1"/>
  <c r="J100" i="16"/>
  <c r="L110" i="25"/>
  <c r="K110" i="25"/>
  <c r="M110" i="25"/>
  <c r="J110" i="25"/>
  <c r="J57" i="15"/>
  <c r="K57" i="15"/>
  <c r="M57" i="15"/>
  <c r="L57" i="15"/>
  <c r="M29" i="50"/>
  <c r="I32" i="50" s="1"/>
  <c r="H31" i="50"/>
  <c r="F31" i="50"/>
  <c r="K31" i="50"/>
  <c r="D31" i="50"/>
  <c r="L31" i="50"/>
  <c r="J31" i="50"/>
  <c r="G31" i="50"/>
  <c r="O29" i="50"/>
  <c r="C31" i="50"/>
  <c r="I31" i="50"/>
  <c r="AX42" i="34"/>
  <c r="AA27" i="29"/>
  <c r="AF27" i="29"/>
  <c r="M116" i="25"/>
  <c r="K116" i="25"/>
  <c r="J116" i="25"/>
  <c r="L116" i="25"/>
  <c r="AX38" i="34"/>
  <c r="AX44" i="34"/>
  <c r="AI60" i="30"/>
  <c r="M60" i="30"/>
  <c r="X89" i="30"/>
  <c r="M89" i="30"/>
  <c r="AI89" i="30"/>
  <c r="X60" i="30"/>
  <c r="AL25" i="34"/>
  <c r="AL58" i="34" s="1"/>
  <c r="Z25" i="34"/>
  <c r="Z58" i="34" s="1"/>
  <c r="AX25" i="34"/>
  <c r="M51" i="32"/>
  <c r="O51" i="32"/>
  <c r="S65" i="12"/>
  <c r="X65" i="12"/>
  <c r="T143" i="25"/>
  <c r="W143" i="25" s="1"/>
  <c r="Z143" i="25" s="1"/>
  <c r="D206" i="25" s="1"/>
  <c r="H12" i="51"/>
  <c r="I12" i="51" s="1"/>
  <c r="V143" i="25"/>
  <c r="AG15" i="15"/>
  <c r="AL15" i="15"/>
  <c r="Z41" i="29"/>
  <c r="AG13" i="15"/>
  <c r="AL13" i="15"/>
  <c r="Y61" i="34"/>
  <c r="V150" i="25"/>
  <c r="G224" i="12"/>
  <c r="F42" i="14"/>
  <c r="AX48" i="34"/>
  <c r="M67" i="25"/>
  <c r="B91" i="25"/>
  <c r="E159" i="25" s="1"/>
  <c r="K67" i="25"/>
  <c r="N67" i="25"/>
  <c r="L67" i="25"/>
  <c r="N83" i="29"/>
  <c r="L83" i="29"/>
  <c r="P83" i="29" s="1"/>
  <c r="K83" i="29"/>
  <c r="O83" i="29" s="1"/>
  <c r="M83" i="29"/>
  <c r="Q83" i="29" s="1"/>
  <c r="O54" i="43"/>
  <c r="Y59" i="34"/>
  <c r="G42" i="57"/>
  <c r="K42" i="57" s="1"/>
  <c r="O42" i="57" s="1"/>
  <c r="BE22" i="31"/>
  <c r="CN22" i="23"/>
  <c r="BF22" i="31" s="1"/>
  <c r="N38" i="29"/>
  <c r="D54" i="56" s="1"/>
  <c r="O38" i="29"/>
  <c r="Q60" i="25"/>
  <c r="BE26" i="31"/>
  <c r="CN26" i="23"/>
  <c r="BF26" i="31" s="1"/>
  <c r="K73" i="43"/>
  <c r="O73" i="43" s="1"/>
  <c r="M73" i="43"/>
  <c r="N73" i="43"/>
  <c r="L73" i="43"/>
  <c r="P73" i="43" s="1"/>
  <c r="P34" i="16"/>
  <c r="M47" i="32"/>
  <c r="O47" i="32"/>
  <c r="AS28" i="60"/>
  <c r="AU4" i="60"/>
  <c r="M76" i="25"/>
  <c r="Q76" i="25" s="1"/>
  <c r="L76" i="25"/>
  <c r="P76" i="25" s="1"/>
  <c r="K76" i="25"/>
  <c r="O76" i="25" s="1"/>
  <c r="N76" i="25"/>
  <c r="AO100" i="30"/>
  <c r="M100" i="30"/>
  <c r="M63" i="16"/>
  <c r="Q63" i="16" s="1"/>
  <c r="O135" i="16"/>
  <c r="K63" i="16"/>
  <c r="O63" i="16" s="1"/>
  <c r="N135" i="16"/>
  <c r="L63" i="16"/>
  <c r="P63" i="16" s="1"/>
  <c r="P135" i="16"/>
  <c r="N63" i="16"/>
  <c r="P34" i="43"/>
  <c r="N70" i="25"/>
  <c r="L70" i="25"/>
  <c r="P70" i="25" s="1"/>
  <c r="M70" i="25"/>
  <c r="Q70" i="25" s="1"/>
  <c r="K70" i="25"/>
  <c r="O70" i="25" s="1"/>
  <c r="AX47" i="34"/>
  <c r="Q38" i="43"/>
  <c r="O38" i="16"/>
  <c r="N38" i="16"/>
  <c r="J65" i="15"/>
  <c r="K65" i="15"/>
  <c r="L65" i="15"/>
  <c r="M65" i="15"/>
  <c r="J99" i="16"/>
  <c r="M99" i="16"/>
  <c r="N99" i="16" s="1"/>
  <c r="C263" i="16" s="1"/>
  <c r="AX57" i="34"/>
  <c r="AL27" i="15"/>
  <c r="AG27" i="15"/>
  <c r="AF43" i="16"/>
  <c r="AA43" i="16"/>
  <c r="C215" i="16" s="1"/>
  <c r="AA28" i="29"/>
  <c r="AF28" i="29"/>
  <c r="M74" i="29"/>
  <c r="Q74" i="29" s="1"/>
  <c r="N74" i="29"/>
  <c r="L74" i="29"/>
  <c r="P74" i="29" s="1"/>
  <c r="K74" i="29"/>
  <c r="O74" i="29" s="1"/>
  <c r="J111" i="43"/>
  <c r="M111" i="43"/>
  <c r="L111" i="43"/>
  <c r="K111" i="43"/>
  <c r="F38" i="57"/>
  <c r="M55" i="34"/>
  <c r="N155" i="16"/>
  <c r="K83" i="16"/>
  <c r="O83" i="16" s="1"/>
  <c r="O155" i="16"/>
  <c r="P155" i="16"/>
  <c r="M83" i="16"/>
  <c r="Q83" i="16" s="1"/>
  <c r="L83" i="16"/>
  <c r="P83" i="16" s="1"/>
  <c r="N83" i="16"/>
  <c r="M52" i="32"/>
  <c r="O52" i="32"/>
  <c r="D28" i="51"/>
  <c r="P42" i="16"/>
  <c r="M41" i="34"/>
  <c r="F24" i="57"/>
  <c r="F7" i="53"/>
  <c r="F28" i="53" s="1"/>
  <c r="J53" i="47"/>
  <c r="J54" i="47" s="1"/>
  <c r="X113" i="30"/>
  <c r="AU16" i="60"/>
  <c r="K113" i="29"/>
  <c r="M113" i="29"/>
  <c r="L113" i="29"/>
  <c r="J113" i="29"/>
  <c r="D9" i="14"/>
  <c r="D12" i="14" s="1"/>
  <c r="C226" i="12"/>
  <c r="AI108" i="30"/>
  <c r="H59" i="32"/>
  <c r="L107" i="25"/>
  <c r="K107" i="25"/>
  <c r="J107" i="25"/>
  <c r="M107" i="25"/>
  <c r="P55" i="25"/>
  <c r="K85" i="43"/>
  <c r="O85" i="43" s="1"/>
  <c r="N85" i="43"/>
  <c r="M85" i="43"/>
  <c r="Q85" i="43" s="1"/>
  <c r="L85" i="43"/>
  <c r="P85" i="43" s="1"/>
  <c r="O51" i="43"/>
  <c r="Q40" i="29"/>
  <c r="M39" i="32"/>
  <c r="O39" i="32"/>
  <c r="C59" i="32"/>
  <c r="Q39" i="29"/>
  <c r="N30" i="16"/>
  <c r="O30" i="16"/>
  <c r="K54" i="16"/>
  <c r="G215" i="12"/>
  <c r="F33" i="14"/>
  <c r="X115" i="30"/>
  <c r="AO102" i="30"/>
  <c r="M102" i="30"/>
  <c r="M109" i="43"/>
  <c r="J109" i="43"/>
  <c r="L109" i="43"/>
  <c r="K109" i="43"/>
  <c r="N34" i="29"/>
  <c r="D50" i="56" s="1"/>
  <c r="O34" i="29"/>
  <c r="AU29" i="23"/>
  <c r="CM29" i="23"/>
  <c r="BE29" i="31" s="1"/>
  <c r="K67" i="29"/>
  <c r="O67" i="29" s="1"/>
  <c r="L67" i="29"/>
  <c r="P67" i="29" s="1"/>
  <c r="M67" i="29"/>
  <c r="Q67" i="29" s="1"/>
  <c r="N67" i="29"/>
  <c r="BC28" i="31"/>
  <c r="CN28" i="23"/>
  <c r="BF28" i="31" s="1"/>
  <c r="L45" i="20"/>
  <c r="L47" i="20" s="1"/>
  <c r="B11" i="20" s="1"/>
  <c r="J30" i="57"/>
  <c r="P43" i="16"/>
  <c r="P49" i="16"/>
  <c r="O48" i="16"/>
  <c r="N48" i="16"/>
  <c r="AF27" i="16"/>
  <c r="AA27" i="16"/>
  <c r="C199" i="16" s="1"/>
  <c r="AL19" i="15"/>
  <c r="AG19" i="15"/>
  <c r="Q41" i="29"/>
  <c r="P40" i="43"/>
  <c r="K48" i="15"/>
  <c r="N24" i="15"/>
  <c r="L62" i="43"/>
  <c r="B86" i="43"/>
  <c r="D154" i="43" s="1"/>
  <c r="K62" i="43"/>
  <c r="N62" i="43"/>
  <c r="M62" i="43"/>
  <c r="G119" i="43"/>
  <c r="M95" i="43"/>
  <c r="J95" i="43"/>
  <c r="K95" i="43"/>
  <c r="L95" i="43"/>
  <c r="N40" i="16"/>
  <c r="O40" i="16"/>
  <c r="AA38" i="29"/>
  <c r="AF38" i="29"/>
  <c r="Q36" i="29"/>
  <c r="N147" i="16"/>
  <c r="L75" i="16"/>
  <c r="P75" i="16" s="1"/>
  <c r="N75" i="16"/>
  <c r="P147" i="16"/>
  <c r="M75" i="16"/>
  <c r="Q75" i="16" s="1"/>
  <c r="O147" i="16"/>
  <c r="K75" i="16"/>
  <c r="O75" i="16" s="1"/>
  <c r="Q52" i="43"/>
  <c r="M115" i="43"/>
  <c r="L115" i="43"/>
  <c r="J115" i="43"/>
  <c r="K115" i="43"/>
  <c r="Q41" i="16"/>
  <c r="M39" i="30"/>
  <c r="X39" i="30"/>
  <c r="M68" i="30"/>
  <c r="X68" i="30"/>
  <c r="AI39" i="30"/>
  <c r="AI68" i="30"/>
  <c r="AO98" i="30"/>
  <c r="H122" i="30"/>
  <c r="M98" i="30"/>
  <c r="N86" i="29"/>
  <c r="K86" i="29"/>
  <c r="O86" i="29" s="1"/>
  <c r="L86" i="29"/>
  <c r="P86" i="29" s="1"/>
  <c r="M86" i="29"/>
  <c r="Q86" i="29" s="1"/>
  <c r="AF25" i="43"/>
  <c r="AA25" i="43"/>
  <c r="N85" i="29"/>
  <c r="K85" i="29"/>
  <c r="O85" i="29" s="1"/>
  <c r="L85" i="29"/>
  <c r="M85" i="29"/>
  <c r="Q85" i="29" s="1"/>
  <c r="P48" i="29"/>
  <c r="P35" i="43"/>
  <c r="R61" i="24"/>
  <c r="P32" i="16"/>
  <c r="M42" i="30"/>
  <c r="AI42" i="30"/>
  <c r="X42" i="30"/>
  <c r="AI71" i="30"/>
  <c r="M71" i="30"/>
  <c r="X71" i="30"/>
  <c r="J8" i="51"/>
  <c r="AF37" i="16"/>
  <c r="AA37" i="16"/>
  <c r="C209" i="16" s="1"/>
  <c r="J117" i="25"/>
  <c r="M117" i="25"/>
  <c r="L117" i="25"/>
  <c r="K117" i="25"/>
  <c r="N59" i="25"/>
  <c r="H74" i="14" s="1"/>
  <c r="I74" i="14" s="1"/>
  <c r="O59" i="25"/>
  <c r="AO105" i="30"/>
  <c r="M105" i="30"/>
  <c r="J77" i="15"/>
  <c r="K77" i="15"/>
  <c r="L77" i="15"/>
  <c r="M77" i="15"/>
  <c r="AF27" i="25"/>
  <c r="AA27" i="25"/>
  <c r="M90" i="25"/>
  <c r="Q90" i="25" s="1"/>
  <c r="K90" i="25"/>
  <c r="O90" i="25" s="1"/>
  <c r="L90" i="25"/>
  <c r="P90" i="25" s="1"/>
  <c r="N90" i="25"/>
  <c r="M40" i="30"/>
  <c r="X40" i="30"/>
  <c r="M69" i="30"/>
  <c r="AI69" i="30"/>
  <c r="AI40" i="30"/>
  <c r="X69" i="30"/>
  <c r="Q52" i="29"/>
  <c r="P44" i="25"/>
  <c r="L74" i="25"/>
  <c r="P74" i="25" s="1"/>
  <c r="N74" i="25"/>
  <c r="M74" i="25"/>
  <c r="Q74" i="25" s="1"/>
  <c r="K74" i="25"/>
  <c r="O74" i="25" s="1"/>
  <c r="N51" i="25"/>
  <c r="H66" i="14" s="1"/>
  <c r="I66" i="14" s="1"/>
  <c r="O51" i="25"/>
  <c r="AU7" i="60"/>
  <c r="M107" i="29"/>
  <c r="K107" i="29"/>
  <c r="J107" i="29"/>
  <c r="L107" i="29"/>
  <c r="AF26" i="43"/>
  <c r="AA26" i="43"/>
  <c r="O48" i="43"/>
  <c r="X112" i="30"/>
  <c r="Q101" i="15"/>
  <c r="M12" i="51" s="1"/>
  <c r="AF38" i="9"/>
  <c r="AA38" i="9"/>
  <c r="U28" i="60"/>
  <c r="L118" i="25"/>
  <c r="K118" i="25"/>
  <c r="M118" i="25"/>
  <c r="J118" i="25"/>
  <c r="P39" i="16"/>
  <c r="AA18" i="43"/>
  <c r="AF18" i="43"/>
  <c r="O55" i="43"/>
  <c r="Q149" i="43"/>
  <c r="L70" i="29"/>
  <c r="P70" i="29" s="1"/>
  <c r="N70" i="29"/>
  <c r="M70" i="29"/>
  <c r="Q70" i="29" s="1"/>
  <c r="K70" i="29"/>
  <c r="O70" i="29" s="1"/>
  <c r="K87" i="25"/>
  <c r="O87" i="25" s="1"/>
  <c r="N87" i="25"/>
  <c r="L87" i="25"/>
  <c r="M87" i="25"/>
  <c r="Q87" i="25" s="1"/>
  <c r="P58" i="25"/>
  <c r="M121" i="25"/>
  <c r="K121" i="25"/>
  <c r="J121" i="25"/>
  <c r="L121" i="25"/>
  <c r="AG122" i="30"/>
  <c r="Q40" i="25"/>
  <c r="AQ100" i="30"/>
  <c r="J35" i="51" s="1"/>
  <c r="Q136" i="29"/>
  <c r="Y41" i="29"/>
  <c r="I120" i="29"/>
  <c r="N63" i="29"/>
  <c r="K63" i="29"/>
  <c r="M63" i="29"/>
  <c r="L63" i="29"/>
  <c r="B87" i="29"/>
  <c r="D155" i="29" s="1"/>
  <c r="H87" i="29"/>
  <c r="G87" i="29"/>
  <c r="I87" i="29"/>
  <c r="Q137" i="29"/>
  <c r="AR121" i="30"/>
  <c r="K56" i="51" s="1"/>
  <c r="Q133" i="29"/>
  <c r="AQ103" i="30"/>
  <c r="J38" i="51" s="1"/>
  <c r="J114" i="29"/>
  <c r="L114" i="29"/>
  <c r="M114" i="29"/>
  <c r="K114" i="29"/>
  <c r="AS120" i="30"/>
  <c r="L55" i="51" s="1"/>
  <c r="AS100" i="30"/>
  <c r="L35" i="51" s="1"/>
  <c r="P50" i="29"/>
  <c r="H156" i="16"/>
  <c r="X46" i="16"/>
  <c r="P30" i="16"/>
  <c r="L54" i="16"/>
  <c r="M45" i="30"/>
  <c r="X74" i="30"/>
  <c r="M74" i="30"/>
  <c r="AI74" i="30"/>
  <c r="X45" i="30"/>
  <c r="AI45" i="30"/>
  <c r="BI6" i="31"/>
  <c r="BH6" i="31"/>
  <c r="AV6" i="23"/>
  <c r="AP108" i="30"/>
  <c r="I43" i="51" s="1"/>
  <c r="P52" i="16"/>
  <c r="Q106" i="15"/>
  <c r="M17" i="51" s="1"/>
  <c r="D57" i="51"/>
  <c r="D60" i="51" s="1"/>
  <c r="AG30" i="15"/>
  <c r="AL30" i="15"/>
  <c r="Q50" i="43"/>
  <c r="F36" i="57"/>
  <c r="M53" i="34"/>
  <c r="L68" i="25"/>
  <c r="P68" i="25" s="1"/>
  <c r="N68" i="25"/>
  <c r="M68" i="25"/>
  <c r="Q68" i="25" s="1"/>
  <c r="K68" i="25"/>
  <c r="O68" i="25" s="1"/>
  <c r="AA25" i="29"/>
  <c r="AF25" i="29"/>
  <c r="AP102" i="30"/>
  <c r="I37" i="51" s="1"/>
  <c r="AS112" i="30"/>
  <c r="L47" i="51" s="1"/>
  <c r="L105" i="25"/>
  <c r="J105" i="25"/>
  <c r="M105" i="25"/>
  <c r="K105" i="25"/>
  <c r="Q46" i="16"/>
  <c r="AF26" i="29"/>
  <c r="AA26" i="29"/>
  <c r="AA25" i="25"/>
  <c r="AF25" i="25"/>
  <c r="X141" i="12"/>
  <c r="X162" i="12" s="1"/>
  <c r="V141" i="12"/>
  <c r="Z141" i="12" s="1"/>
  <c r="AC141" i="12" s="1"/>
  <c r="D204" i="12" s="1"/>
  <c r="F204" i="12" s="1"/>
  <c r="E184" i="24"/>
  <c r="E215" i="24" s="1"/>
  <c r="AO115" i="30"/>
  <c r="M115" i="30"/>
  <c r="K68" i="16"/>
  <c r="O68" i="16" s="1"/>
  <c r="M68" i="16"/>
  <c r="Q68" i="16" s="1"/>
  <c r="N68" i="16"/>
  <c r="P140" i="16"/>
  <c r="L68" i="16"/>
  <c r="P68" i="16" s="1"/>
  <c r="O140" i="16"/>
  <c r="N140" i="16"/>
  <c r="AQ118" i="30"/>
  <c r="J53" i="51" s="1"/>
  <c r="Z15" i="34"/>
  <c r="Z48" i="34" s="1"/>
  <c r="N33" i="15"/>
  <c r="J42" i="57"/>
  <c r="P159" i="25"/>
  <c r="G124" i="25"/>
  <c r="J100" i="25"/>
  <c r="L100" i="25"/>
  <c r="K100" i="25"/>
  <c r="M100" i="25"/>
  <c r="P37" i="16"/>
  <c r="X111" i="30"/>
  <c r="Q142" i="43"/>
  <c r="O44" i="43"/>
  <c r="P47" i="25"/>
  <c r="K102" i="25"/>
  <c r="L102" i="25"/>
  <c r="J102" i="25"/>
  <c r="M102" i="25"/>
  <c r="Q39" i="25"/>
  <c r="P39" i="43"/>
  <c r="AS117" i="30"/>
  <c r="L52" i="51" s="1"/>
  <c r="Q42" i="16"/>
  <c r="L28" i="60"/>
  <c r="N46" i="25"/>
  <c r="H61" i="14" s="1"/>
  <c r="I61" i="14" s="1"/>
  <c r="O46" i="25"/>
  <c r="P53" i="29"/>
  <c r="X99" i="30"/>
  <c r="AR108" i="30"/>
  <c r="K43" i="51" s="1"/>
  <c r="AI102" i="30"/>
  <c r="AR112" i="30"/>
  <c r="K47" i="51" s="1"/>
  <c r="N76" i="43"/>
  <c r="K76" i="43"/>
  <c r="O76" i="43" s="1"/>
  <c r="M76" i="43"/>
  <c r="L76" i="43"/>
  <c r="P76" i="43" s="1"/>
  <c r="AI100" i="30"/>
  <c r="Q34" i="43"/>
  <c r="O34" i="43"/>
  <c r="AS119" i="30"/>
  <c r="L54" i="51" s="1"/>
  <c r="X103" i="30"/>
  <c r="Q45" i="25"/>
  <c r="L113" i="25"/>
  <c r="M113" i="25"/>
  <c r="K113" i="25"/>
  <c r="J113" i="25"/>
  <c r="J58" i="15"/>
  <c r="L58" i="15"/>
  <c r="K58" i="15"/>
  <c r="M58" i="15"/>
  <c r="N53" i="25"/>
  <c r="H68" i="14" s="1"/>
  <c r="I68" i="14" s="1"/>
  <c r="O53" i="25"/>
  <c r="AO113" i="30"/>
  <c r="M113" i="30"/>
  <c r="P45" i="29"/>
  <c r="AG25" i="15"/>
  <c r="AL25" i="15"/>
  <c r="AX23" i="34"/>
  <c r="N91" i="24"/>
  <c r="A228" i="24" s="1"/>
  <c r="H30" i="23"/>
  <c r="F30" i="23"/>
  <c r="I30" i="23"/>
  <c r="G30" i="23"/>
  <c r="G28" i="57"/>
  <c r="K28" i="57" s="1"/>
  <c r="O28" i="57" s="1"/>
  <c r="Y45" i="34"/>
  <c r="CN9" i="23"/>
  <c r="BF9" i="31" s="1"/>
  <c r="L63" i="43"/>
  <c r="P63" i="43" s="1"/>
  <c r="M63" i="43"/>
  <c r="Q63" i="43" s="1"/>
  <c r="K63" i="43"/>
  <c r="O63" i="43" s="1"/>
  <c r="N63" i="43"/>
  <c r="P56" i="25"/>
  <c r="Q139" i="25"/>
  <c r="Q48" i="16"/>
  <c r="P41" i="43"/>
  <c r="X48" i="30"/>
  <c r="M77" i="30"/>
  <c r="AI77" i="30"/>
  <c r="X77" i="30"/>
  <c r="AI48" i="30"/>
  <c r="M48" i="30"/>
  <c r="N41" i="29"/>
  <c r="D57" i="56" s="1"/>
  <c r="O41" i="29"/>
  <c r="Q108" i="15"/>
  <c r="M19" i="51" s="1"/>
  <c r="N154" i="43"/>
  <c r="Q130" i="43"/>
  <c r="I119" i="43"/>
  <c r="AG21" i="15"/>
  <c r="AL21" i="15"/>
  <c r="Q135" i="43"/>
  <c r="Z27" i="34"/>
  <c r="Z60" i="34" s="1"/>
  <c r="N36" i="29"/>
  <c r="D52" i="56" s="1"/>
  <c r="O36" i="29"/>
  <c r="M109" i="29"/>
  <c r="J109" i="29"/>
  <c r="L109" i="29"/>
  <c r="K109" i="29"/>
  <c r="J113" i="16"/>
  <c r="M113" i="16"/>
  <c r="N113" i="16" s="1"/>
  <c r="C277" i="16" s="1"/>
  <c r="AS104" i="30"/>
  <c r="L39" i="51" s="1"/>
  <c r="E170" i="24"/>
  <c r="E201" i="24" s="1"/>
  <c r="F201" i="24" s="1"/>
  <c r="Q31" i="23"/>
  <c r="R31" i="23"/>
  <c r="N29" i="32"/>
  <c r="C9" i="20" s="1"/>
  <c r="O29" i="32"/>
  <c r="AH31" i="23"/>
  <c r="Q45" i="16"/>
  <c r="P52" i="43"/>
  <c r="R68" i="24"/>
  <c r="B199" i="24" s="1"/>
  <c r="AR61" i="34"/>
  <c r="G130" i="25"/>
  <c r="S122" i="30"/>
  <c r="X98" i="30"/>
  <c r="P31" i="16"/>
  <c r="N95" i="12"/>
  <c r="AF34" i="29"/>
  <c r="AA34" i="29"/>
  <c r="I37" i="57"/>
  <c r="J37" i="57"/>
  <c r="M118" i="29"/>
  <c r="J118" i="29"/>
  <c r="K118" i="29"/>
  <c r="L118" i="29"/>
  <c r="O48" i="29"/>
  <c r="N48" i="29"/>
  <c r="D64" i="56" s="1"/>
  <c r="Q48" i="29"/>
  <c r="AQ105" i="30"/>
  <c r="J40" i="51" s="1"/>
  <c r="N32" i="16"/>
  <c r="O32" i="16"/>
  <c r="Z7" i="34"/>
  <c r="Z40" i="34" s="1"/>
  <c r="AF29" i="43"/>
  <c r="AA29" i="43"/>
  <c r="Q42" i="29"/>
  <c r="Q112" i="15"/>
  <c r="M23" i="51" s="1"/>
  <c r="J75" i="15"/>
  <c r="K75" i="15"/>
  <c r="M75" i="15"/>
  <c r="L75" i="15"/>
  <c r="P54" i="25"/>
  <c r="AS116" i="30"/>
  <c r="L51" i="51" s="1"/>
  <c r="Q59" i="25"/>
  <c r="AF44" i="16"/>
  <c r="AA44" i="16"/>
  <c r="C216" i="16" s="1"/>
  <c r="Y47" i="34"/>
  <c r="G30" i="57"/>
  <c r="K30" i="57" s="1"/>
  <c r="O30" i="57" s="1"/>
  <c r="P42" i="43"/>
  <c r="K114" i="25"/>
  <c r="J114" i="25"/>
  <c r="L114" i="25"/>
  <c r="M114" i="25"/>
  <c r="AS99" i="30"/>
  <c r="L34" i="51" s="1"/>
  <c r="AQ106" i="30"/>
  <c r="J41" i="51" s="1"/>
  <c r="O50" i="29"/>
  <c r="N50" i="29"/>
  <c r="D66" i="56" s="1"/>
  <c r="AX43" i="34"/>
  <c r="J106" i="43"/>
  <c r="K106" i="43"/>
  <c r="L106" i="43"/>
  <c r="M106" i="43"/>
  <c r="AL10" i="15"/>
  <c r="AG10" i="15"/>
  <c r="D76" i="14"/>
  <c r="A227" i="24"/>
  <c r="N63" i="24"/>
  <c r="N159" i="25"/>
  <c r="Q135" i="25"/>
  <c r="Y57" i="34"/>
  <c r="G40" i="57"/>
  <c r="K40" i="57" s="1"/>
  <c r="O40" i="57" s="1"/>
  <c r="Q46" i="25"/>
  <c r="M97" i="43"/>
  <c r="L97" i="43"/>
  <c r="K97" i="43"/>
  <c r="J97" i="43"/>
  <c r="AS63" i="30"/>
  <c r="J108" i="43"/>
  <c r="K108" i="43"/>
  <c r="M108" i="43"/>
  <c r="L108" i="43"/>
  <c r="N46" i="29"/>
  <c r="D62" i="56" s="1"/>
  <c r="O46" i="29"/>
  <c r="R46" i="29" s="1"/>
  <c r="AA34" i="16"/>
  <c r="C206" i="16" s="1"/>
  <c r="AF34" i="16"/>
  <c r="K82" i="43"/>
  <c r="O82" i="43" s="1"/>
  <c r="M82" i="43"/>
  <c r="Q82" i="43" s="1"/>
  <c r="N82" i="43"/>
  <c r="L82" i="43"/>
  <c r="P82" i="43" s="1"/>
  <c r="Q55" i="29"/>
  <c r="P47" i="43"/>
  <c r="K111" i="25"/>
  <c r="L111" i="25"/>
  <c r="M111" i="25"/>
  <c r="J111" i="25"/>
  <c r="J25" i="57"/>
  <c r="N65" i="43"/>
  <c r="K65" i="43"/>
  <c r="O65" i="43" s="1"/>
  <c r="M65" i="43"/>
  <c r="Q65" i="43" s="1"/>
  <c r="L65" i="43"/>
  <c r="P65" i="43" s="1"/>
  <c r="J41" i="57"/>
  <c r="I41" i="57"/>
  <c r="AS105" i="30"/>
  <c r="L40" i="51" s="1"/>
  <c r="J99" i="43"/>
  <c r="L99" i="43"/>
  <c r="K99" i="43"/>
  <c r="M99" i="43"/>
  <c r="O42" i="29"/>
  <c r="N42" i="29"/>
  <c r="D58" i="56" s="1"/>
  <c r="M73" i="15"/>
  <c r="L73" i="15"/>
  <c r="K73" i="15"/>
  <c r="J73" i="15"/>
  <c r="AV9" i="23"/>
  <c r="BI9" i="31"/>
  <c r="BH9" i="31"/>
  <c r="Q54" i="25"/>
  <c r="N74" i="16"/>
  <c r="M74" i="16"/>
  <c r="Q74" i="16" s="1"/>
  <c r="P146" i="16"/>
  <c r="O146" i="16"/>
  <c r="L74" i="16"/>
  <c r="P74" i="16" s="1"/>
  <c r="N146" i="16"/>
  <c r="K74" i="16"/>
  <c r="Q91" i="24"/>
  <c r="X105" i="30"/>
  <c r="Q114" i="15"/>
  <c r="M25" i="51" s="1"/>
  <c r="N38" i="15"/>
  <c r="AQ112" i="30"/>
  <c r="J47" i="51" s="1"/>
  <c r="AO106" i="30"/>
  <c r="M106" i="30"/>
  <c r="AF35" i="29"/>
  <c r="AA35" i="29"/>
  <c r="O60" i="25"/>
  <c r="N60" i="25"/>
  <c r="H75" i="14" s="1"/>
  <c r="I75" i="14" s="1"/>
  <c r="Q136" i="43"/>
  <c r="AO99" i="30"/>
  <c r="M99" i="30"/>
  <c r="L115" i="29"/>
  <c r="M115" i="29"/>
  <c r="K115" i="29"/>
  <c r="J115" i="29"/>
  <c r="J105" i="43"/>
  <c r="L105" i="43"/>
  <c r="K105" i="43"/>
  <c r="M105" i="43"/>
  <c r="Q142" i="25"/>
  <c r="G27" i="57"/>
  <c r="K27" i="57" s="1"/>
  <c r="O27" i="57" s="1"/>
  <c r="Y44" i="34"/>
  <c r="K81" i="25"/>
  <c r="O81" i="25" s="1"/>
  <c r="M81" i="25"/>
  <c r="N81" i="25"/>
  <c r="L81" i="25"/>
  <c r="P81" i="25" s="1"/>
  <c r="AL28" i="15"/>
  <c r="AG28" i="15"/>
  <c r="N29" i="15"/>
  <c r="B215" i="24"/>
  <c r="Q48" i="43"/>
  <c r="Q146" i="43"/>
  <c r="M116" i="16"/>
  <c r="N116" i="16" s="1"/>
  <c r="C280" i="16" s="1"/>
  <c r="J116" i="16"/>
  <c r="J92" i="30"/>
  <c r="AF122" i="30"/>
  <c r="P49" i="29"/>
  <c r="O39" i="16"/>
  <c r="N39" i="16"/>
  <c r="BC10" i="31"/>
  <c r="CN10" i="23"/>
  <c r="BF10" i="31" s="1"/>
  <c r="N57" i="25"/>
  <c r="H72" i="14" s="1"/>
  <c r="I72" i="14" s="1"/>
  <c r="O57" i="25"/>
  <c r="Q58" i="25"/>
  <c r="Q53" i="43"/>
  <c r="V28" i="60"/>
  <c r="AR98" i="30"/>
  <c r="K33" i="51" s="1"/>
  <c r="K122" i="30"/>
  <c r="G209" i="12"/>
  <c r="F27" i="14"/>
  <c r="Q38" i="29"/>
  <c r="AC41" i="29"/>
  <c r="O155" i="29"/>
  <c r="AU14" i="60"/>
  <c r="G211" i="12"/>
  <c r="F29" i="14"/>
  <c r="K76" i="15"/>
  <c r="M76" i="15"/>
  <c r="L76" i="15"/>
  <c r="J76" i="15"/>
  <c r="N35" i="29"/>
  <c r="D51" i="56" s="1"/>
  <c r="O35" i="29"/>
  <c r="AA39" i="43"/>
  <c r="J60" i="15"/>
  <c r="L60" i="15"/>
  <c r="M60" i="15"/>
  <c r="K60" i="15"/>
  <c r="AO110" i="30"/>
  <c r="M110" i="30"/>
  <c r="O51" i="29"/>
  <c r="N51" i="29"/>
  <c r="D67" i="56" s="1"/>
  <c r="Q105" i="15"/>
  <c r="M16" i="51" s="1"/>
  <c r="AO119" i="30"/>
  <c r="M119" i="30"/>
  <c r="Q148" i="29"/>
  <c r="D156" i="16"/>
  <c r="C156" i="16"/>
  <c r="P132" i="16"/>
  <c r="O132" i="16"/>
  <c r="K60" i="16"/>
  <c r="N60" i="16"/>
  <c r="B84" i="16"/>
  <c r="E84" i="16" s="1"/>
  <c r="G84" i="16" s="1"/>
  <c r="H84" i="16" s="1"/>
  <c r="I84" i="16" s="1"/>
  <c r="N132" i="16"/>
  <c r="M60" i="16"/>
  <c r="D164" i="16" s="1"/>
  <c r="L60" i="16"/>
  <c r="C164" i="16" s="1"/>
  <c r="AI104" i="30"/>
  <c r="O52" i="16"/>
  <c r="N52" i="16"/>
  <c r="B202" i="24"/>
  <c r="Q141" i="43"/>
  <c r="AA16" i="25"/>
  <c r="AF16" i="25"/>
  <c r="O50" i="43"/>
  <c r="L106" i="29"/>
  <c r="M106" i="29"/>
  <c r="J106" i="29"/>
  <c r="K106" i="29"/>
  <c r="Q141" i="25"/>
  <c r="M106" i="25"/>
  <c r="L106" i="25"/>
  <c r="J106" i="25"/>
  <c r="K106" i="25"/>
  <c r="Q38" i="25"/>
  <c r="BH20" i="31"/>
  <c r="BI20" i="31"/>
  <c r="AV20" i="23"/>
  <c r="AR114" i="30"/>
  <c r="K49" i="51" s="1"/>
  <c r="E173" i="24"/>
  <c r="E204" i="24" s="1"/>
  <c r="Q34" i="16"/>
  <c r="P42" i="25"/>
  <c r="F28" i="57"/>
  <c r="M45" i="34"/>
  <c r="U9" i="50"/>
  <c r="O46" i="16"/>
  <c r="N46" i="16"/>
  <c r="AI90" i="30"/>
  <c r="M90" i="30"/>
  <c r="X90" i="30"/>
  <c r="AI61" i="30"/>
  <c r="X61" i="30"/>
  <c r="M61" i="30"/>
  <c r="AL15" i="34"/>
  <c r="AL48" i="34" s="1"/>
  <c r="AF36" i="29"/>
  <c r="AA36" i="29"/>
  <c r="P138" i="16"/>
  <c r="O138" i="16"/>
  <c r="L66" i="16"/>
  <c r="P66" i="16" s="1"/>
  <c r="N66" i="16"/>
  <c r="N138" i="16"/>
  <c r="M66" i="16"/>
  <c r="Q66" i="16" s="1"/>
  <c r="K66" i="16"/>
  <c r="O66" i="16" s="1"/>
  <c r="H124" i="25"/>
  <c r="O47" i="29"/>
  <c r="N47" i="29"/>
  <c r="D63" i="56" s="1"/>
  <c r="BH16" i="31"/>
  <c r="AV16" i="23"/>
  <c r="BI16" i="31"/>
  <c r="AI111" i="30"/>
  <c r="Q44" i="43"/>
  <c r="M77" i="25"/>
  <c r="Q77" i="25" s="1"/>
  <c r="L77" i="25"/>
  <c r="P77" i="25" s="1"/>
  <c r="K77" i="25"/>
  <c r="O77" i="25" s="1"/>
  <c r="N77" i="25"/>
  <c r="K69" i="25"/>
  <c r="O69" i="25" s="1"/>
  <c r="M69" i="25"/>
  <c r="Q69" i="25" s="1"/>
  <c r="L69" i="25"/>
  <c r="P69" i="25" s="1"/>
  <c r="N69" i="25"/>
  <c r="Q39" i="43"/>
  <c r="K72" i="16"/>
  <c r="O72" i="16" s="1"/>
  <c r="N72" i="16"/>
  <c r="M72" i="16"/>
  <c r="Q72" i="16" s="1"/>
  <c r="L72" i="16"/>
  <c r="P72" i="16" s="1"/>
  <c r="O144" i="16"/>
  <c r="P144" i="16"/>
  <c r="N144" i="16"/>
  <c r="X43" i="24"/>
  <c r="AH28" i="60"/>
  <c r="Q144" i="25"/>
  <c r="AF30" i="43"/>
  <c r="AA30" i="43"/>
  <c r="Q53" i="29"/>
  <c r="AU5" i="60"/>
  <c r="AE122" i="30"/>
  <c r="P46" i="43"/>
  <c r="M64" i="29"/>
  <c r="Q64" i="29" s="1"/>
  <c r="K64" i="29"/>
  <c r="O64" i="29" s="1"/>
  <c r="N64" i="29"/>
  <c r="L64" i="29"/>
  <c r="P64" i="29" s="1"/>
  <c r="Q132" i="29"/>
  <c r="N64" i="43"/>
  <c r="L64" i="43"/>
  <c r="P64" i="43" s="1"/>
  <c r="M64" i="43"/>
  <c r="Q64" i="43" s="1"/>
  <c r="K64" i="43"/>
  <c r="O64" i="43" s="1"/>
  <c r="AP109" i="30"/>
  <c r="I44" i="51" s="1"/>
  <c r="J66" i="15"/>
  <c r="K66" i="15"/>
  <c r="M66" i="15"/>
  <c r="L66" i="15"/>
  <c r="BH17" i="31"/>
  <c r="AV17" i="23"/>
  <c r="BI17" i="31"/>
  <c r="L75" i="25"/>
  <c r="P75" i="25" s="1"/>
  <c r="M75" i="25"/>
  <c r="Q75" i="25" s="1"/>
  <c r="N75" i="25"/>
  <c r="K75" i="25"/>
  <c r="O75" i="25" s="1"/>
  <c r="N80" i="25"/>
  <c r="L80" i="25"/>
  <c r="P80" i="25" s="1"/>
  <c r="M80" i="25"/>
  <c r="Q80" i="25" s="1"/>
  <c r="K80" i="25"/>
  <c r="O80" i="25" s="1"/>
  <c r="AF11" i="25"/>
  <c r="AA11" i="25"/>
  <c r="AF30" i="9"/>
  <c r="AA30" i="9"/>
  <c r="E167" i="24"/>
  <c r="E198" i="24" s="1"/>
  <c r="B191" i="24"/>
  <c r="AG8" i="15"/>
  <c r="AL8" i="15"/>
  <c r="AF32" i="15"/>
  <c r="P35" i="16"/>
  <c r="N37" i="29"/>
  <c r="D53" i="56" s="1"/>
  <c r="O37" i="29"/>
  <c r="M79" i="15"/>
  <c r="L79" i="15"/>
  <c r="J79" i="15"/>
  <c r="K79" i="15"/>
  <c r="AA21" i="29"/>
  <c r="AF21" i="29"/>
  <c r="AK60" i="34"/>
  <c r="H43" i="57"/>
  <c r="L43" i="57" s="1"/>
  <c r="P43" i="57" s="1"/>
  <c r="O149" i="16"/>
  <c r="M77" i="16"/>
  <c r="Q77" i="16" s="1"/>
  <c r="N77" i="16"/>
  <c r="N149" i="16"/>
  <c r="L77" i="16"/>
  <c r="K77" i="16"/>
  <c r="O77" i="16" s="1"/>
  <c r="P149" i="16"/>
  <c r="J72" i="15"/>
  <c r="L72" i="15"/>
  <c r="K72" i="15"/>
  <c r="M72" i="15"/>
  <c r="O45" i="43"/>
  <c r="N30" i="15"/>
  <c r="Q56" i="25"/>
  <c r="P41" i="25"/>
  <c r="M78" i="16"/>
  <c r="K78" i="16"/>
  <c r="O78" i="16" s="1"/>
  <c r="O150" i="16"/>
  <c r="P150" i="16"/>
  <c r="N150" i="16"/>
  <c r="N78" i="16"/>
  <c r="L78" i="16"/>
  <c r="P78" i="16" s="1"/>
  <c r="AF30" i="16"/>
  <c r="AA30" i="16"/>
  <c r="C202" i="16" s="1"/>
  <c r="M71" i="43"/>
  <c r="Q71" i="43" s="1"/>
  <c r="N71" i="43"/>
  <c r="K71" i="43"/>
  <c r="O71" i="43" s="1"/>
  <c r="L71" i="43"/>
  <c r="P71" i="43" s="1"/>
  <c r="Z13" i="34"/>
  <c r="Z46" i="34" s="1"/>
  <c r="K71" i="29"/>
  <c r="O71" i="29" s="1"/>
  <c r="N71" i="29"/>
  <c r="L71" i="29"/>
  <c r="M71" i="29"/>
  <c r="Q71" i="29" s="1"/>
  <c r="N117" i="15"/>
  <c r="Q93" i="15"/>
  <c r="C256" i="15"/>
  <c r="C260" i="15" s="1"/>
  <c r="D260" i="15" s="1"/>
  <c r="E260" i="15" s="1"/>
  <c r="B31" i="35"/>
  <c r="AP107" i="30"/>
  <c r="I42" i="51" s="1"/>
  <c r="AA34" i="43"/>
  <c r="W40" i="43"/>
  <c r="B57" i="43"/>
  <c r="Q37" i="43"/>
  <c r="AU20" i="60"/>
  <c r="M103" i="16"/>
  <c r="N103" i="16" s="1"/>
  <c r="C267" i="16" s="1"/>
  <c r="J103" i="16"/>
  <c r="O49" i="43"/>
  <c r="N50" i="16"/>
  <c r="O50" i="16"/>
  <c r="AP99" i="30"/>
  <c r="I34" i="51" s="1"/>
  <c r="R88" i="24"/>
  <c r="B219" i="24" s="1"/>
  <c r="F219" i="24" s="1"/>
  <c r="Q150" i="43"/>
  <c r="AF21" i="25"/>
  <c r="AA21" i="25"/>
  <c r="AO28" i="60"/>
  <c r="M29" i="30"/>
  <c r="M28" i="60" s="1"/>
  <c r="CN27" i="23"/>
  <c r="BF27" i="31" s="1"/>
  <c r="F91" i="24"/>
  <c r="F92" i="24" s="1"/>
  <c r="P56" i="29"/>
  <c r="P55" i="29"/>
  <c r="O47" i="43"/>
  <c r="L78" i="25"/>
  <c r="P78" i="25" s="1"/>
  <c r="K78" i="25"/>
  <c r="O78" i="25" s="1"/>
  <c r="N78" i="25"/>
  <c r="M78" i="25"/>
  <c r="Q78" i="25" s="1"/>
  <c r="J98" i="43"/>
  <c r="K98" i="43"/>
  <c r="M98" i="43"/>
  <c r="L98" i="43"/>
  <c r="AU11" i="60"/>
  <c r="O46" i="32"/>
  <c r="AI101" i="30"/>
  <c r="O36" i="43"/>
  <c r="N41" i="15"/>
  <c r="AK41" i="34"/>
  <c r="H24" i="57"/>
  <c r="L24" i="57" s="1"/>
  <c r="P24" i="57" s="1"/>
  <c r="AA38" i="43"/>
  <c r="AS121" i="30"/>
  <c r="L56" i="51" s="1"/>
  <c r="N54" i="25"/>
  <c r="H69" i="14" s="1"/>
  <c r="I69" i="14" s="1"/>
  <c r="O54" i="25"/>
  <c r="D191" i="24"/>
  <c r="AP112" i="30"/>
  <c r="I47" i="51" s="1"/>
  <c r="J20" i="57"/>
  <c r="I20" i="57"/>
  <c r="AP121" i="30"/>
  <c r="I56" i="51" s="1"/>
  <c r="Q157" i="25"/>
  <c r="AS107" i="30"/>
  <c r="L42" i="51" s="1"/>
  <c r="M78" i="43"/>
  <c r="Q78" i="43" s="1"/>
  <c r="L78" i="43"/>
  <c r="P78" i="43" s="1"/>
  <c r="N78" i="43"/>
  <c r="K78" i="43"/>
  <c r="BC19" i="31"/>
  <c r="CN19" i="23"/>
  <c r="BF19" i="31" s="1"/>
  <c r="AL22" i="15"/>
  <c r="AG22" i="15"/>
  <c r="P55" i="43"/>
  <c r="N58" i="25"/>
  <c r="H73" i="14" s="1"/>
  <c r="I73" i="14" s="1"/>
  <c r="O58" i="25"/>
  <c r="M51" i="30"/>
  <c r="AI80" i="30"/>
  <c r="AI51" i="30"/>
  <c r="M80" i="30"/>
  <c r="X80" i="30"/>
  <c r="X51" i="30"/>
  <c r="AF23" i="29"/>
  <c r="AA23" i="29"/>
  <c r="N34" i="16"/>
  <c r="O34" i="16"/>
  <c r="P52" i="25"/>
  <c r="G202" i="12"/>
  <c r="F20" i="14"/>
  <c r="M101" i="16"/>
  <c r="N101" i="16" s="1"/>
  <c r="C265" i="16" s="1"/>
  <c r="J101" i="16"/>
  <c r="P39" i="25"/>
  <c r="AF28" i="16"/>
  <c r="AA28" i="16"/>
  <c r="C200" i="16" s="1"/>
  <c r="X102" i="30"/>
  <c r="M97" i="29"/>
  <c r="J97" i="29"/>
  <c r="K97" i="29"/>
  <c r="L97" i="29"/>
  <c r="AU25" i="60"/>
  <c r="AO103" i="30"/>
  <c r="M103" i="30"/>
  <c r="Q50" i="25"/>
  <c r="G203" i="12"/>
  <c r="F21" i="14"/>
  <c r="D130" i="24"/>
  <c r="G131" i="24"/>
  <c r="Q37" i="29"/>
  <c r="BH13" i="31"/>
  <c r="BI13" i="31"/>
  <c r="AV13" i="23"/>
  <c r="BH28" i="31"/>
  <c r="BI28" i="31"/>
  <c r="AV28" i="23"/>
  <c r="J27" i="57"/>
  <c r="P45" i="43"/>
  <c r="N56" i="25"/>
  <c r="H71" i="14" s="1"/>
  <c r="I71" i="14" s="1"/>
  <c r="O56" i="25"/>
  <c r="M114" i="16"/>
  <c r="N114" i="16" s="1"/>
  <c r="C278" i="16" s="1"/>
  <c r="J114" i="16"/>
  <c r="AX46" i="34"/>
  <c r="AG12" i="15"/>
  <c r="AL12" i="15"/>
  <c r="AS114" i="30"/>
  <c r="L49" i="51" s="1"/>
  <c r="P50" i="16"/>
  <c r="AA24" i="25"/>
  <c r="AF24" i="25"/>
  <c r="O31" i="16"/>
  <c r="N31" i="16"/>
  <c r="AA22" i="29"/>
  <c r="AF22" i="29"/>
  <c r="BH18" i="31"/>
  <c r="BI18" i="31"/>
  <c r="AV18" i="23"/>
  <c r="Q158" i="25"/>
  <c r="X84" i="30"/>
  <c r="AI84" i="30"/>
  <c r="AI55" i="30"/>
  <c r="M84" i="30"/>
  <c r="M55" i="30"/>
  <c r="X55" i="30"/>
  <c r="AI99" i="30"/>
  <c r="K59" i="15"/>
  <c r="M59" i="15"/>
  <c r="J59" i="15"/>
  <c r="L59" i="15"/>
  <c r="M72" i="43"/>
  <c r="Q72" i="43" s="1"/>
  <c r="L72" i="43"/>
  <c r="P72" i="43" s="1"/>
  <c r="N72" i="43"/>
  <c r="K72" i="43"/>
  <c r="O72" i="43" s="1"/>
  <c r="Z138" i="12"/>
  <c r="AC138" i="12" s="1"/>
  <c r="D201" i="12" s="1"/>
  <c r="Q51" i="25"/>
  <c r="Q98" i="15"/>
  <c r="M9" i="51" s="1"/>
  <c r="L61" i="15"/>
  <c r="K61" i="15"/>
  <c r="M61" i="15"/>
  <c r="J61" i="15"/>
  <c r="Q44" i="29"/>
  <c r="AX51" i="34"/>
  <c r="J59" i="32"/>
  <c r="AT28" i="34"/>
  <c r="AQ98" i="30"/>
  <c r="J33" i="51" s="1"/>
  <c r="J122" i="30"/>
  <c r="Q55" i="25"/>
  <c r="Q147" i="29"/>
  <c r="Q49" i="29"/>
  <c r="AU12" i="60"/>
  <c r="Q39" i="16"/>
  <c r="AG29" i="15"/>
  <c r="AL29" i="15"/>
  <c r="Q55" i="43"/>
  <c r="J114" i="43"/>
  <c r="M114" i="43"/>
  <c r="K114" i="43"/>
  <c r="L114" i="43"/>
  <c r="AF22" i="9"/>
  <c r="AA22" i="9"/>
  <c r="P57" i="25"/>
  <c r="K88" i="25"/>
  <c r="O88" i="25" s="1"/>
  <c r="N88" i="25"/>
  <c r="M88" i="25"/>
  <c r="Q88" i="25" s="1"/>
  <c r="L88" i="25"/>
  <c r="P88" i="25" s="1"/>
  <c r="L83" i="43"/>
  <c r="P83" i="43" s="1"/>
  <c r="N83" i="43"/>
  <c r="K83" i="43"/>
  <c r="O83" i="43" s="1"/>
  <c r="M83" i="43"/>
  <c r="Q83" i="43" s="1"/>
  <c r="AG28" i="60"/>
  <c r="V122" i="30"/>
  <c r="N40" i="25"/>
  <c r="H55" i="14" s="1"/>
  <c r="I55" i="14" s="1"/>
  <c r="O40" i="25"/>
  <c r="B170" i="25"/>
  <c r="AB41" i="29"/>
  <c r="P33" i="29"/>
  <c r="L57" i="29"/>
  <c r="M69" i="29"/>
  <c r="Q69" i="29" s="1"/>
  <c r="K69" i="29"/>
  <c r="O69" i="29" s="1"/>
  <c r="N69" i="29"/>
  <c r="L69" i="29"/>
  <c r="P69" i="29" s="1"/>
  <c r="N65" i="29"/>
  <c r="L65" i="29"/>
  <c r="P65" i="29" s="1"/>
  <c r="K65" i="29"/>
  <c r="O65" i="29" s="1"/>
  <c r="M65" i="29"/>
  <c r="Q65" i="29" s="1"/>
  <c r="B217" i="24"/>
  <c r="Q51" i="29"/>
  <c r="AU26" i="60"/>
  <c r="AF20" i="29"/>
  <c r="AA20" i="29"/>
  <c r="E54" i="16"/>
  <c r="I54" i="16" s="1"/>
  <c r="F156" i="16"/>
  <c r="I156" i="16"/>
  <c r="Q30" i="16"/>
  <c r="M54" i="16"/>
  <c r="X104" i="30"/>
  <c r="AA35" i="16"/>
  <c r="C207" i="16" s="1"/>
  <c r="AF35" i="16"/>
  <c r="AV19" i="23"/>
  <c r="BI19" i="31"/>
  <c r="BH19" i="31"/>
  <c r="G59" i="32"/>
  <c r="K84" i="29"/>
  <c r="O84" i="29" s="1"/>
  <c r="M84" i="29"/>
  <c r="Q84" i="29" s="1"/>
  <c r="L84" i="29"/>
  <c r="P84" i="29" s="1"/>
  <c r="N84" i="29"/>
  <c r="Q141" i="29"/>
  <c r="N43" i="29"/>
  <c r="D59" i="56" s="1"/>
  <c r="O43" i="29"/>
  <c r="Q43" i="25"/>
  <c r="P38" i="25"/>
  <c r="Y52" i="34"/>
  <c r="G35" i="57"/>
  <c r="O42" i="25"/>
  <c r="N42" i="25"/>
  <c r="H57" i="14" s="1"/>
  <c r="I57" i="14" s="1"/>
  <c r="AF19" i="43"/>
  <c r="AA19" i="43"/>
  <c r="L82" i="25"/>
  <c r="P82" i="25" s="1"/>
  <c r="M82" i="25"/>
  <c r="Q82" i="25" s="1"/>
  <c r="K82" i="25"/>
  <c r="O82" i="25" s="1"/>
  <c r="N82" i="25"/>
  <c r="M76" i="16"/>
  <c r="Q76" i="16" s="1"/>
  <c r="L76" i="16"/>
  <c r="P76" i="16" s="1"/>
  <c r="N148" i="16"/>
  <c r="P148" i="16"/>
  <c r="O148" i="16"/>
  <c r="K76" i="16"/>
  <c r="O76" i="16" s="1"/>
  <c r="N76" i="16"/>
  <c r="AF39" i="16"/>
  <c r="AA39" i="16"/>
  <c r="C211" i="16" s="1"/>
  <c r="BH27" i="31"/>
  <c r="AV27" i="23"/>
  <c r="BI27" i="31"/>
  <c r="X85" i="30"/>
  <c r="AI85" i="30"/>
  <c r="M85" i="30"/>
  <c r="AI56" i="30"/>
  <c r="X56" i="30"/>
  <c r="M56" i="30"/>
  <c r="Q38" i="16"/>
  <c r="K61" i="25"/>
  <c r="O37" i="25"/>
  <c r="N37" i="25"/>
  <c r="U28" i="50"/>
  <c r="N77" i="29"/>
  <c r="K77" i="29"/>
  <c r="O77" i="29" s="1"/>
  <c r="M77" i="29"/>
  <c r="Q77" i="29" s="1"/>
  <c r="L77" i="29"/>
  <c r="AK40" i="34"/>
  <c r="H23" i="57"/>
  <c r="L23" i="57" s="1"/>
  <c r="P23" i="57" s="1"/>
  <c r="G216" i="12"/>
  <c r="F34" i="14"/>
  <c r="AU23" i="60"/>
  <c r="M21" i="20"/>
  <c r="M45" i="20" s="1"/>
  <c r="F45" i="20"/>
  <c r="BI22" i="31"/>
  <c r="BH22" i="31"/>
  <c r="AV22" i="23"/>
  <c r="W122" i="30"/>
  <c r="AR103" i="30"/>
  <c r="K38" i="51" s="1"/>
  <c r="Q151" i="29"/>
  <c r="AX8" i="34"/>
  <c r="G125" i="43"/>
  <c r="AP28" i="60"/>
  <c r="C191" i="24"/>
  <c r="Q46" i="43"/>
  <c r="P34" i="29"/>
  <c r="Z6" i="34"/>
  <c r="Z39" i="34" s="1"/>
  <c r="AG14" i="15"/>
  <c r="AL14" i="15"/>
  <c r="P33" i="16"/>
  <c r="Q132" i="43"/>
  <c r="AP103" i="30"/>
  <c r="I38" i="51" s="1"/>
  <c r="AF31" i="29"/>
  <c r="AA31" i="29"/>
  <c r="H32" i="57"/>
  <c r="L32" i="57" s="1"/>
  <c r="P32" i="57" s="1"/>
  <c r="AK49" i="34"/>
  <c r="L108" i="25"/>
  <c r="J108" i="25"/>
  <c r="M108" i="25"/>
  <c r="K108" i="25"/>
  <c r="P50" i="25"/>
  <c r="K83" i="25"/>
  <c r="O83" i="25" s="1"/>
  <c r="L83" i="25"/>
  <c r="P83" i="25" s="1"/>
  <c r="M83" i="25"/>
  <c r="Q83" i="25" s="1"/>
  <c r="N83" i="25"/>
  <c r="AP111" i="30"/>
  <c r="I46" i="51" s="1"/>
  <c r="AA15" i="25"/>
  <c r="AF15" i="25"/>
  <c r="AA25" i="16"/>
  <c r="C197" i="16" s="1"/>
  <c r="AF25" i="16"/>
  <c r="X117" i="30"/>
  <c r="P54" i="43"/>
  <c r="AR116" i="30"/>
  <c r="K51" i="51" s="1"/>
  <c r="AR119" i="30"/>
  <c r="K54" i="51" s="1"/>
  <c r="L59" i="32"/>
  <c r="M98" i="16"/>
  <c r="N98" i="16" s="1"/>
  <c r="C262" i="16" s="1"/>
  <c r="J98" i="16"/>
  <c r="L20" i="57"/>
  <c r="P37" i="29"/>
  <c r="AA40" i="16"/>
  <c r="C212" i="16" s="1"/>
  <c r="AF40" i="16"/>
  <c r="N47" i="15"/>
  <c r="N47" i="16"/>
  <c r="O47" i="16"/>
  <c r="N43" i="16"/>
  <c r="O43" i="16"/>
  <c r="Q49" i="16"/>
  <c r="Q45" i="43"/>
  <c r="Q99" i="15"/>
  <c r="M10" i="51" s="1"/>
  <c r="L62" i="15"/>
  <c r="M62" i="15"/>
  <c r="J62" i="15"/>
  <c r="K62" i="15"/>
  <c r="Q154" i="25"/>
  <c r="L86" i="25"/>
  <c r="P86" i="25" s="1"/>
  <c r="N86" i="25"/>
  <c r="K86" i="25"/>
  <c r="O86" i="25" s="1"/>
  <c r="M86" i="25"/>
  <c r="L104" i="25"/>
  <c r="J104" i="25"/>
  <c r="K104" i="25"/>
  <c r="M104" i="25"/>
  <c r="J111" i="16"/>
  <c r="M111" i="16"/>
  <c r="N111" i="16" s="1"/>
  <c r="C275" i="16" s="1"/>
  <c r="N51" i="16"/>
  <c r="O51" i="16"/>
  <c r="AL13" i="34"/>
  <c r="AL46" i="34" s="1"/>
  <c r="P41" i="29"/>
  <c r="N70" i="43"/>
  <c r="M70" i="43"/>
  <c r="Q70" i="43" s="1"/>
  <c r="L70" i="43"/>
  <c r="K70" i="43"/>
  <c r="O70" i="43" s="1"/>
  <c r="G48" i="15"/>
  <c r="G80" i="15"/>
  <c r="J56" i="15"/>
  <c r="K56" i="15"/>
  <c r="L56" i="15"/>
  <c r="M56" i="15"/>
  <c r="H119" i="43"/>
  <c r="J100" i="43"/>
  <c r="M100" i="43"/>
  <c r="L100" i="43"/>
  <c r="K100" i="43"/>
  <c r="AO121" i="30"/>
  <c r="M121" i="30"/>
  <c r="P36" i="29"/>
  <c r="Q50" i="16"/>
  <c r="BH24" i="31"/>
  <c r="BI24" i="31"/>
  <c r="AV24" i="23"/>
  <c r="P45" i="16"/>
  <c r="M104" i="16"/>
  <c r="N104" i="16" s="1"/>
  <c r="C268" i="16" s="1"/>
  <c r="J104" i="16"/>
  <c r="BH14" i="31"/>
  <c r="AV14" i="23"/>
  <c r="BI14" i="31"/>
  <c r="Q31" i="16"/>
  <c r="J119" i="29"/>
  <c r="M119" i="29"/>
  <c r="L119" i="29"/>
  <c r="K119" i="29"/>
  <c r="N55" i="29"/>
  <c r="D71" i="56" s="1"/>
  <c r="O55" i="29"/>
  <c r="Q47" i="43"/>
  <c r="P48" i="25"/>
  <c r="N46" i="15"/>
  <c r="E169" i="24"/>
  <c r="E200" i="24" s="1"/>
  <c r="J95" i="16"/>
  <c r="M95" i="16"/>
  <c r="N95" i="16" s="1"/>
  <c r="C259" i="16" s="1"/>
  <c r="AO101" i="30"/>
  <c r="M101" i="30"/>
  <c r="M66" i="43"/>
  <c r="Q66" i="43" s="1"/>
  <c r="N66" i="43"/>
  <c r="K66" i="43"/>
  <c r="O66" i="43" s="1"/>
  <c r="L66" i="43"/>
  <c r="P66" i="43" s="1"/>
  <c r="P42" i="29"/>
  <c r="Q44" i="16"/>
  <c r="AU22" i="60"/>
  <c r="E189" i="24"/>
  <c r="E220" i="24" s="1"/>
  <c r="F220" i="24" s="1"/>
  <c r="X106" i="30"/>
  <c r="Y43" i="24"/>
  <c r="Q44" i="25"/>
  <c r="P53" i="16"/>
  <c r="AR102" i="30"/>
  <c r="K37" i="51" s="1"/>
  <c r="BI10" i="31"/>
  <c r="BH10" i="31"/>
  <c r="AV10" i="23"/>
  <c r="BH15" i="31"/>
  <c r="BI15" i="31"/>
  <c r="AV15" i="23"/>
  <c r="Q131" i="29"/>
  <c r="N155" i="29"/>
  <c r="AG24" i="15"/>
  <c r="AL24" i="15"/>
  <c r="AF45" i="16"/>
  <c r="AA45" i="16"/>
  <c r="C217" i="16" s="1"/>
  <c r="AA26" i="16"/>
  <c r="C198" i="16" s="1"/>
  <c r="AF26" i="16"/>
  <c r="L80" i="43"/>
  <c r="P80" i="43" s="1"/>
  <c r="M80" i="43"/>
  <c r="Q80" i="43" s="1"/>
  <c r="N80" i="43"/>
  <c r="K80" i="43"/>
  <c r="O80" i="43" s="1"/>
  <c r="AU18" i="60"/>
  <c r="AF30" i="3"/>
  <c r="AA30" i="3"/>
  <c r="AI50" i="30"/>
  <c r="X79" i="30"/>
  <c r="M50" i="30"/>
  <c r="M79" i="30"/>
  <c r="AI79" i="30"/>
  <c r="X50" i="30"/>
  <c r="P36" i="16"/>
  <c r="O159" i="25"/>
  <c r="AO111" i="30"/>
  <c r="M111" i="30"/>
  <c r="O47" i="25"/>
  <c r="N47" i="25"/>
  <c r="H62" i="14" s="1"/>
  <c r="I62" i="14" s="1"/>
  <c r="Q34" i="29"/>
  <c r="J96" i="16"/>
  <c r="M96" i="16"/>
  <c r="N96" i="16" s="1"/>
  <c r="C260" i="16" s="1"/>
  <c r="CN17" i="23"/>
  <c r="BF17" i="31" s="1"/>
  <c r="BC17" i="31"/>
  <c r="AI113" i="30"/>
  <c r="R67" i="24"/>
  <c r="O91" i="24"/>
  <c r="K104" i="43"/>
  <c r="L104" i="43"/>
  <c r="M104" i="43"/>
  <c r="J104" i="43"/>
  <c r="K56" i="43"/>
  <c r="O32" i="43"/>
  <c r="P59" i="25"/>
  <c r="AA19" i="29"/>
  <c r="AF19" i="29"/>
  <c r="N45" i="15"/>
  <c r="BC18" i="31"/>
  <c r="CN18" i="23"/>
  <c r="BF18" i="31" s="1"/>
  <c r="AL14" i="34"/>
  <c r="AL47" i="34" s="1"/>
  <c r="X49" i="30"/>
  <c r="M49" i="30"/>
  <c r="AI78" i="30"/>
  <c r="AI49" i="30"/>
  <c r="M78" i="30"/>
  <c r="X78" i="30"/>
  <c r="L123" i="25"/>
  <c r="J123" i="25"/>
  <c r="M123" i="25"/>
  <c r="K123" i="25"/>
  <c r="K68" i="43"/>
  <c r="N68" i="43"/>
  <c r="L68" i="43"/>
  <c r="P68" i="43" s="1"/>
  <c r="M68" i="43"/>
  <c r="Q68" i="43" s="1"/>
  <c r="J101" i="43"/>
  <c r="L101" i="43"/>
  <c r="M101" i="43"/>
  <c r="K101" i="43"/>
  <c r="AX20" i="34"/>
  <c r="AQ115" i="30"/>
  <c r="J50" i="51" s="1"/>
  <c r="AF23" i="43"/>
  <c r="AA23" i="43"/>
  <c r="Q140" i="43"/>
  <c r="P51" i="25"/>
  <c r="N44" i="29"/>
  <c r="D60" i="56" s="1"/>
  <c r="O44" i="29"/>
  <c r="AP114" i="30"/>
  <c r="I49" i="51" s="1"/>
  <c r="AQ109" i="30"/>
  <c r="J44" i="51" s="1"/>
  <c r="AL18" i="34"/>
  <c r="AL51" i="34" s="1"/>
  <c r="X82" i="30"/>
  <c r="AI53" i="30"/>
  <c r="AI82" i="30"/>
  <c r="M53" i="30"/>
  <c r="X53" i="30"/>
  <c r="M82" i="30"/>
  <c r="AA17" i="29"/>
  <c r="AF17" i="29"/>
  <c r="N32" i="15"/>
  <c r="Q53" i="16"/>
  <c r="AK44" i="34"/>
  <c r="H27" i="57"/>
  <c r="L27" i="57" s="1"/>
  <c r="P27" i="57" s="1"/>
  <c r="U92" i="30"/>
  <c r="U122" i="30"/>
  <c r="N85" i="25"/>
  <c r="M85" i="25"/>
  <c r="Q85" i="25" s="1"/>
  <c r="L85" i="25"/>
  <c r="K85" i="25"/>
  <c r="O85" i="25" s="1"/>
  <c r="O49" i="29"/>
  <c r="N49" i="29"/>
  <c r="D65" i="56" s="1"/>
  <c r="L112" i="29"/>
  <c r="J112" i="29"/>
  <c r="M112" i="29"/>
  <c r="K112" i="29"/>
  <c r="R94" i="12"/>
  <c r="S95" i="12" s="1"/>
  <c r="M102" i="16"/>
  <c r="N102" i="16" s="1"/>
  <c r="C266" i="16" s="1"/>
  <c r="J102" i="16"/>
  <c r="AA32" i="29"/>
  <c r="AF32" i="29"/>
  <c r="Q49" i="25"/>
  <c r="Q51" i="43"/>
  <c r="P40" i="29"/>
  <c r="Q57" i="25"/>
  <c r="V92" i="30"/>
  <c r="AR28" i="60"/>
  <c r="AP105" i="30"/>
  <c r="I40" i="51" s="1"/>
  <c r="P40" i="25"/>
  <c r="AG11" i="15"/>
  <c r="AL11" i="15"/>
  <c r="I57" i="29"/>
  <c r="W41" i="29"/>
  <c r="N33" i="29"/>
  <c r="O33" i="29"/>
  <c r="K57" i="29"/>
  <c r="AA21" i="43"/>
  <c r="AF21" i="43"/>
  <c r="L102" i="29"/>
  <c r="J102" i="29"/>
  <c r="M102" i="29"/>
  <c r="K102" i="29"/>
  <c r="Q35" i="29"/>
  <c r="AA32" i="43"/>
  <c r="AF32" i="43"/>
  <c r="AX22" i="34"/>
  <c r="AI57" i="30"/>
  <c r="M86" i="30"/>
  <c r="X86" i="30"/>
  <c r="AI86" i="30"/>
  <c r="M57" i="30"/>
  <c r="X57" i="30"/>
  <c r="X110" i="30"/>
  <c r="P51" i="29"/>
  <c r="AL9" i="15"/>
  <c r="AG9" i="15"/>
  <c r="G156" i="16"/>
  <c r="W46" i="16"/>
  <c r="Y46" i="16"/>
  <c r="L117" i="16"/>
  <c r="AO104" i="30"/>
  <c r="M104" i="30"/>
  <c r="Q52" i="16"/>
  <c r="Y51" i="34"/>
  <c r="G34" i="57"/>
  <c r="K34" i="57" s="1"/>
  <c r="O34" i="57" s="1"/>
  <c r="O43" i="43"/>
  <c r="U15" i="50"/>
  <c r="J117" i="29"/>
  <c r="M117" i="29"/>
  <c r="L117" i="29"/>
  <c r="K117" i="29"/>
  <c r="M113" i="43"/>
  <c r="K113" i="43"/>
  <c r="J113" i="43"/>
  <c r="L113" i="43"/>
  <c r="Q43" i="29"/>
  <c r="BH11" i="31"/>
  <c r="AV11" i="23"/>
  <c r="BI11" i="31"/>
  <c r="J101" i="25"/>
  <c r="M101" i="25"/>
  <c r="L101" i="25"/>
  <c r="K101" i="25"/>
  <c r="AF41" i="16"/>
  <c r="AA41" i="16"/>
  <c r="C213" i="16" s="1"/>
  <c r="AQ107" i="30"/>
  <c r="J42" i="51" s="1"/>
  <c r="L72" i="25"/>
  <c r="P72" i="25" s="1"/>
  <c r="K72" i="25"/>
  <c r="O72" i="25" s="1"/>
  <c r="N72" i="25"/>
  <c r="M72" i="25"/>
  <c r="Q72" i="25" s="1"/>
  <c r="M115" i="25"/>
  <c r="L115" i="25"/>
  <c r="K115" i="25"/>
  <c r="J115" i="25"/>
  <c r="M109" i="16"/>
  <c r="N109" i="16" s="1"/>
  <c r="C273" i="16" s="1"/>
  <c r="J109" i="16"/>
  <c r="AX21" i="34"/>
  <c r="AA36" i="16"/>
  <c r="C208" i="16" s="1"/>
  <c r="AF36" i="16"/>
  <c r="P38" i="16"/>
  <c r="X109" i="30"/>
  <c r="Q102" i="15"/>
  <c r="Z33" i="25"/>
  <c r="AA33" i="25" s="1"/>
  <c r="M61" i="25"/>
  <c r="Q37" i="25"/>
  <c r="Q145" i="29"/>
  <c r="Y48" i="34"/>
  <c r="G31" i="57"/>
  <c r="K31" i="57" s="1"/>
  <c r="O31" i="57" s="1"/>
  <c r="N37" i="16"/>
  <c r="O37" i="16"/>
  <c r="X52" i="30"/>
  <c r="AI81" i="30"/>
  <c r="M52" i="30"/>
  <c r="AI52" i="30"/>
  <c r="X81" i="30"/>
  <c r="M81" i="30"/>
  <c r="N74" i="43"/>
  <c r="K74" i="43"/>
  <c r="O74" i="43" s="1"/>
  <c r="M74" i="43"/>
  <c r="Q74" i="43" s="1"/>
  <c r="L74" i="43"/>
  <c r="P74" i="43" s="1"/>
  <c r="Q47" i="25"/>
  <c r="Q94" i="15"/>
  <c r="Z24" i="34"/>
  <c r="Z57" i="34" s="1"/>
  <c r="X59" i="30"/>
  <c r="M59" i="30"/>
  <c r="X88" i="30"/>
  <c r="AI59" i="30"/>
  <c r="M88" i="30"/>
  <c r="AI88" i="30"/>
  <c r="M57" i="34"/>
  <c r="F40" i="57"/>
  <c r="O39" i="43"/>
  <c r="M40" i="34"/>
  <c r="F23" i="57"/>
  <c r="M105" i="16"/>
  <c r="N105" i="16" s="1"/>
  <c r="C269" i="16" s="1"/>
  <c r="J105" i="16"/>
  <c r="I59" i="32"/>
  <c r="O35" i="32"/>
  <c r="AH122" i="30"/>
  <c r="F77" i="14"/>
  <c r="L116" i="29"/>
  <c r="M116" i="29"/>
  <c r="J116" i="29"/>
  <c r="K116" i="29"/>
  <c r="T122" i="30"/>
  <c r="Q144" i="43"/>
  <c r="Q33" i="16"/>
  <c r="Q104" i="15"/>
  <c r="M15" i="51" s="1"/>
  <c r="N45" i="25"/>
  <c r="H60" i="14" s="1"/>
  <c r="I60" i="14" s="1"/>
  <c r="O45" i="25"/>
  <c r="N50" i="25"/>
  <c r="H65" i="14" s="1"/>
  <c r="I65" i="14" s="1"/>
  <c r="O50" i="25"/>
  <c r="AP110" i="30"/>
  <c r="I45" i="51" s="1"/>
  <c r="Q95" i="15"/>
  <c r="M6" i="51" s="1"/>
  <c r="Q45" i="29"/>
  <c r="E177" i="24"/>
  <c r="E208" i="24" s="1"/>
  <c r="AI117" i="30"/>
  <c r="L117" i="43"/>
  <c r="J117" i="43"/>
  <c r="K117" i="43"/>
  <c r="M117" i="43"/>
  <c r="N137" i="16"/>
  <c r="N65" i="16"/>
  <c r="L65" i="16"/>
  <c r="P65" i="16" s="1"/>
  <c r="M65" i="16"/>
  <c r="Q65" i="16" s="1"/>
  <c r="K65" i="16"/>
  <c r="O65" i="16" s="1"/>
  <c r="P137" i="16"/>
  <c r="O137" i="16"/>
  <c r="CL29" i="23"/>
  <c r="BD29" i="31" s="1"/>
  <c r="M100" i="29"/>
  <c r="K100" i="29"/>
  <c r="L100" i="29"/>
  <c r="J100" i="29"/>
  <c r="BC8" i="31"/>
  <c r="CN8" i="23"/>
  <c r="BF8" i="31" s="1"/>
  <c r="Q116" i="15"/>
  <c r="M27" i="51" s="1"/>
  <c r="M60" i="34"/>
  <c r="F43" i="57"/>
  <c r="Q47" i="16"/>
  <c r="Q109" i="15"/>
  <c r="M20" i="51" s="1"/>
  <c r="F223" i="12"/>
  <c r="M106" i="16"/>
  <c r="N106" i="16" s="1"/>
  <c r="C270" i="16" s="1"/>
  <c r="J106" i="16"/>
  <c r="AR118" i="30"/>
  <c r="K53" i="51" s="1"/>
  <c r="Q143" i="43"/>
  <c r="Q33" i="43"/>
  <c r="O33" i="43"/>
  <c r="Q41" i="25"/>
  <c r="O153" i="16"/>
  <c r="M81" i="16"/>
  <c r="Q81" i="16" s="1"/>
  <c r="K81" i="16"/>
  <c r="O81" i="16" s="1"/>
  <c r="P153" i="16"/>
  <c r="N153" i="16"/>
  <c r="N81" i="16"/>
  <c r="L81" i="16"/>
  <c r="P81" i="16" s="1"/>
  <c r="O41" i="43"/>
  <c r="X107" i="30"/>
  <c r="AF28" i="43"/>
  <c r="AA28" i="43"/>
  <c r="Q139" i="29"/>
  <c r="Q40" i="43"/>
  <c r="L103" i="43"/>
  <c r="M103" i="43"/>
  <c r="K103" i="43"/>
  <c r="J103" i="43"/>
  <c r="P117" i="15"/>
  <c r="H80" i="15"/>
  <c r="M56" i="43"/>
  <c r="Q32" i="43"/>
  <c r="AA33" i="16"/>
  <c r="C205" i="16" s="1"/>
  <c r="AF33" i="16"/>
  <c r="P37" i="43"/>
  <c r="M48" i="34"/>
  <c r="F31" i="57"/>
  <c r="AQ116" i="30"/>
  <c r="J51" i="51" s="1"/>
  <c r="AI121" i="30"/>
  <c r="M99" i="29"/>
  <c r="K99" i="29"/>
  <c r="J99" i="29"/>
  <c r="L99" i="29"/>
  <c r="Q147" i="43"/>
  <c r="Q49" i="43"/>
  <c r="E180" i="24"/>
  <c r="E211" i="24" s="1"/>
  <c r="O45" i="16"/>
  <c r="N45" i="16"/>
  <c r="K71" i="16"/>
  <c r="O71" i="16" s="1"/>
  <c r="O143" i="16"/>
  <c r="P143" i="16"/>
  <c r="M71" i="16"/>
  <c r="Q71" i="16" s="1"/>
  <c r="N143" i="16"/>
  <c r="L71" i="16"/>
  <c r="P71" i="16" s="1"/>
  <c r="N71" i="16"/>
  <c r="BC14" i="31"/>
  <c r="CN14" i="23"/>
  <c r="BF14" i="31" s="1"/>
  <c r="AX4" i="34"/>
  <c r="AO63" i="30"/>
  <c r="L61" i="16"/>
  <c r="P61" i="16" s="1"/>
  <c r="K61" i="16"/>
  <c r="O61" i="16" s="1"/>
  <c r="N133" i="16"/>
  <c r="M61" i="16"/>
  <c r="N61" i="16"/>
  <c r="P133" i="16"/>
  <c r="O133" i="16"/>
  <c r="AQ120" i="30"/>
  <c r="J55" i="51" s="1"/>
  <c r="AR107" i="30"/>
  <c r="K42" i="51" s="1"/>
  <c r="AP118" i="30"/>
  <c r="I53" i="51" s="1"/>
  <c r="J91" i="24"/>
  <c r="S31" i="23"/>
  <c r="AI31" i="23"/>
  <c r="J110" i="43"/>
  <c r="K110" i="43"/>
  <c r="M110" i="43"/>
  <c r="L110" i="43"/>
  <c r="N48" i="25"/>
  <c r="H63" i="14" s="1"/>
  <c r="I63" i="14" s="1"/>
  <c r="O48" i="25"/>
  <c r="K111" i="29"/>
  <c r="L111" i="29"/>
  <c r="J111" i="29"/>
  <c r="M111" i="29"/>
  <c r="Q35" i="43"/>
  <c r="AP104" i="30"/>
  <c r="I39" i="51" s="1"/>
  <c r="O134" i="16"/>
  <c r="N134" i="16"/>
  <c r="K62" i="16"/>
  <c r="O62" i="16" s="1"/>
  <c r="M62" i="16"/>
  <c r="Q62" i="16" s="1"/>
  <c r="P134" i="16"/>
  <c r="N62" i="16"/>
  <c r="L62" i="16"/>
  <c r="P36" i="43"/>
  <c r="Q140" i="29"/>
  <c r="Q110" i="15"/>
  <c r="M21" i="51" s="1"/>
  <c r="M84" i="25"/>
  <c r="Q84" i="25" s="1"/>
  <c r="K84" i="25"/>
  <c r="O84" i="25" s="1"/>
  <c r="L84" i="25"/>
  <c r="P84" i="25" s="1"/>
  <c r="N84" i="25"/>
  <c r="O44" i="16"/>
  <c r="N44" i="16"/>
  <c r="Z42" i="3"/>
  <c r="AF23" i="16"/>
  <c r="AA23" i="16"/>
  <c r="C195" i="16" s="1"/>
  <c r="J70" i="15"/>
  <c r="M70" i="15"/>
  <c r="K70" i="15"/>
  <c r="L70" i="15"/>
  <c r="P60" i="25"/>
  <c r="N27" i="15"/>
  <c r="G120" i="29"/>
  <c r="M96" i="29"/>
  <c r="K96" i="29"/>
  <c r="L96" i="29"/>
  <c r="J96" i="29"/>
  <c r="BH12" i="31"/>
  <c r="AV12" i="23"/>
  <c r="BI12" i="31"/>
  <c r="AQ108" i="30"/>
  <c r="J43" i="51" s="1"/>
  <c r="AF20" i="25"/>
  <c r="AA20" i="25"/>
  <c r="Q54" i="29"/>
  <c r="P43" i="29"/>
  <c r="N43" i="25"/>
  <c r="H58" i="14" s="1"/>
  <c r="I58" i="14" s="1"/>
  <c r="O43" i="25"/>
  <c r="AF42" i="16"/>
  <c r="AA42" i="16"/>
  <c r="C214" i="16" s="1"/>
  <c r="Q42" i="25"/>
  <c r="Q47" i="29"/>
  <c r="K69" i="43"/>
  <c r="O69" i="43" s="1"/>
  <c r="N69" i="43"/>
  <c r="L69" i="43"/>
  <c r="P69" i="43" s="1"/>
  <c r="M69" i="43"/>
  <c r="Q69" i="43" s="1"/>
  <c r="AR99" i="30"/>
  <c r="K34" i="51" s="1"/>
  <c r="AA30" i="29"/>
  <c r="AF30" i="29"/>
  <c r="N45" i="29"/>
  <c r="D61" i="56" s="1"/>
  <c r="O45" i="29"/>
  <c r="AL23" i="34"/>
  <c r="AL56" i="34" s="1"/>
  <c r="X87" i="30"/>
  <c r="AI87" i="30"/>
  <c r="M58" i="30"/>
  <c r="X58" i="30"/>
  <c r="M87" i="30"/>
  <c r="AI58" i="30"/>
  <c r="M84" i="43"/>
  <c r="Q84" i="43" s="1"/>
  <c r="N84" i="43"/>
  <c r="L84" i="43"/>
  <c r="P84" i="43" s="1"/>
  <c r="K84" i="43"/>
  <c r="O84" i="43" s="1"/>
  <c r="P47" i="16"/>
  <c r="N49" i="16"/>
  <c r="O49" i="16"/>
  <c r="N42" i="15"/>
  <c r="I80" i="15"/>
  <c r="Q40" i="16"/>
  <c r="AX27" i="34"/>
  <c r="AI91" i="30"/>
  <c r="AI62" i="30"/>
  <c r="M62" i="30"/>
  <c r="X91" i="30"/>
  <c r="M91" i="30"/>
  <c r="X62" i="30"/>
  <c r="AD122" i="30"/>
  <c r="AI98" i="30"/>
  <c r="AS111" i="30"/>
  <c r="L46" i="51" s="1"/>
  <c r="Q107" i="15"/>
  <c r="M18" i="51" s="1"/>
  <c r="AI76" i="30"/>
  <c r="X47" i="30"/>
  <c r="X76" i="30"/>
  <c r="M76" i="30"/>
  <c r="M47" i="30"/>
  <c r="AI47" i="30"/>
  <c r="AA35" i="43"/>
  <c r="P38" i="43"/>
  <c r="AL5" i="34"/>
  <c r="AL38" i="34" s="1"/>
  <c r="K82" i="29"/>
  <c r="O82" i="29" s="1"/>
  <c r="M82" i="29"/>
  <c r="Q82" i="29" s="1"/>
  <c r="L82" i="29"/>
  <c r="N82" i="29"/>
  <c r="AF29" i="29"/>
  <c r="AA29" i="29"/>
  <c r="Q42" i="43"/>
  <c r="O42" i="43"/>
  <c r="Q149" i="25"/>
  <c r="P44" i="29"/>
  <c r="O53" i="16"/>
  <c r="N53" i="16"/>
  <c r="Q153" i="25"/>
  <c r="K79" i="29"/>
  <c r="O79" i="29" s="1"/>
  <c r="M79" i="29"/>
  <c r="L79" i="29"/>
  <c r="P79" i="29" s="1"/>
  <c r="N79" i="29"/>
  <c r="AF39" i="29"/>
  <c r="AA39" i="29"/>
  <c r="O55" i="32"/>
  <c r="M55" i="32"/>
  <c r="J118" i="43"/>
  <c r="M118" i="43"/>
  <c r="K118" i="43"/>
  <c r="L118" i="43"/>
  <c r="O49" i="25"/>
  <c r="N49" i="25"/>
  <c r="H64" i="14" s="1"/>
  <c r="I64" i="14" s="1"/>
  <c r="J112" i="25"/>
  <c r="M112" i="25"/>
  <c r="L112" i="25"/>
  <c r="K112" i="25"/>
  <c r="P51" i="43"/>
  <c r="K81" i="43"/>
  <c r="O81" i="43" s="1"/>
  <c r="N81" i="43"/>
  <c r="L81" i="43"/>
  <c r="P81" i="43" s="1"/>
  <c r="M81" i="43"/>
  <c r="N40" i="29"/>
  <c r="D56" i="56" s="1"/>
  <c r="O40" i="29"/>
  <c r="Q155" i="25"/>
  <c r="Q156" i="25"/>
  <c r="AF22" i="43"/>
  <c r="AA22" i="43"/>
  <c r="O53" i="43"/>
  <c r="AA18" i="29"/>
  <c r="AF18" i="29"/>
  <c r="K92" i="30"/>
  <c r="K59" i="32"/>
  <c r="AR117" i="30"/>
  <c r="K52" i="51" s="1"/>
  <c r="K103" i="25"/>
  <c r="J103" i="25"/>
  <c r="L103" i="25"/>
  <c r="M103" i="25"/>
  <c r="K68" i="29"/>
  <c r="O68" i="29" s="1"/>
  <c r="M68" i="29"/>
  <c r="Q68" i="29" s="1"/>
  <c r="N68" i="29"/>
  <c r="L68" i="29"/>
  <c r="P68" i="29" s="1"/>
  <c r="G57" i="29"/>
  <c r="C57" i="29"/>
  <c r="Q33" i="29"/>
  <c r="M57" i="29"/>
  <c r="P39" i="29"/>
  <c r="L98" i="29"/>
  <c r="M98" i="29"/>
  <c r="J98" i="29"/>
  <c r="K98" i="29"/>
  <c r="P35" i="29"/>
  <c r="AI116" i="30"/>
  <c r="Q97" i="15"/>
  <c r="M8" i="51" s="1"/>
  <c r="N28" i="15"/>
  <c r="L68" i="15"/>
  <c r="M68" i="15"/>
  <c r="J68" i="15"/>
  <c r="K68" i="15"/>
  <c r="M80" i="29"/>
  <c r="Q80" i="29" s="1"/>
  <c r="N80" i="29"/>
  <c r="K80" i="29"/>
  <c r="O80" i="29" s="1"/>
  <c r="L80" i="29"/>
  <c r="P80" i="29" s="1"/>
  <c r="J156" i="16"/>
  <c r="AB46" i="16"/>
  <c r="K117" i="16"/>
  <c r="I117" i="16"/>
  <c r="J93" i="16"/>
  <c r="M93" i="16"/>
  <c r="N93" i="16" s="1"/>
  <c r="V159" i="24"/>
  <c r="AS118" i="30"/>
  <c r="L53" i="51" s="1"/>
  <c r="M115" i="16"/>
  <c r="N115" i="16" s="1"/>
  <c r="C279" i="16" s="1"/>
  <c r="J115" i="16"/>
  <c r="K69" i="15"/>
  <c r="L69" i="15"/>
  <c r="M69" i="15"/>
  <c r="J69" i="15"/>
  <c r="P43" i="43"/>
  <c r="AA31" i="43"/>
  <c r="AF31" i="43"/>
  <c r="AS102" i="30"/>
  <c r="L37" i="51" s="1"/>
  <c r="Q152" i="29"/>
  <c r="P54" i="29"/>
  <c r="B212" i="24"/>
  <c r="P50" i="43"/>
  <c r="AA37" i="43"/>
  <c r="P43" i="25"/>
  <c r="G26" i="57"/>
  <c r="K26" i="57" s="1"/>
  <c r="O26" i="57" s="1"/>
  <c r="Y43" i="34"/>
  <c r="Q136" i="25"/>
  <c r="AA33" i="43"/>
  <c r="M97" i="16"/>
  <c r="N97" i="16" s="1"/>
  <c r="C261" i="16" s="1"/>
  <c r="J97" i="16"/>
  <c r="Q140" i="25"/>
  <c r="AA24" i="16"/>
  <c r="C196" i="16" s="1"/>
  <c r="AF24" i="16"/>
  <c r="Q52" i="25"/>
  <c r="P46" i="16"/>
  <c r="M56" i="34"/>
  <c r="F39" i="57"/>
  <c r="AI120" i="30"/>
  <c r="AA36" i="43"/>
  <c r="AL21" i="34"/>
  <c r="AL54" i="34" s="1"/>
  <c r="U18" i="50"/>
  <c r="AS109" i="30"/>
  <c r="L44" i="51" s="1"/>
  <c r="AO109" i="30"/>
  <c r="M109" i="30"/>
  <c r="AR109" i="30"/>
  <c r="K44" i="51" s="1"/>
  <c r="N36" i="16"/>
  <c r="O36" i="16"/>
  <c r="P37" i="25"/>
  <c r="L61" i="25"/>
  <c r="Q37" i="16"/>
  <c r="J33" i="57"/>
  <c r="I33" i="57"/>
  <c r="AO118" i="30"/>
  <c r="M118" i="30"/>
  <c r="AV25" i="23"/>
  <c r="BH25" i="31"/>
  <c r="BI25" i="31"/>
  <c r="M102" i="43"/>
  <c r="K102" i="43"/>
  <c r="L102" i="43"/>
  <c r="J102" i="43"/>
  <c r="AA38" i="16"/>
  <c r="C210" i="16" s="1"/>
  <c r="AF38" i="16"/>
  <c r="AF16" i="43"/>
  <c r="AA16" i="43"/>
  <c r="AL23" i="15"/>
  <c r="AG23" i="15"/>
  <c r="M72" i="30"/>
  <c r="AI43" i="30"/>
  <c r="X43" i="30"/>
  <c r="M43" i="30"/>
  <c r="X72" i="30"/>
  <c r="AI72" i="30"/>
  <c r="AP98" i="30"/>
  <c r="I33" i="51" s="1"/>
  <c r="I122" i="30"/>
  <c r="P91" i="24"/>
  <c r="AI41" i="30"/>
  <c r="AI70" i="30"/>
  <c r="X41" i="30"/>
  <c r="M70" i="30"/>
  <c r="X70" i="30"/>
  <c r="M41" i="30"/>
  <c r="O33" i="16"/>
  <c r="N33" i="16"/>
  <c r="N34" i="15"/>
  <c r="AL9" i="34"/>
  <c r="AL42" i="34" s="1"/>
  <c r="X73" i="30"/>
  <c r="X44" i="30"/>
  <c r="AI44" i="30"/>
  <c r="M44" i="30"/>
  <c r="M73" i="30"/>
  <c r="AI73" i="30"/>
  <c r="P45" i="25"/>
  <c r="P53" i="25"/>
  <c r="K108" i="29"/>
  <c r="M108" i="29"/>
  <c r="J108" i="29"/>
  <c r="L108" i="29"/>
  <c r="AO117" i="30"/>
  <c r="M117" i="30"/>
  <c r="Q54" i="43"/>
  <c r="X119" i="30"/>
  <c r="Q35" i="16"/>
  <c r="CK29" i="23"/>
  <c r="BC29" i="31" s="1"/>
  <c r="BC13" i="31"/>
  <c r="CN13" i="23"/>
  <c r="BF13" i="31" s="1"/>
  <c r="AF24" i="43"/>
  <c r="AA24" i="43"/>
  <c r="Q43" i="16"/>
  <c r="J112" i="16"/>
  <c r="M112" i="16"/>
  <c r="N112" i="16" s="1"/>
  <c r="C276" i="16" s="1"/>
  <c r="P33" i="43"/>
  <c r="K119" i="25"/>
  <c r="L119" i="25"/>
  <c r="M119" i="25"/>
  <c r="J119" i="25"/>
  <c r="O41" i="25"/>
  <c r="N41" i="25"/>
  <c r="H56" i="14" s="1"/>
  <c r="I56" i="14" s="1"/>
  <c r="Q51" i="16"/>
  <c r="Q41" i="43"/>
  <c r="AO107" i="30"/>
  <c r="M107" i="30"/>
  <c r="AF37" i="29"/>
  <c r="AA37" i="29"/>
  <c r="O40" i="43"/>
  <c r="O53" i="32"/>
  <c r="M48" i="15"/>
  <c r="O154" i="43"/>
  <c r="P154" i="43"/>
  <c r="E194" i="12"/>
  <c r="F194" i="12" s="1"/>
  <c r="O37" i="43"/>
  <c r="L70" i="16"/>
  <c r="P70" i="16" s="1"/>
  <c r="N70" i="16"/>
  <c r="K70" i="16"/>
  <c r="O70" i="16" s="1"/>
  <c r="O142" i="16"/>
  <c r="N142" i="16"/>
  <c r="P142" i="16"/>
  <c r="M70" i="16"/>
  <c r="Q70" i="16" s="1"/>
  <c r="X121" i="30"/>
  <c r="Q134" i="29"/>
  <c r="M76" i="29"/>
  <c r="K76" i="29"/>
  <c r="L76" i="29"/>
  <c r="N76" i="29"/>
  <c r="U19" i="50"/>
  <c r="K79" i="43"/>
  <c r="O79" i="43" s="1"/>
  <c r="M79" i="43"/>
  <c r="N79" i="43"/>
  <c r="L79" i="43"/>
  <c r="P79" i="43" s="1"/>
  <c r="P49" i="43"/>
  <c r="U13" i="50"/>
  <c r="M29" i="32"/>
  <c r="O52" i="43"/>
  <c r="O41" i="16"/>
  <c r="N41" i="16"/>
  <c r="Z4" i="34"/>
  <c r="AU13" i="60"/>
  <c r="Q56" i="29"/>
  <c r="Q153" i="29"/>
  <c r="N77" i="43"/>
  <c r="M77" i="43"/>
  <c r="Q77" i="43" s="1"/>
  <c r="L77" i="43"/>
  <c r="P77" i="43" s="1"/>
  <c r="K77" i="43"/>
  <c r="O77" i="43" s="1"/>
  <c r="Q48" i="25"/>
  <c r="CN15" i="23"/>
  <c r="BF15" i="31" s="1"/>
  <c r="L78" i="15"/>
  <c r="J78" i="15"/>
  <c r="K78" i="15"/>
  <c r="M78" i="15"/>
  <c r="O35" i="43"/>
  <c r="AG20" i="15"/>
  <c r="AL20" i="15"/>
  <c r="AL7" i="34"/>
  <c r="AL40" i="34" s="1"/>
  <c r="Y40" i="34"/>
  <c r="G23" i="57"/>
  <c r="K23" i="57" s="1"/>
  <c r="O23" i="57" s="1"/>
  <c r="J105" i="29"/>
  <c r="K105" i="29"/>
  <c r="M105" i="29"/>
  <c r="L105" i="29"/>
  <c r="B210" i="24"/>
  <c r="AR104" i="30"/>
  <c r="K39" i="51" s="1"/>
  <c r="AU27" i="60"/>
  <c r="Q152" i="25"/>
  <c r="P44" i="16"/>
  <c r="N29" i="31"/>
  <c r="I30" i="31" s="1"/>
  <c r="AL26" i="15"/>
  <c r="AG26" i="15"/>
  <c r="P52" i="29"/>
  <c r="N44" i="25"/>
  <c r="H59" i="14" s="1"/>
  <c r="I59" i="14" s="1"/>
  <c r="O44" i="25"/>
  <c r="AQ28" i="60"/>
  <c r="K69" i="16"/>
  <c r="O69" i="16" s="1"/>
  <c r="P141" i="16"/>
  <c r="N69" i="16"/>
  <c r="L69" i="16"/>
  <c r="P69" i="16" s="1"/>
  <c r="N141" i="16"/>
  <c r="M69" i="16"/>
  <c r="Q69" i="16" s="1"/>
  <c r="O141" i="16"/>
  <c r="K116" i="43"/>
  <c r="L116" i="43"/>
  <c r="M116" i="43"/>
  <c r="J116" i="43"/>
  <c r="AF22" i="3"/>
  <c r="AA22" i="3"/>
  <c r="L101" i="29"/>
  <c r="M101" i="29"/>
  <c r="J101" i="29"/>
  <c r="K101" i="29"/>
  <c r="AS108" i="30"/>
  <c r="L43" i="51" s="1"/>
  <c r="AA31" i="16"/>
  <c r="C203" i="16" s="1"/>
  <c r="AF31" i="16"/>
  <c r="AU6" i="60"/>
  <c r="N154" i="16"/>
  <c r="O154" i="16"/>
  <c r="K82" i="16"/>
  <c r="O82" i="16" s="1"/>
  <c r="P154" i="16"/>
  <c r="L82" i="16"/>
  <c r="N82" i="16"/>
  <c r="M82" i="16"/>
  <c r="Q82" i="16" s="1"/>
  <c r="Q43" i="43"/>
  <c r="N38" i="25"/>
  <c r="H53" i="14" s="1"/>
  <c r="I53" i="14" s="1"/>
  <c r="O38" i="25"/>
  <c r="P47" i="29"/>
  <c r="P44" i="43"/>
  <c r="AF24" i="29"/>
  <c r="AA24" i="29"/>
  <c r="AF20" i="43"/>
  <c r="AA20" i="43"/>
  <c r="X100" i="30"/>
  <c r="AL11" i="34"/>
  <c r="AL44" i="34" s="1"/>
  <c r="M46" i="30"/>
  <c r="X75" i="30"/>
  <c r="M75" i="30"/>
  <c r="X46" i="30"/>
  <c r="AI75" i="30"/>
  <c r="AI46" i="30"/>
  <c r="AO108" i="30"/>
  <c r="M108" i="30"/>
  <c r="BI26" i="31"/>
  <c r="AV26" i="23"/>
  <c r="BH26" i="31"/>
  <c r="O38" i="43"/>
  <c r="AO114" i="30"/>
  <c r="M114" i="30"/>
  <c r="N52" i="29"/>
  <c r="D68" i="56" s="1"/>
  <c r="O52" i="29"/>
  <c r="AK51" i="34"/>
  <c r="H34" i="57"/>
  <c r="L34" i="57" s="1"/>
  <c r="P34" i="57" s="1"/>
  <c r="AS101" i="30"/>
  <c r="L36" i="51" s="1"/>
  <c r="P48" i="43"/>
  <c r="AO112" i="30"/>
  <c r="M112" i="30"/>
  <c r="AV23" i="23"/>
  <c r="BH23" i="31"/>
  <c r="BI23" i="31"/>
  <c r="K64" i="15"/>
  <c r="M64" i="15"/>
  <c r="J64" i="15"/>
  <c r="L64" i="15"/>
  <c r="J28" i="60"/>
  <c r="U23" i="50"/>
  <c r="N55" i="25"/>
  <c r="H70" i="14" s="1"/>
  <c r="I70" i="14" s="1"/>
  <c r="O55" i="25"/>
  <c r="AF38" i="3"/>
  <c r="AA38" i="3"/>
  <c r="Q153" i="43"/>
  <c r="P49" i="25"/>
  <c r="K79" i="25"/>
  <c r="O79" i="25" s="1"/>
  <c r="M79" i="25"/>
  <c r="Q79" i="25" s="1"/>
  <c r="L79" i="25"/>
  <c r="P79" i="25" s="1"/>
  <c r="N79" i="25"/>
  <c r="AA32" i="16"/>
  <c r="C204" i="16" s="1"/>
  <c r="AF32" i="16"/>
  <c r="K103" i="29"/>
  <c r="J103" i="29"/>
  <c r="M103" i="29"/>
  <c r="L103" i="29"/>
  <c r="K120" i="25"/>
  <c r="M120" i="25"/>
  <c r="L120" i="25"/>
  <c r="J120" i="25"/>
  <c r="P53" i="43"/>
  <c r="K63" i="15"/>
  <c r="J63" i="15"/>
  <c r="M63" i="15"/>
  <c r="L63" i="15"/>
  <c r="K28" i="60"/>
  <c r="AA22" i="16"/>
  <c r="AF22" i="16"/>
  <c r="BC12" i="31"/>
  <c r="CN12" i="23"/>
  <c r="BF12" i="31" s="1"/>
  <c r="P38" i="29"/>
  <c r="AA33" i="29"/>
  <c r="AF33" i="29"/>
  <c r="N39" i="29"/>
  <c r="D55" i="56" s="1"/>
  <c r="O39" i="29"/>
  <c r="AP113" i="30"/>
  <c r="I48" i="51" s="1"/>
  <c r="Q113" i="15"/>
  <c r="M24" i="51" s="1"/>
  <c r="AX16" i="34"/>
  <c r="Y42" i="34"/>
  <c r="G25" i="57"/>
  <c r="K81" i="29"/>
  <c r="O81" i="29" s="1"/>
  <c r="L81" i="29"/>
  <c r="P81" i="29" s="1"/>
  <c r="N81" i="29"/>
  <c r="M81" i="29"/>
  <c r="Q81" i="29" s="1"/>
  <c r="Q50" i="29"/>
  <c r="K156" i="16"/>
  <c r="L156" i="16"/>
  <c r="B224" i="16"/>
  <c r="B248" i="16" s="1"/>
  <c r="B218" i="16"/>
  <c r="G218" i="16" s="1"/>
  <c r="D222" i="24"/>
  <c r="AL16" i="15"/>
  <c r="AG16" i="15"/>
  <c r="AL18" i="15"/>
  <c r="AG18" i="15"/>
  <c r="AU8" i="60"/>
  <c r="Q148" i="43"/>
  <c r="BI7" i="31"/>
  <c r="AV7" i="23"/>
  <c r="BH7" i="31"/>
  <c r="F208" i="12"/>
  <c r="K64" i="16"/>
  <c r="O64" i="16" s="1"/>
  <c r="L64" i="16"/>
  <c r="N64" i="16"/>
  <c r="O136" i="16"/>
  <c r="P136" i="16"/>
  <c r="N136" i="16"/>
  <c r="M64" i="16"/>
  <c r="Q64" i="16" s="1"/>
  <c r="N52" i="25"/>
  <c r="H67" i="14" s="1"/>
  <c r="I67" i="14" s="1"/>
  <c r="O52" i="25"/>
  <c r="CN24" i="23"/>
  <c r="BF24" i="31" s="1"/>
  <c r="BC24" i="31"/>
  <c r="AO120" i="30"/>
  <c r="M120" i="30"/>
  <c r="AI115" i="30"/>
  <c r="B201" i="12"/>
  <c r="AI109" i="30"/>
  <c r="U27" i="50"/>
  <c r="AU21" i="60"/>
  <c r="Q36" i="16"/>
  <c r="I124" i="25"/>
  <c r="J110" i="29"/>
  <c r="L110" i="29"/>
  <c r="K110" i="29"/>
  <c r="M110" i="29"/>
  <c r="AK48" i="34"/>
  <c r="H31" i="57"/>
  <c r="L31" i="57" s="1"/>
  <c r="P31" i="57" s="1"/>
  <c r="L67" i="16"/>
  <c r="P67" i="16" s="1"/>
  <c r="N67" i="16"/>
  <c r="M67" i="16"/>
  <c r="Q67" i="16" s="1"/>
  <c r="P139" i="16"/>
  <c r="O139" i="16"/>
  <c r="K67" i="16"/>
  <c r="N139" i="16"/>
  <c r="J107" i="43"/>
  <c r="K107" i="43"/>
  <c r="M107" i="43"/>
  <c r="L107" i="43"/>
  <c r="N25" i="15"/>
  <c r="X118" i="30"/>
  <c r="AK57" i="34"/>
  <c r="H40" i="57"/>
  <c r="L40" i="57" s="1"/>
  <c r="P40" i="57" s="1"/>
  <c r="Q137" i="43"/>
  <c r="B208" i="24"/>
  <c r="O42" i="16"/>
  <c r="N42" i="16"/>
  <c r="AA40" i="29"/>
  <c r="AF40" i="29"/>
  <c r="AL31" i="15"/>
  <c r="AG31" i="15"/>
  <c r="AG17" i="15"/>
  <c r="AL17" i="15"/>
  <c r="L122" i="30"/>
  <c r="AS98" i="30"/>
  <c r="L33" i="51" s="1"/>
  <c r="P46" i="25"/>
  <c r="C176" i="25"/>
  <c r="J109" i="25"/>
  <c r="L109" i="25"/>
  <c r="M109" i="25"/>
  <c r="K109" i="25"/>
  <c r="N53" i="29"/>
  <c r="D69" i="56" s="1"/>
  <c r="O53" i="29"/>
  <c r="AQ99" i="30"/>
  <c r="J34" i="51" s="1"/>
  <c r="AR115" i="30"/>
  <c r="K50" i="51" s="1"/>
  <c r="AL8" i="34"/>
  <c r="AL41" i="34" s="1"/>
  <c r="O46" i="43"/>
  <c r="AX6" i="34"/>
  <c r="AF13" i="25"/>
  <c r="AA13" i="25"/>
  <c r="J67" i="15"/>
  <c r="M67" i="15"/>
  <c r="K67" i="15"/>
  <c r="L67" i="15"/>
  <c r="F32" i="57"/>
  <c r="M49" i="34"/>
  <c r="Z9" i="34"/>
  <c r="Z42" i="34" s="1"/>
  <c r="AF29" i="16"/>
  <c r="AA29" i="16"/>
  <c r="C201" i="16" s="1"/>
  <c r="Q148" i="25"/>
  <c r="Q53" i="25"/>
  <c r="Z19" i="34"/>
  <c r="Z52" i="34" s="1"/>
  <c r="M54" i="30"/>
  <c r="M83" i="30"/>
  <c r="AI83" i="30"/>
  <c r="AI54" i="30"/>
  <c r="X83" i="30"/>
  <c r="X54" i="30"/>
  <c r="Q143" i="29"/>
  <c r="N75" i="29"/>
  <c r="L75" i="29"/>
  <c r="P75" i="29" s="1"/>
  <c r="K75" i="29"/>
  <c r="O75" i="29" s="1"/>
  <c r="M75" i="29"/>
  <c r="Q75" i="29" s="1"/>
  <c r="O35" i="16"/>
  <c r="N35" i="16"/>
  <c r="AK45" i="34"/>
  <c r="H28" i="57"/>
  <c r="L28" i="57" s="1"/>
  <c r="P28" i="57" s="1"/>
  <c r="AS110" i="30"/>
  <c r="L45" i="51" s="1"/>
  <c r="BH8" i="31"/>
  <c r="BI8" i="31"/>
  <c r="AV8" i="23"/>
  <c r="M110" i="16"/>
  <c r="N110" i="16" s="1"/>
  <c r="C274" i="16" s="1"/>
  <c r="J110" i="16"/>
  <c r="E45" i="20"/>
  <c r="K73" i="16"/>
  <c r="O73" i="16" s="1"/>
  <c r="N73" i="16"/>
  <c r="L73" i="16"/>
  <c r="P145" i="16"/>
  <c r="M73" i="16"/>
  <c r="O145" i="16"/>
  <c r="N145" i="16"/>
  <c r="K79" i="16"/>
  <c r="O79" i="16" s="1"/>
  <c r="N79" i="16"/>
  <c r="L79" i="16"/>
  <c r="P79" i="16" s="1"/>
  <c r="P151" i="16"/>
  <c r="O151" i="16"/>
  <c r="M79" i="16"/>
  <c r="N151" i="16"/>
  <c r="E176" i="24"/>
  <c r="E207" i="24" s="1"/>
  <c r="K75" i="43"/>
  <c r="O75" i="43" s="1"/>
  <c r="L75" i="43"/>
  <c r="P75" i="43" s="1"/>
  <c r="N75" i="43"/>
  <c r="M75" i="43"/>
  <c r="J96" i="43"/>
  <c r="M96" i="43"/>
  <c r="K96" i="43"/>
  <c r="L96" i="43"/>
  <c r="Q131" i="43"/>
  <c r="AR110" i="30"/>
  <c r="K45" i="51" s="1"/>
  <c r="M71" i="25"/>
  <c r="Q71" i="25" s="1"/>
  <c r="L71" i="25"/>
  <c r="K71" i="25"/>
  <c r="N71" i="25"/>
  <c r="P48" i="16"/>
  <c r="P51" i="16"/>
  <c r="Q139" i="43"/>
  <c r="J74" i="15"/>
  <c r="M74" i="15"/>
  <c r="K74" i="15"/>
  <c r="L74" i="15"/>
  <c r="AI107" i="30"/>
  <c r="M104" i="29"/>
  <c r="L104" i="29"/>
  <c r="J104" i="29"/>
  <c r="K104" i="29"/>
  <c r="O117" i="15"/>
  <c r="L48" i="15"/>
  <c r="L71" i="15"/>
  <c r="M71" i="15"/>
  <c r="J71" i="15"/>
  <c r="K71" i="15"/>
  <c r="C49" i="56"/>
  <c r="N56" i="43"/>
  <c r="A222" i="43" s="1"/>
  <c r="L56" i="43"/>
  <c r="P32" i="43"/>
  <c r="E225" i="12"/>
  <c r="K67" i="43"/>
  <c r="O67" i="43" s="1"/>
  <c r="N67" i="43"/>
  <c r="L67" i="43"/>
  <c r="P67" i="43" s="1"/>
  <c r="M67" i="43"/>
  <c r="AF27" i="43"/>
  <c r="AA27" i="43"/>
  <c r="AQ113" i="30"/>
  <c r="J48" i="51" s="1"/>
  <c r="P40" i="16"/>
  <c r="K66" i="29"/>
  <c r="O66" i="29" s="1"/>
  <c r="L66" i="29"/>
  <c r="P66" i="29" s="1"/>
  <c r="N66" i="29"/>
  <c r="M66" i="29"/>
  <c r="Q144" i="29"/>
  <c r="J112" i="43"/>
  <c r="L112" i="43"/>
  <c r="K112" i="43"/>
  <c r="M112" i="43"/>
  <c r="K80" i="16"/>
  <c r="O80" i="16" s="1"/>
  <c r="M80" i="16"/>
  <c r="N80" i="16"/>
  <c r="L80" i="16"/>
  <c r="P152" i="16"/>
  <c r="N152" i="16"/>
  <c r="O152" i="16"/>
  <c r="J108" i="16"/>
  <c r="M108" i="16"/>
  <c r="N108" i="16" s="1"/>
  <c r="C272" i="16" s="1"/>
  <c r="AG31" i="23"/>
  <c r="P41" i="16"/>
  <c r="J29" i="57"/>
  <c r="AL4" i="34"/>
  <c r="K20" i="57"/>
  <c r="M94" i="16"/>
  <c r="N94" i="16" s="1"/>
  <c r="C258" i="16" s="1"/>
  <c r="J94" i="16"/>
  <c r="E190" i="24"/>
  <c r="E221" i="24" s="1"/>
  <c r="F221" i="24" s="1"/>
  <c r="AF17" i="43"/>
  <c r="AA17" i="43"/>
  <c r="N56" i="29"/>
  <c r="D72" i="56" s="1"/>
  <c r="O56" i="29"/>
  <c r="Q145" i="43"/>
  <c r="Q146" i="25"/>
  <c r="L78" i="29"/>
  <c r="P78" i="29" s="1"/>
  <c r="M78" i="29"/>
  <c r="Q78" i="29" s="1"/>
  <c r="N78" i="29"/>
  <c r="K78" i="29"/>
  <c r="O78" i="29" s="1"/>
  <c r="AQ101" i="30"/>
  <c r="J36" i="51" s="1"/>
  <c r="Q32" i="16"/>
  <c r="AX7" i="34"/>
  <c r="Q36" i="43"/>
  <c r="K72" i="29"/>
  <c r="O72" i="29" s="1"/>
  <c r="L72" i="29"/>
  <c r="P72" i="29" s="1"/>
  <c r="M72" i="29"/>
  <c r="Q72" i="29" s="1"/>
  <c r="N72" i="29"/>
  <c r="U10" i="50"/>
  <c r="M107" i="16"/>
  <c r="N107" i="16" s="1"/>
  <c r="C271" i="16" s="1"/>
  <c r="J107" i="16"/>
  <c r="AU19" i="60"/>
  <c r="M29" i="31"/>
  <c r="M89" i="25"/>
  <c r="K89" i="25"/>
  <c r="L89" i="25"/>
  <c r="N89" i="25"/>
  <c r="M122" i="25"/>
  <c r="J122" i="25"/>
  <c r="L122" i="25"/>
  <c r="K122" i="25"/>
  <c r="D187" i="16" l="1"/>
  <c r="N55" i="51"/>
  <c r="K15" i="51"/>
  <c r="S138" i="29"/>
  <c r="T138" i="29" s="1"/>
  <c r="W138" i="29" s="1"/>
  <c r="D201" i="29" s="1"/>
  <c r="G88" i="15"/>
  <c r="V137" i="25"/>
  <c r="H6" i="51"/>
  <c r="I6" i="51" s="1"/>
  <c r="T145" i="25"/>
  <c r="W145" i="25" s="1"/>
  <c r="Z145" i="25" s="1"/>
  <c r="D208" i="25" s="1"/>
  <c r="H14" i="51"/>
  <c r="I14" i="51" s="1"/>
  <c r="H20" i="51"/>
  <c r="I20" i="51" s="1"/>
  <c r="U5" i="50"/>
  <c r="V151" i="25"/>
  <c r="V29" i="23"/>
  <c r="Q30" i="23" s="1"/>
  <c r="J7" i="51"/>
  <c r="H19" i="51"/>
  <c r="I19" i="51" s="1"/>
  <c r="D185" i="43"/>
  <c r="C167" i="16"/>
  <c r="D163" i="43"/>
  <c r="G210" i="12"/>
  <c r="F210" i="24"/>
  <c r="F217" i="24"/>
  <c r="D38" i="14" s="1"/>
  <c r="F31" i="14"/>
  <c r="F37" i="14"/>
  <c r="F209" i="24"/>
  <c r="D30" i="14" s="1"/>
  <c r="F212" i="24"/>
  <c r="D33" i="14" s="1"/>
  <c r="F199" i="24"/>
  <c r="D20" i="14" s="1"/>
  <c r="G206" i="12"/>
  <c r="G213" i="24"/>
  <c r="F36" i="14"/>
  <c r="F30" i="14"/>
  <c r="F25" i="14"/>
  <c r="F216" i="24"/>
  <c r="D37" i="14" s="1"/>
  <c r="F204" i="24"/>
  <c r="G204" i="24" s="1"/>
  <c r="G205" i="24"/>
  <c r="D187" i="25"/>
  <c r="B178" i="25"/>
  <c r="F56" i="43"/>
  <c r="F57" i="43" s="1"/>
  <c r="F214" i="24"/>
  <c r="D35" i="14" s="1"/>
  <c r="C190" i="25"/>
  <c r="F206" i="24"/>
  <c r="D27" i="14" s="1"/>
  <c r="F203" i="24"/>
  <c r="D24" i="14" s="1"/>
  <c r="S135" i="29"/>
  <c r="T135" i="29" s="1"/>
  <c r="W135" i="29" s="1"/>
  <c r="D198" i="29" s="1"/>
  <c r="B173" i="29"/>
  <c r="C186" i="29"/>
  <c r="K23" i="51"/>
  <c r="B170" i="29"/>
  <c r="E154" i="43"/>
  <c r="N41" i="51"/>
  <c r="S149" i="29"/>
  <c r="T149" i="29" s="1"/>
  <c r="W149" i="29" s="1"/>
  <c r="D212" i="29" s="1"/>
  <c r="D186" i="29"/>
  <c r="I29" i="57"/>
  <c r="C179" i="16"/>
  <c r="B173" i="25"/>
  <c r="J12" i="51"/>
  <c r="N36" i="51"/>
  <c r="C57" i="43"/>
  <c r="T138" i="25"/>
  <c r="W138" i="25" s="1"/>
  <c r="Z138" i="25" s="1"/>
  <c r="D201" i="25" s="1"/>
  <c r="J26" i="51"/>
  <c r="D173" i="29"/>
  <c r="H7" i="51"/>
  <c r="I7" i="51" s="1"/>
  <c r="F207" i="24"/>
  <c r="D28" i="14" s="1"/>
  <c r="F202" i="24"/>
  <c r="D23" i="14" s="1"/>
  <c r="I21" i="57"/>
  <c r="AO92" i="30"/>
  <c r="V31" i="23"/>
  <c r="CP29" i="23"/>
  <c r="BH29" i="31" s="1"/>
  <c r="N46" i="51"/>
  <c r="CQ29" i="23"/>
  <c r="BI29" i="31" s="1"/>
  <c r="D185" i="16"/>
  <c r="G217" i="12"/>
  <c r="G127" i="16"/>
  <c r="D127" i="16" s="1"/>
  <c r="R91" i="24"/>
  <c r="S81" i="24" s="1"/>
  <c r="B177" i="25"/>
  <c r="D168" i="25"/>
  <c r="F32" i="14"/>
  <c r="J21" i="57"/>
  <c r="M21" i="57" s="1"/>
  <c r="D176" i="25"/>
  <c r="F61" i="25"/>
  <c r="C86" i="43"/>
  <c r="J61" i="25"/>
  <c r="J62" i="25" s="1"/>
  <c r="B163" i="43"/>
  <c r="C168" i="25"/>
  <c r="F23" i="14"/>
  <c r="F48" i="15"/>
  <c r="E80" i="15" s="1"/>
  <c r="F80" i="15" s="1"/>
  <c r="N54" i="51"/>
  <c r="H16" i="51"/>
  <c r="I16" i="51" s="1"/>
  <c r="D173" i="25"/>
  <c r="T147" i="25"/>
  <c r="W147" i="25" s="1"/>
  <c r="Z147" i="25" s="1"/>
  <c r="D210" i="25" s="1"/>
  <c r="N35" i="51"/>
  <c r="C184" i="29"/>
  <c r="C167" i="29"/>
  <c r="G220" i="12"/>
  <c r="D177" i="25"/>
  <c r="D183" i="25"/>
  <c r="B170" i="16"/>
  <c r="B174" i="25"/>
  <c r="B172" i="43"/>
  <c r="C164" i="29"/>
  <c r="M47" i="20"/>
  <c r="C11" i="20" s="1"/>
  <c r="C13" i="20" s="1"/>
  <c r="C169" i="25"/>
  <c r="B182" i="25"/>
  <c r="AW28" i="34"/>
  <c r="AW61" i="34" s="1"/>
  <c r="D174" i="29"/>
  <c r="S163" i="12"/>
  <c r="B176" i="25"/>
  <c r="D166" i="43"/>
  <c r="C182" i="16"/>
  <c r="C173" i="43"/>
  <c r="D225" i="12"/>
  <c r="D226" i="12" s="1"/>
  <c r="D181" i="16"/>
  <c r="R42" i="16"/>
  <c r="C172" i="16"/>
  <c r="D172" i="16"/>
  <c r="C175" i="16"/>
  <c r="B179" i="16"/>
  <c r="D178" i="16"/>
  <c r="B167" i="16"/>
  <c r="B186" i="29"/>
  <c r="D180" i="29"/>
  <c r="B185" i="29"/>
  <c r="D183" i="29"/>
  <c r="C178" i="43"/>
  <c r="B185" i="43"/>
  <c r="C182" i="43"/>
  <c r="B171" i="43"/>
  <c r="R40" i="43"/>
  <c r="J56" i="43"/>
  <c r="B165" i="43"/>
  <c r="R35" i="43"/>
  <c r="D165" i="43"/>
  <c r="C163" i="43"/>
  <c r="B182" i="43"/>
  <c r="R45" i="29"/>
  <c r="M154" i="43"/>
  <c r="C165" i="29"/>
  <c r="B183" i="43"/>
  <c r="B174" i="29"/>
  <c r="C182" i="25"/>
  <c r="C183" i="29"/>
  <c r="D167" i="29"/>
  <c r="I42" i="57"/>
  <c r="D167" i="16"/>
  <c r="D166" i="16"/>
  <c r="R38" i="43"/>
  <c r="B180" i="25"/>
  <c r="R86" i="29"/>
  <c r="C180" i="43"/>
  <c r="D172" i="25"/>
  <c r="R56" i="25"/>
  <c r="K19" i="51"/>
  <c r="N38" i="51"/>
  <c r="D184" i="43"/>
  <c r="E218" i="16"/>
  <c r="C180" i="25"/>
  <c r="R65" i="43"/>
  <c r="L218" i="16"/>
  <c r="G248" i="16" s="1"/>
  <c r="C181" i="25"/>
  <c r="H155" i="29"/>
  <c r="F218" i="24"/>
  <c r="G218" i="24" s="1"/>
  <c r="K27" i="51"/>
  <c r="R37" i="43"/>
  <c r="R49" i="16"/>
  <c r="B175" i="25"/>
  <c r="R37" i="16"/>
  <c r="Q155" i="29"/>
  <c r="S155" i="29" s="1"/>
  <c r="T155" i="29" s="1"/>
  <c r="W155" i="29" s="1"/>
  <c r="X155" i="29" s="1"/>
  <c r="D170" i="25"/>
  <c r="R68" i="29"/>
  <c r="R80" i="43"/>
  <c r="R84" i="29"/>
  <c r="R40" i="25"/>
  <c r="D180" i="25"/>
  <c r="B188" i="25"/>
  <c r="B187" i="25"/>
  <c r="D86" i="43"/>
  <c r="J25" i="51"/>
  <c r="AT41" i="30"/>
  <c r="R40" i="29"/>
  <c r="R71" i="16"/>
  <c r="N50" i="51"/>
  <c r="R82" i="43"/>
  <c r="H154" i="43"/>
  <c r="L159" i="25"/>
  <c r="F54" i="16"/>
  <c r="C55" i="16" s="1"/>
  <c r="B169" i="25"/>
  <c r="AP92" i="30"/>
  <c r="AS122" i="30"/>
  <c r="C174" i="43"/>
  <c r="D178" i="25"/>
  <c r="Q142" i="16"/>
  <c r="R142" i="16" s="1"/>
  <c r="U142" i="16" s="1"/>
  <c r="D267" i="16" s="1"/>
  <c r="C183" i="25"/>
  <c r="I34" i="57"/>
  <c r="N68" i="15"/>
  <c r="C168" i="15" s="1"/>
  <c r="C166" i="43"/>
  <c r="C177" i="25"/>
  <c r="R48" i="43"/>
  <c r="B181" i="25"/>
  <c r="R69" i="16"/>
  <c r="N30" i="34"/>
  <c r="D185" i="25"/>
  <c r="R48" i="29"/>
  <c r="N57" i="15"/>
  <c r="C157" i="15" s="1"/>
  <c r="AY17" i="34"/>
  <c r="B176" i="43"/>
  <c r="C174" i="29"/>
  <c r="F211" i="24"/>
  <c r="G211" i="24" s="1"/>
  <c r="R50" i="25"/>
  <c r="C170" i="16"/>
  <c r="C172" i="43"/>
  <c r="N65" i="15"/>
  <c r="C165" i="15" s="1"/>
  <c r="F40" i="14"/>
  <c r="R77" i="43"/>
  <c r="C168" i="29"/>
  <c r="D184" i="29"/>
  <c r="D179" i="16"/>
  <c r="R83" i="16"/>
  <c r="F200" i="24"/>
  <c r="D21" i="14" s="1"/>
  <c r="R36" i="16"/>
  <c r="R43" i="16"/>
  <c r="R39" i="29"/>
  <c r="D171" i="43"/>
  <c r="C170" i="25"/>
  <c r="R88" i="25"/>
  <c r="E87" i="29"/>
  <c r="B182" i="29"/>
  <c r="C173" i="25"/>
  <c r="N52" i="51"/>
  <c r="B173" i="43"/>
  <c r="D165" i="29"/>
  <c r="Q57" i="29"/>
  <c r="C185" i="43"/>
  <c r="R45" i="43"/>
  <c r="D169" i="43"/>
  <c r="R77" i="25"/>
  <c r="N60" i="15"/>
  <c r="C160" i="15" s="1"/>
  <c r="D178" i="43"/>
  <c r="B190" i="25"/>
  <c r="C87" i="29"/>
  <c r="R76" i="25"/>
  <c r="B184" i="43"/>
  <c r="C185" i="16"/>
  <c r="R46" i="43"/>
  <c r="R81" i="16"/>
  <c r="C170" i="29"/>
  <c r="R72" i="16"/>
  <c r="D170" i="16"/>
  <c r="Q152" i="16"/>
  <c r="R152" i="16" s="1"/>
  <c r="U152" i="16" s="1"/>
  <c r="D277" i="16" s="1"/>
  <c r="B183" i="29"/>
  <c r="R52" i="29"/>
  <c r="B170" i="43"/>
  <c r="N45" i="51"/>
  <c r="D164" i="29"/>
  <c r="B186" i="25"/>
  <c r="C169" i="16"/>
  <c r="AF45" i="9"/>
  <c r="Q144" i="16"/>
  <c r="L16" i="51" s="1"/>
  <c r="D188" i="25"/>
  <c r="R39" i="16"/>
  <c r="C177" i="43"/>
  <c r="D87" i="29"/>
  <c r="R70" i="25"/>
  <c r="B168" i="29"/>
  <c r="E91" i="25"/>
  <c r="G91" i="25" s="1"/>
  <c r="H91" i="25" s="1"/>
  <c r="I91" i="25" s="1"/>
  <c r="R38" i="25"/>
  <c r="D180" i="43"/>
  <c r="R75" i="29"/>
  <c r="AF33" i="25"/>
  <c r="B185" i="25"/>
  <c r="B167" i="43"/>
  <c r="C175" i="25"/>
  <c r="AT43" i="30"/>
  <c r="C180" i="16"/>
  <c r="C169" i="29"/>
  <c r="C173" i="29"/>
  <c r="N39" i="51"/>
  <c r="R48" i="25"/>
  <c r="R45" i="16"/>
  <c r="F44" i="57"/>
  <c r="D179" i="25"/>
  <c r="C187" i="16"/>
  <c r="C178" i="25"/>
  <c r="P57" i="29"/>
  <c r="Q149" i="16"/>
  <c r="L21" i="51" s="1"/>
  <c r="N79" i="15"/>
  <c r="C179" i="15" s="1"/>
  <c r="AA34" i="25"/>
  <c r="G155" i="29"/>
  <c r="C174" i="25"/>
  <c r="I159" i="25"/>
  <c r="B176" i="16"/>
  <c r="M218" i="16"/>
  <c r="H248" i="16" s="1"/>
  <c r="R52" i="43"/>
  <c r="R41" i="25"/>
  <c r="D182" i="25"/>
  <c r="R39" i="43"/>
  <c r="N49" i="51"/>
  <c r="D174" i="25"/>
  <c r="M80" i="15"/>
  <c r="C184" i="43"/>
  <c r="D181" i="29"/>
  <c r="N56" i="51"/>
  <c r="N76" i="15"/>
  <c r="C176" i="15" s="1"/>
  <c r="C169" i="43"/>
  <c r="E155" i="29"/>
  <c r="G154" i="43"/>
  <c r="Q155" i="16"/>
  <c r="L27" i="51" s="1"/>
  <c r="AT60" i="30"/>
  <c r="R73" i="29"/>
  <c r="AY9" i="34"/>
  <c r="C155" i="29"/>
  <c r="B169" i="16"/>
  <c r="N67" i="15"/>
  <c r="C167" i="15" s="1"/>
  <c r="J218" i="16"/>
  <c r="E248" i="16" s="1"/>
  <c r="B169" i="29"/>
  <c r="C183" i="43"/>
  <c r="B168" i="25"/>
  <c r="C178" i="16"/>
  <c r="AP122" i="30"/>
  <c r="R53" i="43"/>
  <c r="B187" i="16"/>
  <c r="D172" i="43"/>
  <c r="R49" i="29"/>
  <c r="R55" i="29"/>
  <c r="R82" i="25"/>
  <c r="I27" i="57"/>
  <c r="R58" i="25"/>
  <c r="B167" i="29"/>
  <c r="R69" i="25"/>
  <c r="Q138" i="16"/>
  <c r="L10" i="51" s="1"/>
  <c r="AT61" i="30"/>
  <c r="B165" i="29"/>
  <c r="Q146" i="16"/>
  <c r="R146" i="16" s="1"/>
  <c r="U146" i="16" s="1"/>
  <c r="D271" i="16" s="1"/>
  <c r="N75" i="15"/>
  <c r="C175" i="15" s="1"/>
  <c r="K155" i="29"/>
  <c r="D182" i="43"/>
  <c r="Q147" i="16"/>
  <c r="L19" i="51" s="1"/>
  <c r="R85" i="43"/>
  <c r="P70" i="43"/>
  <c r="R70" i="43" s="1"/>
  <c r="C170" i="43"/>
  <c r="S132" i="29"/>
  <c r="T132" i="29" s="1"/>
  <c r="W132" i="29" s="1"/>
  <c r="D195" i="29" s="1"/>
  <c r="K5" i="51"/>
  <c r="P89" i="25"/>
  <c r="C189" i="25"/>
  <c r="O20" i="57"/>
  <c r="AV29" i="23"/>
  <c r="S143" i="29"/>
  <c r="T143" i="29" s="1"/>
  <c r="W143" i="29" s="1"/>
  <c r="D206" i="29" s="1"/>
  <c r="K16" i="51"/>
  <c r="B225" i="12"/>
  <c r="F201" i="12"/>
  <c r="N67" i="14"/>
  <c r="K67" i="14"/>
  <c r="P64" i="16"/>
  <c r="R64" i="16" s="1"/>
  <c r="C168" i="16"/>
  <c r="AX55" i="34"/>
  <c r="AY22" i="34"/>
  <c r="BG19" i="31"/>
  <c r="CR19" i="23"/>
  <c r="BJ19" i="31" s="1"/>
  <c r="K55" i="14"/>
  <c r="N55" i="14"/>
  <c r="B186" i="16"/>
  <c r="Q81" i="25"/>
  <c r="R81" i="25" s="1"/>
  <c r="D181" i="25"/>
  <c r="P85" i="29"/>
  <c r="R85" i="29" s="1"/>
  <c r="C185" i="29"/>
  <c r="CN29" i="23"/>
  <c r="J19" i="51"/>
  <c r="S145" i="43"/>
  <c r="T145" i="43" s="1"/>
  <c r="W145" i="43" s="1"/>
  <c r="D208" i="43" s="1"/>
  <c r="Q81" i="43"/>
  <c r="R81" i="43" s="1"/>
  <c r="D181" i="43"/>
  <c r="AY5" i="34"/>
  <c r="H39" i="51"/>
  <c r="M39" i="51" s="1"/>
  <c r="AT104" i="30"/>
  <c r="AX53" i="34"/>
  <c r="AY20" i="34"/>
  <c r="O68" i="43"/>
  <c r="R68" i="43" s="1"/>
  <c r="B168" i="43"/>
  <c r="K35" i="57"/>
  <c r="O35" i="57" s="1"/>
  <c r="I35" i="57"/>
  <c r="Q76" i="43"/>
  <c r="R76" i="43" s="1"/>
  <c r="D176" i="43"/>
  <c r="P87" i="25"/>
  <c r="R87" i="25" s="1"/>
  <c r="C187" i="25"/>
  <c r="G89" i="15"/>
  <c r="D88" i="15"/>
  <c r="P82" i="16"/>
  <c r="R82" i="16" s="1"/>
  <c r="C186" i="16"/>
  <c r="E55" i="56"/>
  <c r="F55" i="56" s="1"/>
  <c r="T36" i="16"/>
  <c r="F57" i="29"/>
  <c r="J57" i="29"/>
  <c r="Q89" i="25"/>
  <c r="D189" i="25"/>
  <c r="E54" i="56"/>
  <c r="F54" i="56" s="1"/>
  <c r="T35" i="16"/>
  <c r="S153" i="43"/>
  <c r="T153" i="43" s="1"/>
  <c r="W153" i="43" s="1"/>
  <c r="D216" i="43" s="1"/>
  <c r="J27" i="51"/>
  <c r="I57" i="51"/>
  <c r="I60" i="51" s="1"/>
  <c r="N33" i="51"/>
  <c r="Q117" i="15"/>
  <c r="Q118" i="15" s="1"/>
  <c r="T118" i="15" s="1"/>
  <c r="M13" i="51"/>
  <c r="CR24" i="23"/>
  <c r="BJ24" i="31" s="1"/>
  <c r="BG24" i="31"/>
  <c r="O78" i="43"/>
  <c r="R78" i="43" s="1"/>
  <c r="B178" i="43"/>
  <c r="P71" i="29"/>
  <c r="R71" i="29" s="1"/>
  <c r="C171" i="29"/>
  <c r="C232" i="16"/>
  <c r="D232" i="16" s="1"/>
  <c r="I202" i="16"/>
  <c r="D202" i="16"/>
  <c r="Q78" i="16"/>
  <c r="R78" i="16" s="1"/>
  <c r="D182" i="16"/>
  <c r="D172" i="29"/>
  <c r="B163" i="29"/>
  <c r="O63" i="29"/>
  <c r="K87" i="29"/>
  <c r="S51" i="24"/>
  <c r="X62" i="24"/>
  <c r="Q73" i="43"/>
  <c r="R73" i="43" s="1"/>
  <c r="D173" i="43"/>
  <c r="Q80" i="16"/>
  <c r="D184" i="16"/>
  <c r="O89" i="25"/>
  <c r="B189" i="25"/>
  <c r="M5" i="51"/>
  <c r="P85" i="25"/>
  <c r="R85" i="25" s="1"/>
  <c r="C185" i="25"/>
  <c r="D41" i="14"/>
  <c r="G220" i="24"/>
  <c r="P77" i="29"/>
  <c r="R77" i="29" s="1"/>
  <c r="C177" i="29"/>
  <c r="BG27" i="31"/>
  <c r="CR27" i="23"/>
  <c r="BJ27" i="31" s="1"/>
  <c r="E65" i="56"/>
  <c r="F65" i="56" s="1"/>
  <c r="T46" i="16"/>
  <c r="J32" i="57"/>
  <c r="I32" i="57"/>
  <c r="N74" i="15"/>
  <c r="C174" i="15" s="1"/>
  <c r="Q79" i="16"/>
  <c r="R79" i="16" s="1"/>
  <c r="D183" i="16"/>
  <c r="Q73" i="16"/>
  <c r="D177" i="16"/>
  <c r="BH5" i="31"/>
  <c r="K25" i="57"/>
  <c r="O25" i="57" s="1"/>
  <c r="I25" i="57"/>
  <c r="G44" i="57"/>
  <c r="D204" i="16"/>
  <c r="I204" i="16"/>
  <c r="C234" i="16"/>
  <c r="D234" i="16" s="1"/>
  <c r="Q61" i="16"/>
  <c r="R61" i="16" s="1"/>
  <c r="D165" i="16"/>
  <c r="E64" i="56"/>
  <c r="F64" i="56" s="1"/>
  <c r="T45" i="16"/>
  <c r="Q86" i="25"/>
  <c r="R86" i="25" s="1"/>
  <c r="D186" i="25"/>
  <c r="BG28" i="31"/>
  <c r="CR28" i="23"/>
  <c r="BJ28" i="31" s="1"/>
  <c r="H38" i="51"/>
  <c r="M38" i="51" s="1"/>
  <c r="AT103" i="30"/>
  <c r="N7" i="34"/>
  <c r="N40" i="34" s="1"/>
  <c r="AT71" i="30"/>
  <c r="P77" i="16"/>
  <c r="R77" i="16" s="1"/>
  <c r="C181" i="16"/>
  <c r="D42" i="14"/>
  <c r="G221" i="24"/>
  <c r="P80" i="16"/>
  <c r="C184" i="16"/>
  <c r="S144" i="29"/>
  <c r="T144" i="29" s="1"/>
  <c r="W144" i="29" s="1"/>
  <c r="D207" i="29" s="1"/>
  <c r="K17" i="51"/>
  <c r="O71" i="25"/>
  <c r="B171" i="25"/>
  <c r="CR8" i="23"/>
  <c r="BJ8" i="31" s="1"/>
  <c r="BG8" i="31"/>
  <c r="BI5" i="31"/>
  <c r="Q79" i="43"/>
  <c r="R79" i="43" s="1"/>
  <c r="D179" i="43"/>
  <c r="AX60" i="34"/>
  <c r="AY27" i="34"/>
  <c r="I23" i="57"/>
  <c r="J23" i="57"/>
  <c r="E70" i="56"/>
  <c r="F70" i="56" s="1"/>
  <c r="T51" i="16"/>
  <c r="S150" i="43"/>
  <c r="T150" i="43" s="1"/>
  <c r="W150" i="43" s="1"/>
  <c r="D213" i="43" s="1"/>
  <c r="J24" i="51"/>
  <c r="BG16" i="31"/>
  <c r="CR16" i="23"/>
  <c r="BJ16" i="31" s="1"/>
  <c r="O74" i="16"/>
  <c r="R74" i="16" s="1"/>
  <c r="B178" i="16"/>
  <c r="D22" i="14"/>
  <c r="G201" i="24"/>
  <c r="M124" i="25"/>
  <c r="T146" i="25"/>
  <c r="W146" i="25" s="1"/>
  <c r="Z146" i="25" s="1"/>
  <c r="D209" i="25" s="1"/>
  <c r="V146" i="25"/>
  <c r="H15" i="51"/>
  <c r="I15" i="51" s="1"/>
  <c r="Q66" i="29"/>
  <c r="R66" i="29" s="1"/>
  <c r="D166" i="29"/>
  <c r="Q67" i="43"/>
  <c r="R67" i="43" s="1"/>
  <c r="D167" i="43"/>
  <c r="C73" i="56"/>
  <c r="P71" i="25"/>
  <c r="C171" i="25"/>
  <c r="Q75" i="43"/>
  <c r="R75" i="43" s="1"/>
  <c r="D175" i="43"/>
  <c r="P73" i="16"/>
  <c r="C177" i="16"/>
  <c r="O67" i="16"/>
  <c r="R67" i="16" s="1"/>
  <c r="B171" i="16"/>
  <c r="AX49" i="34"/>
  <c r="AY16" i="34"/>
  <c r="Q79" i="29"/>
  <c r="R79" i="29" s="1"/>
  <c r="D179" i="29"/>
  <c r="T149" i="25"/>
  <c r="W149" i="25" s="1"/>
  <c r="Z149" i="25" s="1"/>
  <c r="D212" i="25" s="1"/>
  <c r="V149" i="25"/>
  <c r="H18" i="51"/>
  <c r="I18" i="51" s="1"/>
  <c r="P82" i="29"/>
  <c r="R82" i="29" s="1"/>
  <c r="C182" i="29"/>
  <c r="P62" i="16"/>
  <c r="R62" i="16" s="1"/>
  <c r="C166" i="16"/>
  <c r="K63" i="14"/>
  <c r="N63" i="14"/>
  <c r="H36" i="51"/>
  <c r="M36" i="51" s="1"/>
  <c r="AT101" i="30"/>
  <c r="Q132" i="16"/>
  <c r="N156" i="16"/>
  <c r="H41" i="51"/>
  <c r="M41" i="51" s="1"/>
  <c r="AT106" i="30"/>
  <c r="AT69" i="30"/>
  <c r="N5" i="34"/>
  <c r="N38" i="34" s="1"/>
  <c r="AY14" i="34"/>
  <c r="BG26" i="31"/>
  <c r="CR26" i="23"/>
  <c r="BJ26" i="31" s="1"/>
  <c r="N53" i="14"/>
  <c r="K53" i="14"/>
  <c r="N33" i="57"/>
  <c r="Q33" i="57" s="1"/>
  <c r="M33" i="57"/>
  <c r="AT47" i="30"/>
  <c r="AI122" i="30"/>
  <c r="AI123" i="30" s="1"/>
  <c r="D174" i="16"/>
  <c r="E68" i="56"/>
  <c r="F68" i="56" s="1"/>
  <c r="T49" i="16"/>
  <c r="N23" i="34"/>
  <c r="N56" i="34" s="1"/>
  <c r="AT87" i="30"/>
  <c r="R69" i="43"/>
  <c r="I214" i="16"/>
  <c r="D214" i="16"/>
  <c r="C244" i="16"/>
  <c r="D244" i="16" s="1"/>
  <c r="Q133" i="16"/>
  <c r="I205" i="16"/>
  <c r="C235" i="16"/>
  <c r="D235" i="16" s="1"/>
  <c r="D205" i="16"/>
  <c r="D175" i="29"/>
  <c r="K65" i="14"/>
  <c r="N65" i="14"/>
  <c r="S144" i="43"/>
  <c r="T144" i="43" s="1"/>
  <c r="W144" i="43" s="1"/>
  <c r="D207" i="43" s="1"/>
  <c r="J18" i="51"/>
  <c r="R72" i="25"/>
  <c r="AT49" i="30"/>
  <c r="N62" i="14"/>
  <c r="K62" i="14"/>
  <c r="CR10" i="23"/>
  <c r="BJ10" i="31" s="1"/>
  <c r="BG10" i="31"/>
  <c r="C172" i="29"/>
  <c r="L80" i="15"/>
  <c r="E62" i="56"/>
  <c r="F62" i="56" s="1"/>
  <c r="T43" i="16"/>
  <c r="S132" i="43"/>
  <c r="T132" i="43" s="1"/>
  <c r="W132" i="43" s="1"/>
  <c r="D195" i="43" s="1"/>
  <c r="J6" i="51"/>
  <c r="S151" i="29"/>
  <c r="T151" i="29" s="1"/>
  <c r="W151" i="29" s="1"/>
  <c r="D214" i="29" s="1"/>
  <c r="K24" i="51"/>
  <c r="C12" i="20"/>
  <c r="R76" i="16"/>
  <c r="S141" i="29"/>
  <c r="T141" i="29" s="1"/>
  <c r="W141" i="29" s="1"/>
  <c r="D204" i="29" s="1"/>
  <c r="K14" i="51"/>
  <c r="Q54" i="16"/>
  <c r="R69" i="29"/>
  <c r="N35" i="57"/>
  <c r="K73" i="14"/>
  <c r="N73" i="14"/>
  <c r="N20" i="57"/>
  <c r="M20" i="57"/>
  <c r="R78" i="25"/>
  <c r="N72" i="15"/>
  <c r="C172" i="15" s="1"/>
  <c r="N66" i="15"/>
  <c r="C166" i="15" s="1"/>
  <c r="R46" i="16"/>
  <c r="E71" i="56"/>
  <c r="F71" i="56" s="1"/>
  <c r="T52" i="16"/>
  <c r="S148" i="29"/>
  <c r="T148" i="29" s="1"/>
  <c r="W148" i="29" s="1"/>
  <c r="D211" i="29" s="1"/>
  <c r="K21" i="51"/>
  <c r="H45" i="51"/>
  <c r="M45" i="51" s="1"/>
  <c r="AT110" i="30"/>
  <c r="AR122" i="30"/>
  <c r="R57" i="25"/>
  <c r="C179" i="29"/>
  <c r="K75" i="14"/>
  <c r="N75" i="14"/>
  <c r="C236" i="16"/>
  <c r="D236" i="16" s="1"/>
  <c r="D206" i="16"/>
  <c r="I206" i="16"/>
  <c r="D77" i="14"/>
  <c r="AY10" i="34"/>
  <c r="C184" i="25"/>
  <c r="D178" i="29"/>
  <c r="B166" i="29"/>
  <c r="S130" i="43"/>
  <c r="J4" i="51"/>
  <c r="H8" i="51"/>
  <c r="I8" i="51" s="1"/>
  <c r="T139" i="25"/>
  <c r="W139" i="25" s="1"/>
  <c r="Z139" i="25" s="1"/>
  <c r="D202" i="25" s="1"/>
  <c r="V139" i="25"/>
  <c r="N92" i="24"/>
  <c r="K124" i="25"/>
  <c r="N43" i="51"/>
  <c r="N10" i="34"/>
  <c r="N43" i="34" s="1"/>
  <c r="AT74" i="30"/>
  <c r="C180" i="29"/>
  <c r="M155" i="29"/>
  <c r="I155" i="29"/>
  <c r="R55" i="43"/>
  <c r="R51" i="25"/>
  <c r="D182" i="29"/>
  <c r="C165" i="43"/>
  <c r="N4" i="34"/>
  <c r="AT68" i="30"/>
  <c r="AT39" i="30"/>
  <c r="L119" i="43"/>
  <c r="L154" i="43"/>
  <c r="J154" i="43"/>
  <c r="N48" i="15"/>
  <c r="N49" i="15" s="1"/>
  <c r="I24" i="57"/>
  <c r="J24" i="57"/>
  <c r="J38" i="57"/>
  <c r="I38" i="57"/>
  <c r="C164" i="43"/>
  <c r="R38" i="29"/>
  <c r="R54" i="43"/>
  <c r="D91" i="25"/>
  <c r="B167" i="25"/>
  <c r="K91" i="25"/>
  <c r="O67" i="25"/>
  <c r="AX58" i="34"/>
  <c r="AY25" i="34"/>
  <c r="R54" i="29"/>
  <c r="R39" i="25"/>
  <c r="R56" i="29"/>
  <c r="N71" i="15"/>
  <c r="C171" i="15" s="1"/>
  <c r="J13" i="51"/>
  <c r="S139" i="43"/>
  <c r="T139" i="43" s="1"/>
  <c r="W139" i="43" s="1"/>
  <c r="D202" i="43" s="1"/>
  <c r="R35" i="16"/>
  <c r="V148" i="25"/>
  <c r="T148" i="25"/>
  <c r="W148" i="25" s="1"/>
  <c r="Z148" i="25" s="1"/>
  <c r="D211" i="25" s="1"/>
  <c r="H17" i="51"/>
  <c r="I17" i="51" s="1"/>
  <c r="F208" i="24"/>
  <c r="N64" i="15"/>
  <c r="C164" i="15" s="1"/>
  <c r="AT46" i="30"/>
  <c r="C226" i="16"/>
  <c r="D226" i="16" s="1"/>
  <c r="I196" i="16"/>
  <c r="D196" i="16"/>
  <c r="R72" i="29"/>
  <c r="R78" i="29"/>
  <c r="AL37" i="34"/>
  <c r="AL28" i="34"/>
  <c r="AL61" i="34" s="1"/>
  <c r="I201" i="16"/>
  <c r="D201" i="16"/>
  <c r="C231" i="16"/>
  <c r="D231" i="16" s="1"/>
  <c r="S137" i="43"/>
  <c r="T137" i="43" s="1"/>
  <c r="W137" i="43" s="1"/>
  <c r="D200" i="43" s="1"/>
  <c r="J11" i="51"/>
  <c r="G208" i="12"/>
  <c r="F26" i="14"/>
  <c r="F218" i="16"/>
  <c r="N48" i="51"/>
  <c r="N63" i="15"/>
  <c r="C163" i="15" s="1"/>
  <c r="R55" i="25"/>
  <c r="Q154" i="16"/>
  <c r="R44" i="25"/>
  <c r="K56" i="14"/>
  <c r="N56" i="14"/>
  <c r="N6" i="34"/>
  <c r="N39" i="34" s="1"/>
  <c r="AT70" i="30"/>
  <c r="AA40" i="43"/>
  <c r="N58" i="43" s="1"/>
  <c r="D171" i="16"/>
  <c r="I39" i="57"/>
  <c r="J39" i="57"/>
  <c r="T140" i="25"/>
  <c r="W140" i="25" s="1"/>
  <c r="Z140" i="25" s="1"/>
  <c r="D203" i="25" s="1"/>
  <c r="V140" i="25"/>
  <c r="H9" i="51"/>
  <c r="I9" i="51" s="1"/>
  <c r="B179" i="25"/>
  <c r="V153" i="25"/>
  <c r="T153" i="25"/>
  <c r="W153" i="25" s="1"/>
  <c r="Z153" i="25" s="1"/>
  <c r="D216" i="25" s="1"/>
  <c r="H22" i="51"/>
  <c r="I22" i="51" s="1"/>
  <c r="R42" i="43"/>
  <c r="N12" i="34"/>
  <c r="N45" i="34" s="1"/>
  <c r="AT76" i="30"/>
  <c r="BG12" i="31"/>
  <c r="CR12" i="23"/>
  <c r="BJ12" i="31" s="1"/>
  <c r="I195" i="16"/>
  <c r="D195" i="16"/>
  <c r="C225" i="16"/>
  <c r="D225" i="16" s="1"/>
  <c r="R84" i="25"/>
  <c r="N53" i="51"/>
  <c r="Q143" i="16"/>
  <c r="Q56" i="43"/>
  <c r="S143" i="43"/>
  <c r="T143" i="43" s="1"/>
  <c r="W143" i="43" s="1"/>
  <c r="D206" i="43" s="1"/>
  <c r="J17" i="51"/>
  <c r="I43" i="57"/>
  <c r="J43" i="57"/>
  <c r="Q137" i="16"/>
  <c r="N24" i="34"/>
  <c r="N57" i="34" s="1"/>
  <c r="AT88" i="30"/>
  <c r="AT52" i="30"/>
  <c r="S145" i="29"/>
  <c r="T145" i="29" s="1"/>
  <c r="W145" i="29" s="1"/>
  <c r="D208" i="29" s="1"/>
  <c r="K18" i="51"/>
  <c r="R43" i="43"/>
  <c r="AF41" i="29"/>
  <c r="R47" i="25"/>
  <c r="N15" i="34"/>
  <c r="N48" i="34" s="1"/>
  <c r="AT79" i="30"/>
  <c r="D177" i="43"/>
  <c r="H56" i="51"/>
  <c r="M56" i="51" s="1"/>
  <c r="AT121" i="30"/>
  <c r="K80" i="15"/>
  <c r="N56" i="15"/>
  <c r="C156" i="15" s="1"/>
  <c r="B181" i="16"/>
  <c r="H44" i="57"/>
  <c r="AT56" i="30"/>
  <c r="D173" i="16"/>
  <c r="AQ122" i="30"/>
  <c r="N59" i="15"/>
  <c r="C159" i="15" s="1"/>
  <c r="B165" i="16"/>
  <c r="K71" i="14"/>
  <c r="N71" i="14"/>
  <c r="N47" i="51"/>
  <c r="N34" i="51"/>
  <c r="N42" i="51"/>
  <c r="B177" i="29"/>
  <c r="B180" i="43"/>
  <c r="R52" i="16"/>
  <c r="R35" i="29"/>
  <c r="K57" i="51"/>
  <c r="K60" i="51" s="1"/>
  <c r="K72" i="14"/>
  <c r="N72" i="14"/>
  <c r="F215" i="24"/>
  <c r="R60" i="25"/>
  <c r="BG9" i="31"/>
  <c r="CR9" i="23"/>
  <c r="BJ9" i="31" s="1"/>
  <c r="N25" i="57"/>
  <c r="D185" i="29"/>
  <c r="B180" i="29"/>
  <c r="N37" i="57"/>
  <c r="Q37" i="57" s="1"/>
  <c r="M37" i="57"/>
  <c r="X122" i="30"/>
  <c r="X123" i="30" s="1"/>
  <c r="R36" i="29"/>
  <c r="Q154" i="43"/>
  <c r="S154" i="43" s="1"/>
  <c r="T154" i="43" s="1"/>
  <c r="W154" i="43" s="1"/>
  <c r="X154" i="43" s="1"/>
  <c r="C186" i="25"/>
  <c r="H48" i="51"/>
  <c r="M48" i="51" s="1"/>
  <c r="AT113" i="30"/>
  <c r="B164" i="43"/>
  <c r="R46" i="25"/>
  <c r="D169" i="25"/>
  <c r="B174" i="43"/>
  <c r="L124" i="25"/>
  <c r="R68" i="16"/>
  <c r="BG6" i="31"/>
  <c r="CR6" i="23"/>
  <c r="BJ6" i="31" s="1"/>
  <c r="K6" i="51"/>
  <c r="S133" i="29"/>
  <c r="T133" i="29" s="1"/>
  <c r="W133" i="29" s="1"/>
  <c r="D196" i="29" s="1"/>
  <c r="N66" i="14"/>
  <c r="K66" i="14"/>
  <c r="AT40" i="30"/>
  <c r="D175" i="16"/>
  <c r="R75" i="16"/>
  <c r="K119" i="43"/>
  <c r="I154" i="43"/>
  <c r="F154" i="43"/>
  <c r="C229" i="16"/>
  <c r="D229" i="16" s="1"/>
  <c r="D199" i="16"/>
  <c r="I199" i="16"/>
  <c r="N54" i="16"/>
  <c r="S35" i="16" s="1"/>
  <c r="D14" i="14"/>
  <c r="AY24" i="34"/>
  <c r="B172" i="16"/>
  <c r="AY11" i="34"/>
  <c r="BG21" i="31"/>
  <c r="CR21" i="23"/>
  <c r="BJ21" i="31" s="1"/>
  <c r="N54" i="14"/>
  <c r="K54" i="14"/>
  <c r="M29" i="57"/>
  <c r="N29" i="57"/>
  <c r="Q29" i="57" s="1"/>
  <c r="C174" i="16"/>
  <c r="S131" i="43"/>
  <c r="T131" i="43" s="1"/>
  <c r="W131" i="43" s="1"/>
  <c r="D194" i="43" s="1"/>
  <c r="J5" i="51"/>
  <c r="H55" i="51"/>
  <c r="M55" i="51" s="1"/>
  <c r="O55" i="51" s="1"/>
  <c r="AT120" i="30"/>
  <c r="K218" i="16"/>
  <c r="F248" i="16" s="1"/>
  <c r="R79" i="25"/>
  <c r="N70" i="14"/>
  <c r="K70" i="14"/>
  <c r="BG23" i="31"/>
  <c r="CR23" i="23"/>
  <c r="BJ23" i="31" s="1"/>
  <c r="H49" i="51"/>
  <c r="M49" i="51" s="1"/>
  <c r="AT114" i="30"/>
  <c r="H43" i="51"/>
  <c r="M43" i="51" s="1"/>
  <c r="AT108" i="30"/>
  <c r="Q141" i="16"/>
  <c r="K59" i="14"/>
  <c r="N59" i="14"/>
  <c r="V152" i="25"/>
  <c r="T152" i="25"/>
  <c r="W152" i="25" s="1"/>
  <c r="Z152" i="25" s="1"/>
  <c r="D215" i="25" s="1"/>
  <c r="H21" i="51"/>
  <c r="I21" i="51" s="1"/>
  <c r="H52" i="51"/>
  <c r="M52" i="51" s="1"/>
  <c r="AT117" i="30"/>
  <c r="AF40" i="43"/>
  <c r="CR25" i="23"/>
  <c r="BJ25" i="31" s="1"/>
  <c r="BG25" i="31"/>
  <c r="H44" i="51"/>
  <c r="M44" i="51" s="1"/>
  <c r="AT109" i="30"/>
  <c r="K25" i="51"/>
  <c r="S152" i="29"/>
  <c r="T152" i="29" s="1"/>
  <c r="W152" i="29" s="1"/>
  <c r="D215" i="29" s="1"/>
  <c r="T156" i="25"/>
  <c r="W156" i="25" s="1"/>
  <c r="Z156" i="25" s="1"/>
  <c r="D219" i="25" s="1"/>
  <c r="V156" i="25"/>
  <c r="H25" i="51"/>
  <c r="I25" i="51" s="1"/>
  <c r="N64" i="14"/>
  <c r="K64" i="14"/>
  <c r="N27" i="34"/>
  <c r="N60" i="34" s="1"/>
  <c r="AT91" i="30"/>
  <c r="AT58" i="30"/>
  <c r="J120" i="29"/>
  <c r="N51" i="51"/>
  <c r="R45" i="25"/>
  <c r="B169" i="43"/>
  <c r="Q61" i="25"/>
  <c r="AT57" i="30"/>
  <c r="AA41" i="29"/>
  <c r="AT50" i="30"/>
  <c r="J80" i="15"/>
  <c r="R47" i="16"/>
  <c r="P20" i="57"/>
  <c r="P44" i="57" s="1"/>
  <c r="L44" i="57"/>
  <c r="J57" i="51"/>
  <c r="J60" i="51" s="1"/>
  <c r="R72" i="43"/>
  <c r="V158" i="25"/>
  <c r="H27" i="51"/>
  <c r="I27" i="51" s="1"/>
  <c r="T158" i="25"/>
  <c r="W158" i="25" s="1"/>
  <c r="Z158" i="25" s="1"/>
  <c r="D221" i="25" s="1"/>
  <c r="E50" i="56"/>
  <c r="F50" i="56" s="1"/>
  <c r="T31" i="16"/>
  <c r="C175" i="43"/>
  <c r="B168" i="16"/>
  <c r="N16" i="34"/>
  <c r="N49" i="34" s="1"/>
  <c r="AT80" i="30"/>
  <c r="B177" i="43"/>
  <c r="D33" i="34"/>
  <c r="AI63" i="30"/>
  <c r="M63" i="30"/>
  <c r="X63" i="30"/>
  <c r="B184" i="16"/>
  <c r="D31" i="35"/>
  <c r="E31" i="35" s="1"/>
  <c r="C31" i="35"/>
  <c r="B9" i="35"/>
  <c r="B20" i="35"/>
  <c r="B13" i="35"/>
  <c r="B6" i="35"/>
  <c r="O24" i="15" s="1"/>
  <c r="B26" i="35"/>
  <c r="B29" i="35"/>
  <c r="B15" i="35"/>
  <c r="B25" i="35"/>
  <c r="B19" i="35"/>
  <c r="B18" i="35"/>
  <c r="B28" i="35"/>
  <c r="B27" i="35"/>
  <c r="B10" i="35"/>
  <c r="B24" i="35"/>
  <c r="B22" i="35"/>
  <c r="B7" i="35"/>
  <c r="B16" i="35"/>
  <c r="B11" i="35"/>
  <c r="B12" i="35"/>
  <c r="B14" i="35"/>
  <c r="B8" i="35"/>
  <c r="B17" i="35"/>
  <c r="B21" i="35"/>
  <c r="B23" i="35"/>
  <c r="AL32" i="15"/>
  <c r="R80" i="25"/>
  <c r="N44" i="51"/>
  <c r="R64" i="29"/>
  <c r="D174" i="43"/>
  <c r="R50" i="43"/>
  <c r="B164" i="16"/>
  <c r="K84" i="16"/>
  <c r="O60" i="16"/>
  <c r="H54" i="51"/>
  <c r="M54" i="51" s="1"/>
  <c r="AT119" i="30"/>
  <c r="B172" i="29"/>
  <c r="D216" i="16"/>
  <c r="C246" i="16"/>
  <c r="D246" i="16" s="1"/>
  <c r="I216" i="16"/>
  <c r="B178" i="29"/>
  <c r="D130" i="25"/>
  <c r="G131" i="25"/>
  <c r="N13" i="34"/>
  <c r="N46" i="34" s="1"/>
  <c r="AT77" i="30"/>
  <c r="AX56" i="34"/>
  <c r="AY23" i="34"/>
  <c r="B183" i="25"/>
  <c r="R34" i="43"/>
  <c r="N61" i="14"/>
  <c r="K61" i="14"/>
  <c r="R44" i="43"/>
  <c r="J124" i="25"/>
  <c r="N37" i="51"/>
  <c r="AT45" i="30"/>
  <c r="J155" i="29"/>
  <c r="F155" i="29"/>
  <c r="R70" i="29"/>
  <c r="R74" i="25"/>
  <c r="R59" i="25"/>
  <c r="D209" i="16"/>
  <c r="C239" i="16"/>
  <c r="D239" i="16" s="1"/>
  <c r="I209" i="16"/>
  <c r="C178" i="29"/>
  <c r="M92" i="30"/>
  <c r="K154" i="43"/>
  <c r="D162" i="43"/>
  <c r="M86" i="43"/>
  <c r="Q62" i="43"/>
  <c r="M30" i="57"/>
  <c r="N30" i="57"/>
  <c r="Q30" i="57" s="1"/>
  <c r="R67" i="29"/>
  <c r="O54" i="16"/>
  <c r="R30" i="16"/>
  <c r="C176" i="16"/>
  <c r="E57" i="56"/>
  <c r="F57" i="56" s="1"/>
  <c r="T38" i="16"/>
  <c r="H35" i="51"/>
  <c r="M35" i="51" s="1"/>
  <c r="AT100" i="30"/>
  <c r="F159" i="25"/>
  <c r="M159" i="25"/>
  <c r="D167" i="25"/>
  <c r="M91" i="25"/>
  <c r="Q67" i="25"/>
  <c r="H51" i="51"/>
  <c r="M51" i="51" s="1"/>
  <c r="AT116" i="30"/>
  <c r="F9" i="14"/>
  <c r="E226" i="12"/>
  <c r="Q145" i="16"/>
  <c r="N19" i="34"/>
  <c r="N52" i="34" s="1"/>
  <c r="AT83" i="30"/>
  <c r="R53" i="29"/>
  <c r="L57" i="51"/>
  <c r="Q136" i="16"/>
  <c r="AF46" i="16"/>
  <c r="C179" i="25"/>
  <c r="Z37" i="34"/>
  <c r="Z28" i="34"/>
  <c r="Z61" i="34" s="1"/>
  <c r="C179" i="43"/>
  <c r="C176" i="29"/>
  <c r="P76" i="29"/>
  <c r="H42" i="51"/>
  <c r="M42" i="51" s="1"/>
  <c r="AT107" i="30"/>
  <c r="M117" i="16"/>
  <c r="R80" i="29"/>
  <c r="AR92" i="30"/>
  <c r="T155" i="25"/>
  <c r="W155" i="25" s="1"/>
  <c r="Z155" i="25" s="1"/>
  <c r="D218" i="25" s="1"/>
  <c r="H24" i="51"/>
  <c r="I24" i="51" s="1"/>
  <c r="V155" i="25"/>
  <c r="C181" i="43"/>
  <c r="R49" i="25"/>
  <c r="E72" i="56"/>
  <c r="F72" i="56" s="1"/>
  <c r="T53" i="16"/>
  <c r="C168" i="43"/>
  <c r="R84" i="43"/>
  <c r="R43" i="25"/>
  <c r="L120" i="29"/>
  <c r="I31" i="57"/>
  <c r="J31" i="57"/>
  <c r="R41" i="43"/>
  <c r="D171" i="25"/>
  <c r="AY19" i="34"/>
  <c r="N60" i="14"/>
  <c r="K60" i="14"/>
  <c r="I213" i="16"/>
  <c r="D213" i="16"/>
  <c r="C243" i="16"/>
  <c r="D243" i="16" s="1"/>
  <c r="B179" i="29"/>
  <c r="N18" i="34"/>
  <c r="N51" i="34" s="1"/>
  <c r="AT82" i="30"/>
  <c r="S140" i="43"/>
  <c r="T140" i="43" s="1"/>
  <c r="W140" i="43" s="1"/>
  <c r="D203" i="43" s="1"/>
  <c r="J14" i="51"/>
  <c r="O56" i="43"/>
  <c r="R32" i="43"/>
  <c r="H46" i="51"/>
  <c r="M46" i="51" s="1"/>
  <c r="AT111" i="30"/>
  <c r="S131" i="29"/>
  <c r="K4" i="51"/>
  <c r="R66" i="43"/>
  <c r="V154" i="25"/>
  <c r="H23" i="51"/>
  <c r="I23" i="51" s="1"/>
  <c r="T154" i="25"/>
  <c r="W154" i="25" s="1"/>
  <c r="Z154" i="25" s="1"/>
  <c r="D217" i="25" s="1"/>
  <c r="E66" i="56"/>
  <c r="F66" i="56" s="1"/>
  <c r="T47" i="16"/>
  <c r="AY26" i="34"/>
  <c r="Q148" i="16"/>
  <c r="R65" i="29"/>
  <c r="G126" i="29"/>
  <c r="AT61" i="34"/>
  <c r="N61" i="15"/>
  <c r="C161" i="15" s="1"/>
  <c r="R31" i="16"/>
  <c r="AY13" i="34"/>
  <c r="BG13" i="31"/>
  <c r="CR13" i="23"/>
  <c r="BJ13" i="31" s="1"/>
  <c r="R34" i="16"/>
  <c r="B184" i="25"/>
  <c r="R47" i="43"/>
  <c r="M30" i="30"/>
  <c r="R50" i="16"/>
  <c r="D249" i="15"/>
  <c r="E259" i="15"/>
  <c r="C248" i="15"/>
  <c r="C249" i="15"/>
  <c r="D248" i="15"/>
  <c r="Q150" i="16"/>
  <c r="R64" i="43"/>
  <c r="R47" i="29"/>
  <c r="N26" i="34"/>
  <c r="N59" i="34" s="1"/>
  <c r="AT90" i="30"/>
  <c r="J28" i="57"/>
  <c r="I28" i="57"/>
  <c r="BG20" i="31"/>
  <c r="CR20" i="23"/>
  <c r="BJ20" i="31" s="1"/>
  <c r="C84" i="16"/>
  <c r="O156" i="16"/>
  <c r="D183" i="43"/>
  <c r="AQ92" i="30"/>
  <c r="T142" i="25"/>
  <c r="W142" i="25" s="1"/>
  <c r="Z142" i="25" s="1"/>
  <c r="D205" i="25" s="1"/>
  <c r="V142" i="25"/>
  <c r="H11" i="51"/>
  <c r="I11" i="51" s="1"/>
  <c r="M41" i="57"/>
  <c r="N41" i="57"/>
  <c r="Q41" i="57" s="1"/>
  <c r="R50" i="29"/>
  <c r="B171" i="29"/>
  <c r="R53" i="25"/>
  <c r="D164" i="43"/>
  <c r="S142" i="43"/>
  <c r="T142" i="43" s="1"/>
  <c r="W142" i="43" s="1"/>
  <c r="D205" i="43" s="1"/>
  <c r="J16" i="51"/>
  <c r="Q140" i="16"/>
  <c r="H50" i="51"/>
  <c r="M50" i="51" s="1"/>
  <c r="O50" i="51" s="1"/>
  <c r="AT115" i="30"/>
  <c r="D180" i="16"/>
  <c r="S137" i="29"/>
  <c r="T137" i="29" s="1"/>
  <c r="W137" i="29" s="1"/>
  <c r="D200" i="29" s="1"/>
  <c r="K10" i="51"/>
  <c r="L155" i="29"/>
  <c r="K9" i="51"/>
  <c r="S136" i="29"/>
  <c r="T136" i="29" s="1"/>
  <c r="W136" i="29" s="1"/>
  <c r="D199" i="29" s="1"/>
  <c r="C173" i="16"/>
  <c r="N77" i="15"/>
  <c r="C177" i="15" s="1"/>
  <c r="K74" i="14"/>
  <c r="N74" i="14"/>
  <c r="AT42" i="30"/>
  <c r="AO122" i="30"/>
  <c r="M122" i="30"/>
  <c r="X92" i="30"/>
  <c r="M119" i="43"/>
  <c r="E86" i="43"/>
  <c r="G86" i="43" s="1"/>
  <c r="H86" i="43" s="1"/>
  <c r="I86" i="43" s="1"/>
  <c r="J86" i="43" s="1"/>
  <c r="D171" i="29"/>
  <c r="B182" i="16"/>
  <c r="I30" i="57"/>
  <c r="E49" i="56"/>
  <c r="T30" i="16"/>
  <c r="D170" i="29"/>
  <c r="R38" i="16"/>
  <c r="C91" i="25"/>
  <c r="H159" i="25"/>
  <c r="AX40" i="34"/>
  <c r="AY7" i="34"/>
  <c r="P56" i="43"/>
  <c r="Q151" i="16"/>
  <c r="BG5" i="31"/>
  <c r="CR5" i="23"/>
  <c r="V33" i="23"/>
  <c r="V30" i="23"/>
  <c r="P30" i="23"/>
  <c r="O30" i="23"/>
  <c r="AT54" i="30"/>
  <c r="AX39" i="34"/>
  <c r="AY6" i="34"/>
  <c r="Q139" i="16"/>
  <c r="BG7" i="31"/>
  <c r="CR7" i="23"/>
  <c r="BJ7" i="31" s="1"/>
  <c r="E7" i="14"/>
  <c r="D223" i="24"/>
  <c r="R81" i="29"/>
  <c r="AA46" i="16"/>
  <c r="C194" i="16"/>
  <c r="D203" i="16"/>
  <c r="C233" i="16"/>
  <c r="D233" i="16" s="1"/>
  <c r="I203" i="16"/>
  <c r="N78" i="15"/>
  <c r="C178" i="15" s="1"/>
  <c r="B175" i="16"/>
  <c r="B176" i="29"/>
  <c r="O76" i="29"/>
  <c r="R70" i="16"/>
  <c r="D169" i="16"/>
  <c r="D210" i="16"/>
  <c r="C240" i="16"/>
  <c r="D240" i="16" s="1"/>
  <c r="I210" i="16"/>
  <c r="P61" i="25"/>
  <c r="N69" i="15"/>
  <c r="C169" i="15" s="1"/>
  <c r="J117" i="16"/>
  <c r="R53" i="16"/>
  <c r="AT62" i="30"/>
  <c r="D177" i="29"/>
  <c r="N58" i="14"/>
  <c r="K58" i="14"/>
  <c r="K120" i="29"/>
  <c r="K13" i="51"/>
  <c r="S140" i="29"/>
  <c r="T140" i="29" s="1"/>
  <c r="W140" i="29" s="1"/>
  <c r="D203" i="29" s="1"/>
  <c r="Q134" i="16"/>
  <c r="AX37" i="34"/>
  <c r="AX28" i="34"/>
  <c r="AX61" i="34" s="1"/>
  <c r="AY4" i="34"/>
  <c r="S147" i="43"/>
  <c r="T147" i="43" s="1"/>
  <c r="W147" i="43" s="1"/>
  <c r="D210" i="43" s="1"/>
  <c r="J21" i="51"/>
  <c r="D170" i="43"/>
  <c r="D40" i="14"/>
  <c r="G219" i="24"/>
  <c r="AT59" i="30"/>
  <c r="R74" i="43"/>
  <c r="D208" i="16"/>
  <c r="I208" i="16"/>
  <c r="C238" i="16"/>
  <c r="D238" i="16" s="1"/>
  <c r="BG11" i="31"/>
  <c r="CR11" i="23"/>
  <c r="BJ11" i="31" s="1"/>
  <c r="D186" i="16"/>
  <c r="N57" i="43"/>
  <c r="BG14" i="31"/>
  <c r="CR14" i="23"/>
  <c r="BJ14" i="31" s="1"/>
  <c r="J48" i="15"/>
  <c r="C227" i="16"/>
  <c r="D227" i="16" s="1"/>
  <c r="D197" i="16"/>
  <c r="I197" i="16"/>
  <c r="R83" i="25"/>
  <c r="BG22" i="31"/>
  <c r="CR22" i="23"/>
  <c r="BJ22" i="31" s="1"/>
  <c r="H52" i="14"/>
  <c r="I52" i="14" s="1"/>
  <c r="L73" i="14" s="1"/>
  <c r="N61" i="25"/>
  <c r="N62" i="25" s="1"/>
  <c r="N21" i="34"/>
  <c r="N54" i="34" s="1"/>
  <c r="AT85" i="30"/>
  <c r="B172" i="25"/>
  <c r="I207" i="16"/>
  <c r="D207" i="16"/>
  <c r="C237" i="16"/>
  <c r="D237" i="16" s="1"/>
  <c r="N27" i="57"/>
  <c r="Q27" i="57" s="1"/>
  <c r="M27" i="57"/>
  <c r="E53" i="56"/>
  <c r="F53" i="56" s="1"/>
  <c r="T34" i="16"/>
  <c r="T157" i="25"/>
  <c r="W157" i="25" s="1"/>
  <c r="Z157" i="25" s="1"/>
  <c r="D220" i="25" s="1"/>
  <c r="V157" i="25"/>
  <c r="H26" i="51"/>
  <c r="I26" i="51" s="1"/>
  <c r="R54" i="25"/>
  <c r="B166" i="43"/>
  <c r="E69" i="56"/>
  <c r="F69" i="56" s="1"/>
  <c r="T50" i="16"/>
  <c r="M4" i="51"/>
  <c r="R71" i="43"/>
  <c r="E191" i="24"/>
  <c r="BG17" i="31"/>
  <c r="CR17" i="23"/>
  <c r="BJ17" i="31" s="1"/>
  <c r="C176" i="43"/>
  <c r="T144" i="25"/>
  <c r="W144" i="25" s="1"/>
  <c r="Z144" i="25" s="1"/>
  <c r="D207" i="25" s="1"/>
  <c r="H13" i="51"/>
  <c r="I13" i="51" s="1"/>
  <c r="V144" i="25"/>
  <c r="C172" i="25"/>
  <c r="T141" i="25"/>
  <c r="W141" i="25" s="1"/>
  <c r="Z141" i="25" s="1"/>
  <c r="D204" i="25" s="1"/>
  <c r="H10" i="51"/>
  <c r="I10" i="51" s="1"/>
  <c r="V141" i="25"/>
  <c r="D84" i="16"/>
  <c r="P156" i="16"/>
  <c r="B181" i="29"/>
  <c r="D168" i="29"/>
  <c r="R42" i="29"/>
  <c r="H4" i="51"/>
  <c r="V135" i="25"/>
  <c r="T135" i="25"/>
  <c r="W135" i="25" s="1"/>
  <c r="Z135" i="25" s="1"/>
  <c r="D198" i="25" s="1"/>
  <c r="B166" i="16"/>
  <c r="R30" i="23"/>
  <c r="S135" i="43"/>
  <c r="T135" i="43" s="1"/>
  <c r="W135" i="43" s="1"/>
  <c r="D198" i="43" s="1"/>
  <c r="J9" i="51"/>
  <c r="R41" i="29"/>
  <c r="C171" i="43"/>
  <c r="R63" i="43"/>
  <c r="K68" i="14"/>
  <c r="N68" i="14"/>
  <c r="D176" i="16"/>
  <c r="C188" i="25"/>
  <c r="H33" i="51"/>
  <c r="AT98" i="30"/>
  <c r="AI92" i="30"/>
  <c r="B174" i="16"/>
  <c r="J119" i="43"/>
  <c r="C154" i="43"/>
  <c r="B162" i="43"/>
  <c r="O62" i="43"/>
  <c r="K86" i="43"/>
  <c r="E67" i="56"/>
  <c r="F67" i="56" s="1"/>
  <c r="T48" i="16"/>
  <c r="B13" i="20"/>
  <c r="B12" i="20"/>
  <c r="D169" i="29"/>
  <c r="AY12" i="34"/>
  <c r="R83" i="29"/>
  <c r="C159" i="25"/>
  <c r="D159" i="25"/>
  <c r="AY15" i="34"/>
  <c r="E30" i="50"/>
  <c r="M32" i="50"/>
  <c r="F30" i="50"/>
  <c r="J30" i="50"/>
  <c r="L30" i="50"/>
  <c r="D30" i="50"/>
  <c r="M30" i="50"/>
  <c r="I30" i="50"/>
  <c r="H30" i="50"/>
  <c r="C30" i="50"/>
  <c r="K30" i="50"/>
  <c r="U29" i="50"/>
  <c r="R73" i="25"/>
  <c r="M61" i="34"/>
  <c r="L30" i="34"/>
  <c r="D31" i="14"/>
  <c r="G210" i="24"/>
  <c r="E60" i="56"/>
  <c r="F60" i="56" s="1"/>
  <c r="T41" i="16"/>
  <c r="D176" i="29"/>
  <c r="Q76" i="29"/>
  <c r="N9" i="34"/>
  <c r="N42" i="34" s="1"/>
  <c r="AT73" i="30"/>
  <c r="E52" i="56"/>
  <c r="F52" i="56" s="1"/>
  <c r="T33" i="16"/>
  <c r="N8" i="34"/>
  <c r="N41" i="34" s="1"/>
  <c r="AT72" i="30"/>
  <c r="M34" i="57"/>
  <c r="N34" i="57"/>
  <c r="Q34" i="57" s="1"/>
  <c r="M120" i="29"/>
  <c r="N70" i="15"/>
  <c r="C170" i="15" s="1"/>
  <c r="E63" i="56"/>
  <c r="F63" i="56" s="1"/>
  <c r="T44" i="16"/>
  <c r="C167" i="43"/>
  <c r="G223" i="12"/>
  <c r="F41" i="14"/>
  <c r="R65" i="16"/>
  <c r="N21" i="57"/>
  <c r="Q21" i="57" s="1"/>
  <c r="AX54" i="34"/>
  <c r="AY21" i="34"/>
  <c r="N22" i="34"/>
  <c r="N55" i="34" s="1"/>
  <c r="AT86" i="30"/>
  <c r="R33" i="29"/>
  <c r="O57" i="29"/>
  <c r="N40" i="51"/>
  <c r="AT53" i="30"/>
  <c r="N14" i="34"/>
  <c r="N47" i="34" s="1"/>
  <c r="AT78" i="30"/>
  <c r="C228" i="16"/>
  <c r="D228" i="16" s="1"/>
  <c r="I198" i="16"/>
  <c r="D198" i="16"/>
  <c r="B185" i="16"/>
  <c r="N62" i="15"/>
  <c r="C162" i="15" s="1"/>
  <c r="D125" i="43"/>
  <c r="G126" i="43"/>
  <c r="O61" i="25"/>
  <c r="R37" i="25"/>
  <c r="I211" i="16"/>
  <c r="C241" i="16"/>
  <c r="D241" i="16" s="1"/>
  <c r="D211" i="16"/>
  <c r="K57" i="14"/>
  <c r="N57" i="14"/>
  <c r="AY18" i="34"/>
  <c r="AT55" i="30"/>
  <c r="BG18" i="31"/>
  <c r="CR18" i="23"/>
  <c r="BJ18" i="31" s="1"/>
  <c r="AT51" i="30"/>
  <c r="K69" i="14"/>
  <c r="N69" i="14"/>
  <c r="R36" i="43"/>
  <c r="B179" i="43"/>
  <c r="B175" i="43"/>
  <c r="R37" i="29"/>
  <c r="E222" i="24"/>
  <c r="R66" i="16"/>
  <c r="S141" i="43"/>
  <c r="T141" i="43" s="1"/>
  <c r="W141" i="43" s="1"/>
  <c r="D204" i="43" s="1"/>
  <c r="J15" i="51"/>
  <c r="P60" i="16"/>
  <c r="L84" i="16"/>
  <c r="B173" i="16"/>
  <c r="H34" i="51"/>
  <c r="M34" i="51" s="1"/>
  <c r="AT99" i="30"/>
  <c r="N73" i="15"/>
  <c r="C173" i="15" s="1"/>
  <c r="Q159" i="25"/>
  <c r="T159" i="25" s="1"/>
  <c r="W159" i="25" s="1"/>
  <c r="Z159" i="25" s="1"/>
  <c r="AA159" i="25" s="1"/>
  <c r="R32" i="16"/>
  <c r="D175" i="25"/>
  <c r="C171" i="16"/>
  <c r="G204" i="12"/>
  <c r="F22" i="14"/>
  <c r="R68" i="25"/>
  <c r="P54" i="16"/>
  <c r="C163" i="29"/>
  <c r="P63" i="29"/>
  <c r="L87" i="29"/>
  <c r="R90" i="25"/>
  <c r="AI28" i="60"/>
  <c r="R40" i="16"/>
  <c r="R48" i="16"/>
  <c r="B164" i="29"/>
  <c r="H37" i="51"/>
  <c r="M37" i="51" s="1"/>
  <c r="AT102" i="30"/>
  <c r="B181" i="43"/>
  <c r="R74" i="29"/>
  <c r="I215" i="16"/>
  <c r="D215" i="16"/>
  <c r="C245" i="16"/>
  <c r="D245" i="16" s="1"/>
  <c r="D168" i="43"/>
  <c r="Q135" i="16"/>
  <c r="D190" i="25"/>
  <c r="G159" i="25"/>
  <c r="J159" i="25"/>
  <c r="N25" i="34"/>
  <c r="N58" i="34" s="1"/>
  <c r="AT89" i="30"/>
  <c r="G30" i="50"/>
  <c r="M26" i="57"/>
  <c r="N26" i="57"/>
  <c r="Q26" i="57" s="1"/>
  <c r="E61" i="56"/>
  <c r="F61" i="56" s="1"/>
  <c r="T42" i="16"/>
  <c r="R52" i="25"/>
  <c r="S148" i="43"/>
  <c r="T148" i="43" s="1"/>
  <c r="W148" i="43" s="1"/>
  <c r="D211" i="43" s="1"/>
  <c r="J22" i="51"/>
  <c r="H47" i="51"/>
  <c r="M47" i="51" s="1"/>
  <c r="AT112" i="30"/>
  <c r="N11" i="34"/>
  <c r="N44" i="34" s="1"/>
  <c r="AT75" i="30"/>
  <c r="S153" i="29"/>
  <c r="T153" i="29" s="1"/>
  <c r="W153" i="29" s="1"/>
  <c r="D216" i="29" s="1"/>
  <c r="K26" i="51"/>
  <c r="R41" i="16"/>
  <c r="S134" i="29"/>
  <c r="T134" i="29" s="1"/>
  <c r="W134" i="29" s="1"/>
  <c r="D197" i="29" s="1"/>
  <c r="K7" i="51"/>
  <c r="AT44" i="30"/>
  <c r="R33" i="16"/>
  <c r="H53" i="51"/>
  <c r="M53" i="51" s="1"/>
  <c r="AT118" i="30"/>
  <c r="T136" i="25"/>
  <c r="W136" i="25" s="1"/>
  <c r="Z136" i="25" s="1"/>
  <c r="D199" i="25" s="1"/>
  <c r="H5" i="51"/>
  <c r="I5" i="51" s="1"/>
  <c r="V136" i="25"/>
  <c r="C257" i="16"/>
  <c r="N117" i="16"/>
  <c r="C281" i="16" s="1"/>
  <c r="B183" i="16"/>
  <c r="B175" i="29"/>
  <c r="R44" i="16"/>
  <c r="S30" i="23"/>
  <c r="S139" i="29"/>
  <c r="T139" i="29" s="1"/>
  <c r="W139" i="29" s="1"/>
  <c r="D202" i="29" s="1"/>
  <c r="K12" i="51"/>
  <c r="Q153" i="16"/>
  <c r="R33" i="43"/>
  <c r="I40" i="57"/>
  <c r="J40" i="57"/>
  <c r="N17" i="34"/>
  <c r="N50" i="34" s="1"/>
  <c r="AT81" i="30"/>
  <c r="E56" i="56"/>
  <c r="F56" i="56" s="1"/>
  <c r="T37" i="16"/>
  <c r="C181" i="29"/>
  <c r="D49" i="56"/>
  <c r="D73" i="56" s="1"/>
  <c r="N57" i="29"/>
  <c r="N58" i="29" s="1"/>
  <c r="AU28" i="60"/>
  <c r="R44" i="29"/>
  <c r="D217" i="16"/>
  <c r="C247" i="16"/>
  <c r="D247" i="16" s="1"/>
  <c r="I217" i="16"/>
  <c r="BG15" i="31"/>
  <c r="CR15" i="23"/>
  <c r="BJ15" i="31" s="1"/>
  <c r="C166" i="29"/>
  <c r="R51" i="16"/>
  <c r="B177" i="16"/>
  <c r="D212" i="16"/>
  <c r="I212" i="16"/>
  <c r="C242" i="16"/>
  <c r="D242" i="16" s="1"/>
  <c r="AX41" i="34"/>
  <c r="AY8" i="34"/>
  <c r="R42" i="25"/>
  <c r="R43" i="29"/>
  <c r="R83" i="43"/>
  <c r="S147" i="29"/>
  <c r="T147" i="29" s="1"/>
  <c r="W147" i="29" s="1"/>
  <c r="D210" i="29" s="1"/>
  <c r="K20" i="51"/>
  <c r="N20" i="34"/>
  <c r="N53" i="34" s="1"/>
  <c r="AT84" i="30"/>
  <c r="C230" i="16"/>
  <c r="D230" i="16" s="1"/>
  <c r="I200" i="16"/>
  <c r="D200" i="16"/>
  <c r="R49" i="43"/>
  <c r="R75" i="25"/>
  <c r="AD43" i="24"/>
  <c r="AE43" i="24"/>
  <c r="AF43" i="24"/>
  <c r="B180" i="16"/>
  <c r="D168" i="16"/>
  <c r="Q60" i="16"/>
  <c r="M84" i="16"/>
  <c r="R51" i="29"/>
  <c r="E58" i="56"/>
  <c r="F58" i="56" s="1"/>
  <c r="T39" i="16"/>
  <c r="S146" i="43"/>
  <c r="T146" i="43" s="1"/>
  <c r="W146" i="43" s="1"/>
  <c r="D209" i="43" s="1"/>
  <c r="J20" i="51"/>
  <c r="S136" i="43"/>
  <c r="T136" i="43" s="1"/>
  <c r="W136" i="43" s="1"/>
  <c r="D199" i="43" s="1"/>
  <c r="J10" i="51"/>
  <c r="D184" i="25"/>
  <c r="E51" i="56"/>
  <c r="F51" i="56" s="1"/>
  <c r="T32" i="16"/>
  <c r="C165" i="16"/>
  <c r="AT48" i="30"/>
  <c r="C175" i="29"/>
  <c r="N58" i="15"/>
  <c r="C158" i="15" s="1"/>
  <c r="M42" i="57"/>
  <c r="N42" i="57"/>
  <c r="Q42" i="57" s="1"/>
  <c r="J36" i="57"/>
  <c r="I36" i="57"/>
  <c r="D163" i="29"/>
  <c r="Q63" i="29"/>
  <c r="M87" i="29"/>
  <c r="S149" i="43"/>
  <c r="T149" i="43" s="1"/>
  <c r="W149" i="43" s="1"/>
  <c r="D212" i="43" s="1"/>
  <c r="J23" i="51"/>
  <c r="H40" i="51"/>
  <c r="M40" i="51" s="1"/>
  <c r="AT105" i="30"/>
  <c r="B198" i="24"/>
  <c r="X28" i="60"/>
  <c r="E59" i="56"/>
  <c r="F59" i="56" s="1"/>
  <c r="T40" i="16"/>
  <c r="C162" i="43"/>
  <c r="L86" i="43"/>
  <c r="P62" i="43"/>
  <c r="C183" i="16"/>
  <c r="R34" i="29"/>
  <c r="M59" i="32"/>
  <c r="M60" i="32" s="1"/>
  <c r="O59" i="32"/>
  <c r="R51" i="43"/>
  <c r="R63" i="16"/>
  <c r="K159" i="25"/>
  <c r="C167" i="25"/>
  <c r="L91" i="25"/>
  <c r="P67" i="25"/>
  <c r="B184" i="29"/>
  <c r="I26" i="57"/>
  <c r="J22" i="57"/>
  <c r="I22" i="57"/>
  <c r="G128" i="16" l="1"/>
  <c r="L18" i="51"/>
  <c r="L14" i="51"/>
  <c r="N14" i="51" s="1"/>
  <c r="O36" i="51"/>
  <c r="P36" i="51" s="1"/>
  <c r="L30" i="23"/>
  <c r="M30" i="23"/>
  <c r="J54" i="16"/>
  <c r="N30" i="23"/>
  <c r="U30" i="23"/>
  <c r="O54" i="51"/>
  <c r="G217" i="24"/>
  <c r="B217" i="25"/>
  <c r="B280" i="16"/>
  <c r="E9" i="14"/>
  <c r="G199" i="24"/>
  <c r="G212" i="24"/>
  <c r="B269" i="16"/>
  <c r="G209" i="24"/>
  <c r="B264" i="16"/>
  <c r="B213" i="25"/>
  <c r="G202" i="24"/>
  <c r="G216" i="24"/>
  <c r="G214" i="24"/>
  <c r="D25" i="14"/>
  <c r="G206" i="24"/>
  <c r="E173" i="25"/>
  <c r="E204" i="25" s="1"/>
  <c r="B201" i="43"/>
  <c r="E163" i="43"/>
  <c r="E194" i="43" s="1"/>
  <c r="E184" i="29"/>
  <c r="E215" i="29" s="1"/>
  <c r="D32" i="14"/>
  <c r="B206" i="29"/>
  <c r="B210" i="29"/>
  <c r="E182" i="16"/>
  <c r="E275" i="16" s="1"/>
  <c r="E185" i="43"/>
  <c r="E216" i="43" s="1"/>
  <c r="B199" i="25"/>
  <c r="O41" i="51"/>
  <c r="P41" i="51" s="1"/>
  <c r="O46" i="51"/>
  <c r="P46" i="51" s="1"/>
  <c r="O35" i="51"/>
  <c r="P35" i="51" s="1"/>
  <c r="E179" i="16"/>
  <c r="E272" i="16" s="1"/>
  <c r="E165" i="43"/>
  <c r="E196" i="43" s="1"/>
  <c r="E173" i="29"/>
  <c r="E204" i="29" s="1"/>
  <c r="G203" i="24"/>
  <c r="G207" i="24"/>
  <c r="E167" i="29"/>
  <c r="E198" i="29" s="1"/>
  <c r="E187" i="16"/>
  <c r="E280" i="16" s="1"/>
  <c r="E176" i="25"/>
  <c r="E207" i="25" s="1"/>
  <c r="CR29" i="23"/>
  <c r="BJ29" i="31" s="1"/>
  <c r="E186" i="29"/>
  <c r="E217" i="29" s="1"/>
  <c r="E185" i="16"/>
  <c r="E278" i="16" s="1"/>
  <c r="E168" i="25"/>
  <c r="E199" i="25" s="1"/>
  <c r="AL31" i="23"/>
  <c r="B207" i="25"/>
  <c r="B211" i="25"/>
  <c r="E172" i="16"/>
  <c r="E265" i="16" s="1"/>
  <c r="B267" i="16"/>
  <c r="O49" i="51"/>
  <c r="P49" i="51" s="1"/>
  <c r="B198" i="43"/>
  <c r="B199" i="29"/>
  <c r="E182" i="25"/>
  <c r="E213" i="25" s="1"/>
  <c r="F87" i="29"/>
  <c r="B206" i="43"/>
  <c r="E177" i="25"/>
  <c r="E208" i="25" s="1"/>
  <c r="Q25" i="57"/>
  <c r="V25" i="57" s="1"/>
  <c r="E182" i="43"/>
  <c r="E213" i="43" s="1"/>
  <c r="B208" i="25"/>
  <c r="E175" i="25"/>
  <c r="E206" i="25" s="1"/>
  <c r="B197" i="43"/>
  <c r="B201" i="29"/>
  <c r="B200" i="43"/>
  <c r="M35" i="57"/>
  <c r="B209" i="25"/>
  <c r="E174" i="25"/>
  <c r="E205" i="25" s="1"/>
  <c r="B263" i="16"/>
  <c r="M25" i="57"/>
  <c r="E167" i="16"/>
  <c r="E260" i="16" s="1"/>
  <c r="Q35" i="57"/>
  <c r="T35" i="57" s="1"/>
  <c r="W35" i="57" s="1"/>
  <c r="Z35" i="57" s="1"/>
  <c r="D98" i="57" s="1"/>
  <c r="F98" i="57" s="1"/>
  <c r="G98" i="57" s="1"/>
  <c r="E189" i="25"/>
  <c r="E220" i="25" s="1"/>
  <c r="L24" i="51"/>
  <c r="N24" i="51" s="1"/>
  <c r="O24" i="51" s="1"/>
  <c r="E183" i="25"/>
  <c r="E214" i="25" s="1"/>
  <c r="E185" i="29"/>
  <c r="E216" i="29" s="1"/>
  <c r="B199" i="43"/>
  <c r="E187" i="25"/>
  <c r="E218" i="25" s="1"/>
  <c r="B196" i="43"/>
  <c r="P86" i="43"/>
  <c r="B271" i="16"/>
  <c r="E166" i="16"/>
  <c r="E259" i="16" s="1"/>
  <c r="B268" i="16"/>
  <c r="B266" i="16"/>
  <c r="B272" i="16"/>
  <c r="B273" i="16"/>
  <c r="S40" i="16"/>
  <c r="S44" i="16"/>
  <c r="S47" i="16"/>
  <c r="S38" i="16"/>
  <c r="B203" i="29"/>
  <c r="B217" i="29"/>
  <c r="F217" i="29" s="1"/>
  <c r="B215" i="29"/>
  <c r="E174" i="29"/>
  <c r="E205" i="29" s="1"/>
  <c r="B202" i="29"/>
  <c r="B200" i="29"/>
  <c r="B198" i="29"/>
  <c r="E164" i="29"/>
  <c r="E195" i="29" s="1"/>
  <c r="B211" i="43"/>
  <c r="E176" i="43"/>
  <c r="E207" i="43" s="1"/>
  <c r="B204" i="43"/>
  <c r="E167" i="43"/>
  <c r="E198" i="43" s="1"/>
  <c r="E166" i="43"/>
  <c r="E197" i="43" s="1"/>
  <c r="E183" i="29"/>
  <c r="E214" i="29" s="1"/>
  <c r="E182" i="29"/>
  <c r="E213" i="29" s="1"/>
  <c r="B276" i="16"/>
  <c r="L55" i="16"/>
  <c r="S33" i="16"/>
  <c r="E170" i="16"/>
  <c r="E263" i="16" s="1"/>
  <c r="S32" i="16"/>
  <c r="S39" i="16"/>
  <c r="E169" i="25"/>
  <c r="E200" i="25" s="1"/>
  <c r="G200" i="24"/>
  <c r="E188" i="25"/>
  <c r="E219" i="25" s="1"/>
  <c r="O38" i="51"/>
  <c r="P38" i="51" s="1"/>
  <c r="E175" i="43"/>
  <c r="E206" i="43" s="1"/>
  <c r="S48" i="16"/>
  <c r="B214" i="25"/>
  <c r="B210" i="25"/>
  <c r="B209" i="29"/>
  <c r="O39" i="51"/>
  <c r="P39" i="51" s="1"/>
  <c r="E180" i="25"/>
  <c r="E211" i="25" s="1"/>
  <c r="E172" i="43"/>
  <c r="E203" i="43" s="1"/>
  <c r="N27" i="51"/>
  <c r="O27" i="51" s="1"/>
  <c r="S37" i="16"/>
  <c r="E175" i="16"/>
  <c r="E268" i="16" s="1"/>
  <c r="O40" i="51"/>
  <c r="P40" i="51" s="1"/>
  <c r="E172" i="29"/>
  <c r="E203" i="29" s="1"/>
  <c r="E170" i="25"/>
  <c r="E201" i="25" s="1"/>
  <c r="E174" i="16"/>
  <c r="E267" i="16" s="1"/>
  <c r="E173" i="43"/>
  <c r="E204" i="43" s="1"/>
  <c r="R71" i="25"/>
  <c r="B202" i="25" s="1"/>
  <c r="R147" i="16"/>
  <c r="U147" i="16" s="1"/>
  <c r="D272" i="16" s="1"/>
  <c r="E178" i="25"/>
  <c r="E209" i="25" s="1"/>
  <c r="R155" i="16"/>
  <c r="U155" i="16" s="1"/>
  <c r="D280" i="16" s="1"/>
  <c r="E181" i="43"/>
  <c r="E212" i="43" s="1"/>
  <c r="E180" i="29"/>
  <c r="E211" i="29" s="1"/>
  <c r="E190" i="25"/>
  <c r="E221" i="25" s="1"/>
  <c r="N80" i="15"/>
  <c r="C180" i="15" s="1"/>
  <c r="C181" i="15" s="1"/>
  <c r="R149" i="16"/>
  <c r="U149" i="16" s="1"/>
  <c r="D274" i="16" s="1"/>
  <c r="D39" i="14"/>
  <c r="N18" i="51"/>
  <c r="O18" i="51" s="1"/>
  <c r="R80" i="16"/>
  <c r="B277" i="16" s="1"/>
  <c r="E165" i="29"/>
  <c r="E196" i="29" s="1"/>
  <c r="E170" i="43"/>
  <c r="E201" i="43" s="1"/>
  <c r="E181" i="25"/>
  <c r="E212" i="25" s="1"/>
  <c r="O56" i="51"/>
  <c r="N21" i="51"/>
  <c r="C21" i="53" s="1"/>
  <c r="C188" i="16"/>
  <c r="B210" i="43"/>
  <c r="L68" i="14"/>
  <c r="R144" i="16"/>
  <c r="U144" i="16" s="1"/>
  <c r="D269" i="16" s="1"/>
  <c r="E183" i="43"/>
  <c r="E214" i="43" s="1"/>
  <c r="E184" i="43"/>
  <c r="E215" i="43" s="1"/>
  <c r="E180" i="16"/>
  <c r="E273" i="16" s="1"/>
  <c r="B214" i="43"/>
  <c r="S50" i="16"/>
  <c r="S34" i="16"/>
  <c r="S30" i="16"/>
  <c r="B208" i="43"/>
  <c r="O52" i="51"/>
  <c r="P52" i="51" s="1"/>
  <c r="B201" i="25"/>
  <c r="E186" i="25"/>
  <c r="E217" i="25" s="1"/>
  <c r="L69" i="14"/>
  <c r="E168" i="29"/>
  <c r="E199" i="29" s="1"/>
  <c r="E169" i="16"/>
  <c r="E262" i="16" s="1"/>
  <c r="B207" i="43"/>
  <c r="B213" i="29"/>
  <c r="E178" i="43"/>
  <c r="E209" i="43" s="1"/>
  <c r="N19" i="51"/>
  <c r="O19" i="51" s="1"/>
  <c r="B213" i="43"/>
  <c r="E185" i="25"/>
  <c r="E216" i="25" s="1"/>
  <c r="J87" i="29"/>
  <c r="E171" i="43"/>
  <c r="E202" i="43" s="1"/>
  <c r="N16" i="51"/>
  <c r="O16" i="51" s="1"/>
  <c r="B212" i="43"/>
  <c r="B212" i="29"/>
  <c r="B203" i="25"/>
  <c r="S41" i="16"/>
  <c r="AT122" i="30"/>
  <c r="AT123" i="30" s="1"/>
  <c r="S53" i="16"/>
  <c r="Q91" i="25"/>
  <c r="Q86" i="43"/>
  <c r="S31" i="16"/>
  <c r="E169" i="43"/>
  <c r="E200" i="43" s="1"/>
  <c r="C14" i="20"/>
  <c r="B209" i="43"/>
  <c r="O45" i="51"/>
  <c r="P45" i="51" s="1"/>
  <c r="B261" i="16"/>
  <c r="E181" i="16"/>
  <c r="E274" i="16" s="1"/>
  <c r="D188" i="16"/>
  <c r="E179" i="43"/>
  <c r="E210" i="43" s="1"/>
  <c r="E184" i="16"/>
  <c r="E277" i="16" s="1"/>
  <c r="E168" i="16"/>
  <c r="E261" i="16" s="1"/>
  <c r="B218" i="25"/>
  <c r="F86" i="43"/>
  <c r="F87" i="43" s="1"/>
  <c r="AT63" i="30"/>
  <c r="R73" i="16"/>
  <c r="B270" i="16" s="1"/>
  <c r="C191" i="25"/>
  <c r="B265" i="16"/>
  <c r="B211" i="29"/>
  <c r="B258" i="16"/>
  <c r="E176" i="16"/>
  <c r="E269" i="16" s="1"/>
  <c r="D186" i="43"/>
  <c r="B204" i="29"/>
  <c r="E169" i="29"/>
  <c r="E200" i="29" s="1"/>
  <c r="V159" i="25"/>
  <c r="V160" i="25" s="1"/>
  <c r="N10" i="51"/>
  <c r="O10" i="51" s="1"/>
  <c r="M49" i="15"/>
  <c r="E170" i="29"/>
  <c r="E201" i="29" s="1"/>
  <c r="L64" i="14"/>
  <c r="E180" i="43"/>
  <c r="E211" i="43" s="1"/>
  <c r="B219" i="25"/>
  <c r="I44" i="57"/>
  <c r="B278" i="16"/>
  <c r="E183" i="16"/>
  <c r="E276" i="16" s="1"/>
  <c r="L49" i="15"/>
  <c r="B204" i="25"/>
  <c r="E177" i="29"/>
  <c r="E208" i="29" s="1"/>
  <c r="R138" i="16"/>
  <c r="U138" i="16" s="1"/>
  <c r="D263" i="16" s="1"/>
  <c r="B259" i="16"/>
  <c r="B216" i="43"/>
  <c r="E178" i="16"/>
  <c r="E271" i="16" s="1"/>
  <c r="B195" i="29"/>
  <c r="R76" i="29"/>
  <c r="B207" i="29" s="1"/>
  <c r="E184" i="25"/>
  <c r="E215" i="25" s="1"/>
  <c r="B202" i="43"/>
  <c r="E178" i="29"/>
  <c r="E209" i="29" s="1"/>
  <c r="F31" i="35"/>
  <c r="B200" i="25"/>
  <c r="B215" i="43"/>
  <c r="K49" i="15"/>
  <c r="B216" i="29"/>
  <c r="H58" i="56"/>
  <c r="K58" i="56"/>
  <c r="K61" i="56"/>
  <c r="H61" i="56"/>
  <c r="P50" i="51"/>
  <c r="H50" i="56"/>
  <c r="K50" i="56"/>
  <c r="K70" i="56"/>
  <c r="H70" i="56"/>
  <c r="H59" i="56"/>
  <c r="K59" i="56"/>
  <c r="K60" i="56"/>
  <c r="H60" i="56"/>
  <c r="H67" i="56"/>
  <c r="K67" i="56"/>
  <c r="H56" i="56"/>
  <c r="K56" i="56"/>
  <c r="H51" i="56"/>
  <c r="K51" i="56"/>
  <c r="K69" i="56"/>
  <c r="H69" i="56"/>
  <c r="O213" i="16"/>
  <c r="N213" i="16"/>
  <c r="P213" i="16"/>
  <c r="S213" i="16"/>
  <c r="N84" i="16"/>
  <c r="A288" i="16" s="1"/>
  <c r="O41" i="15"/>
  <c r="D23" i="35"/>
  <c r="P41" i="15"/>
  <c r="C23" i="35"/>
  <c r="Q41" i="15"/>
  <c r="D7" i="35"/>
  <c r="O25" i="15"/>
  <c r="C7" i="35"/>
  <c r="Q25" i="15"/>
  <c r="P25" i="15"/>
  <c r="T29" i="57"/>
  <c r="W29" i="57" s="1"/>
  <c r="Z29" i="57" s="1"/>
  <c r="D92" i="57" s="1"/>
  <c r="F92" i="57" s="1"/>
  <c r="G92" i="57" s="1"/>
  <c r="V29" i="57"/>
  <c r="P199" i="16"/>
  <c r="S199" i="16"/>
  <c r="N199" i="16"/>
  <c r="O199" i="16"/>
  <c r="M43" i="57"/>
  <c r="N43" i="57"/>
  <c r="Q43" i="57" s="1"/>
  <c r="O48" i="51"/>
  <c r="D29" i="14"/>
  <c r="G208" i="24"/>
  <c r="E167" i="25"/>
  <c r="E198" i="25" s="1"/>
  <c r="B191" i="25"/>
  <c r="N24" i="57"/>
  <c r="Q24" i="57" s="1"/>
  <c r="M24" i="57"/>
  <c r="N214" i="16"/>
  <c r="O214" i="16"/>
  <c r="S214" i="16"/>
  <c r="P214" i="16"/>
  <c r="BG29" i="31"/>
  <c r="N57" i="51"/>
  <c r="K72" i="56"/>
  <c r="H72" i="56"/>
  <c r="L55" i="14"/>
  <c r="P55" i="51"/>
  <c r="G201" i="12"/>
  <c r="F19" i="14"/>
  <c r="F43" i="14" s="1"/>
  <c r="D8" i="56"/>
  <c r="D9" i="56" s="1"/>
  <c r="C282" i="16"/>
  <c r="P56" i="51"/>
  <c r="T21" i="57"/>
  <c r="W21" i="57" s="1"/>
  <c r="Z21" i="57" s="1"/>
  <c r="D84" i="57" s="1"/>
  <c r="F84" i="57" s="1"/>
  <c r="G84" i="57" s="1"/>
  <c r="V21" i="57"/>
  <c r="T34" i="57"/>
  <c r="W34" i="57" s="1"/>
  <c r="Z34" i="57" s="1"/>
  <c r="D97" i="57" s="1"/>
  <c r="F97" i="57" s="1"/>
  <c r="G97" i="57" s="1"/>
  <c r="V34" i="57"/>
  <c r="H28" i="51"/>
  <c r="I4" i="51"/>
  <c r="I28" i="51" s="1"/>
  <c r="A227" i="25"/>
  <c r="N63" i="25"/>
  <c r="H76" i="14"/>
  <c r="L58" i="14"/>
  <c r="B187" i="29"/>
  <c r="E176" i="29"/>
  <c r="E207" i="29" s="1"/>
  <c r="E73" i="56"/>
  <c r="H57" i="56"/>
  <c r="K57" i="56"/>
  <c r="B205" i="43"/>
  <c r="B188" i="16"/>
  <c r="E164" i="16"/>
  <c r="D21" i="35"/>
  <c r="C21" i="35"/>
  <c r="O39" i="15"/>
  <c r="P39" i="15"/>
  <c r="Q39" i="15"/>
  <c r="C22" i="35"/>
  <c r="O40" i="15"/>
  <c r="P40" i="15"/>
  <c r="Q40" i="15"/>
  <c r="D22" i="35"/>
  <c r="Q33" i="15"/>
  <c r="D15" i="35"/>
  <c r="O33" i="15"/>
  <c r="P33" i="15"/>
  <c r="C15" i="35"/>
  <c r="L59" i="14"/>
  <c r="E165" i="16"/>
  <c r="E258" i="16" s="1"/>
  <c r="B203" i="43"/>
  <c r="N39" i="57"/>
  <c r="Q39" i="57" s="1"/>
  <c r="M39" i="57"/>
  <c r="N37" i="34"/>
  <c r="N28" i="34"/>
  <c r="N61" i="34" s="1"/>
  <c r="H71" i="56"/>
  <c r="K71" i="56"/>
  <c r="S43" i="16"/>
  <c r="N205" i="16"/>
  <c r="O205" i="16"/>
  <c r="P205" i="16"/>
  <c r="S205" i="16"/>
  <c r="C87" i="43"/>
  <c r="O202" i="16"/>
  <c r="N202" i="16"/>
  <c r="S202" i="16"/>
  <c r="P202" i="16"/>
  <c r="M55" i="16"/>
  <c r="C9" i="14"/>
  <c r="G9" i="14" s="1"/>
  <c r="H9" i="14" s="1"/>
  <c r="B226" i="12"/>
  <c r="F225" i="12"/>
  <c r="O215" i="16"/>
  <c r="P215" i="16"/>
  <c r="N215" i="16"/>
  <c r="S215" i="16"/>
  <c r="R61" i="25"/>
  <c r="X62" i="25" s="1"/>
  <c r="O30" i="34"/>
  <c r="C218" i="16"/>
  <c r="I194" i="16"/>
  <c r="I218" i="16" s="1"/>
  <c r="D194" i="16"/>
  <c r="C224" i="16"/>
  <c r="P209" i="16"/>
  <c r="S209" i="16"/>
  <c r="N209" i="16"/>
  <c r="O209" i="16"/>
  <c r="D25" i="35"/>
  <c r="P43" i="15"/>
  <c r="O43" i="15"/>
  <c r="Q43" i="15"/>
  <c r="C25" i="35"/>
  <c r="N40" i="57"/>
  <c r="Q40" i="57" s="1"/>
  <c r="M40" i="57"/>
  <c r="N52" i="14"/>
  <c r="K52" i="14"/>
  <c r="M52" i="14" s="1"/>
  <c r="L52" i="14"/>
  <c r="R134" i="16"/>
  <c r="U134" i="16" s="1"/>
  <c r="D259" i="16" s="1"/>
  <c r="L6" i="51"/>
  <c r="N6" i="51" s="1"/>
  <c r="O47" i="15"/>
  <c r="Q47" i="15"/>
  <c r="D29" i="35"/>
  <c r="C29" i="35"/>
  <c r="P47" i="15"/>
  <c r="L56" i="14"/>
  <c r="L53" i="14"/>
  <c r="L63" i="14"/>
  <c r="N22" i="57"/>
  <c r="Q22" i="57" s="1"/>
  <c r="M22" i="57"/>
  <c r="N200" i="16"/>
  <c r="S200" i="16"/>
  <c r="P200" i="16"/>
  <c r="O200" i="16"/>
  <c r="D74" i="56"/>
  <c r="B260" i="16"/>
  <c r="D187" i="29"/>
  <c r="N86" i="43"/>
  <c r="A223" i="43" s="1"/>
  <c r="M33" i="51"/>
  <c r="M57" i="51" s="1"/>
  <c r="H57" i="51"/>
  <c r="H60" i="51" s="1"/>
  <c r="O210" i="16"/>
  <c r="P210" i="16"/>
  <c r="S210" i="16"/>
  <c r="N210" i="16"/>
  <c r="E171" i="29"/>
  <c r="E202" i="29" s="1"/>
  <c r="N31" i="57"/>
  <c r="Q31" i="57" s="1"/>
  <c r="M31" i="57"/>
  <c r="P87" i="29"/>
  <c r="L8" i="51"/>
  <c r="N8" i="51" s="1"/>
  <c r="R136" i="16"/>
  <c r="U136" i="16" s="1"/>
  <c r="D261" i="16" s="1"/>
  <c r="R54" i="16"/>
  <c r="R55" i="16" s="1"/>
  <c r="P26" i="15"/>
  <c r="D8" i="35"/>
  <c r="Q26" i="15"/>
  <c r="C8" i="35"/>
  <c r="O26" i="15"/>
  <c r="Q28" i="15"/>
  <c r="P28" i="15"/>
  <c r="C10" i="35"/>
  <c r="O28" i="15"/>
  <c r="D10" i="35"/>
  <c r="C26" i="35"/>
  <c r="O44" i="15"/>
  <c r="P44" i="15"/>
  <c r="D26" i="35"/>
  <c r="Q44" i="15"/>
  <c r="L70" i="14"/>
  <c r="E174" i="43"/>
  <c r="E205" i="43" s="1"/>
  <c r="B197" i="29"/>
  <c r="L72" i="14"/>
  <c r="O34" i="51"/>
  <c r="K62" i="56"/>
  <c r="H62" i="56"/>
  <c r="S51" i="16"/>
  <c r="E171" i="25"/>
  <c r="E202" i="25" s="1"/>
  <c r="S45" i="16"/>
  <c r="N204" i="16"/>
  <c r="P204" i="16"/>
  <c r="S204" i="16"/>
  <c r="O204" i="16"/>
  <c r="K55" i="56"/>
  <c r="H55" i="56"/>
  <c r="R63" i="29"/>
  <c r="B194" i="29" s="1"/>
  <c r="O87" i="29"/>
  <c r="R56" i="43"/>
  <c r="S57" i="43" s="1"/>
  <c r="R145" i="16"/>
  <c r="U145" i="16" s="1"/>
  <c r="D270" i="16" s="1"/>
  <c r="L17" i="51"/>
  <c r="N17" i="51" s="1"/>
  <c r="S195" i="16"/>
  <c r="P195" i="16"/>
  <c r="N195" i="16"/>
  <c r="O195" i="16"/>
  <c r="P54" i="51"/>
  <c r="N87" i="29"/>
  <c r="A224" i="29" s="1"/>
  <c r="B222" i="24"/>
  <c r="F198" i="24"/>
  <c r="Q84" i="16"/>
  <c r="N212" i="16"/>
  <c r="P212" i="16"/>
  <c r="O212" i="16"/>
  <c r="S212" i="16"/>
  <c r="P84" i="16"/>
  <c r="L57" i="14"/>
  <c r="H63" i="56"/>
  <c r="K63" i="56"/>
  <c r="O86" i="43"/>
  <c r="R62" i="43"/>
  <c r="R86" i="43" s="1"/>
  <c r="E181" i="29"/>
  <c r="E212" i="29" s="1"/>
  <c r="P207" i="16"/>
  <c r="N207" i="16"/>
  <c r="O207" i="16"/>
  <c r="S207" i="16"/>
  <c r="BJ5" i="31"/>
  <c r="J91" i="25"/>
  <c r="F91" i="25"/>
  <c r="K28" i="51"/>
  <c r="C187" i="29"/>
  <c r="L60" i="51"/>
  <c r="AT92" i="30"/>
  <c r="Q32" i="15"/>
  <c r="O32" i="15"/>
  <c r="C14" i="35"/>
  <c r="D14" i="35"/>
  <c r="P32" i="15"/>
  <c r="C27" i="35"/>
  <c r="Q45" i="15"/>
  <c r="D27" i="35"/>
  <c r="P45" i="15"/>
  <c r="O45" i="15"/>
  <c r="C6" i="35"/>
  <c r="P24" i="15"/>
  <c r="Q24" i="15"/>
  <c r="D6" i="35"/>
  <c r="B30" i="35"/>
  <c r="O47" i="51"/>
  <c r="B205" i="25"/>
  <c r="B262" i="16"/>
  <c r="O43" i="51"/>
  <c r="J28" i="51"/>
  <c r="L75" i="14"/>
  <c r="J44" i="57"/>
  <c r="L62" i="14"/>
  <c r="S46" i="16"/>
  <c r="E163" i="29"/>
  <c r="E194" i="29" s="1"/>
  <c r="E186" i="16"/>
  <c r="E279" i="16" s="1"/>
  <c r="V42" i="57"/>
  <c r="T42" i="57"/>
  <c r="W42" i="57" s="1"/>
  <c r="Z42" i="57" s="1"/>
  <c r="D105" i="57" s="1"/>
  <c r="F105" i="57" s="1"/>
  <c r="G105" i="57" s="1"/>
  <c r="E223" i="24"/>
  <c r="F7" i="14"/>
  <c r="H53" i="56"/>
  <c r="K53" i="56"/>
  <c r="E173" i="16"/>
  <c r="E266" i="16" s="1"/>
  <c r="Q87" i="29"/>
  <c r="V27" i="57"/>
  <c r="T27" i="57"/>
  <c r="W27" i="57" s="1"/>
  <c r="Z27" i="57" s="1"/>
  <c r="D90" i="57" s="1"/>
  <c r="F90" i="57" s="1"/>
  <c r="G90" i="57" s="1"/>
  <c r="L20" i="51"/>
  <c r="N20" i="51" s="1"/>
  <c r="R148" i="16"/>
  <c r="U148" i="16" s="1"/>
  <c r="D273" i="16" s="1"/>
  <c r="D191" i="25"/>
  <c r="P216" i="16"/>
  <c r="S216" i="16"/>
  <c r="N216" i="16"/>
  <c r="O216" i="16"/>
  <c r="R141" i="16"/>
  <c r="U141" i="16" s="1"/>
  <c r="D266" i="16" s="1"/>
  <c r="L13" i="51"/>
  <c r="N13" i="51" s="1"/>
  <c r="E177" i="16"/>
  <c r="E270" i="16" s="1"/>
  <c r="P217" i="16"/>
  <c r="N217" i="16"/>
  <c r="O217" i="16"/>
  <c r="S217" i="16"/>
  <c r="B194" i="43"/>
  <c r="F194" i="43" s="1"/>
  <c r="V26" i="57"/>
  <c r="T26" i="57"/>
  <c r="W26" i="57" s="1"/>
  <c r="Z26" i="57" s="1"/>
  <c r="D89" i="57" s="1"/>
  <c r="F89" i="57" s="1"/>
  <c r="G89" i="57" s="1"/>
  <c r="R135" i="16"/>
  <c r="U135" i="16" s="1"/>
  <c r="D260" i="16" s="1"/>
  <c r="L7" i="51"/>
  <c r="N7" i="51" s="1"/>
  <c r="S211" i="16"/>
  <c r="P211" i="16"/>
  <c r="N211" i="16"/>
  <c r="O211" i="16"/>
  <c r="E162" i="43"/>
  <c r="E193" i="43" s="1"/>
  <c r="B186" i="43"/>
  <c r="M28" i="51"/>
  <c r="T41" i="57"/>
  <c r="W41" i="57" s="1"/>
  <c r="Z41" i="57" s="1"/>
  <c r="D104" i="57" s="1"/>
  <c r="F104" i="57" s="1"/>
  <c r="G104" i="57" s="1"/>
  <c r="V41" i="57"/>
  <c r="B208" i="29"/>
  <c r="T131" i="29"/>
  <c r="W131" i="29" s="1"/>
  <c r="D194" i="29" s="1"/>
  <c r="D218" i="29" s="1"/>
  <c r="S156" i="29"/>
  <c r="B214" i="29"/>
  <c r="F214" i="29" s="1"/>
  <c r="L61" i="14"/>
  <c r="O44" i="51"/>
  <c r="Q30" i="15"/>
  <c r="D12" i="35"/>
  <c r="O30" i="15"/>
  <c r="P30" i="15"/>
  <c r="C12" i="35"/>
  <c r="C28" i="35"/>
  <c r="P46" i="15"/>
  <c r="D28" i="35"/>
  <c r="Q46" i="15"/>
  <c r="O46" i="15"/>
  <c r="C13" i="35"/>
  <c r="D13" i="35"/>
  <c r="O31" i="15"/>
  <c r="P31" i="15"/>
  <c r="Q31" i="15"/>
  <c r="B206" i="25"/>
  <c r="L54" i="14"/>
  <c r="K55" i="16"/>
  <c r="B196" i="29"/>
  <c r="P59" i="32"/>
  <c r="L15" i="51"/>
  <c r="N15" i="51" s="1"/>
  <c r="R143" i="16"/>
  <c r="U143" i="16" s="1"/>
  <c r="D268" i="16" s="1"/>
  <c r="E179" i="25"/>
  <c r="E210" i="25" s="1"/>
  <c r="R154" i="16"/>
  <c r="U154" i="16" s="1"/>
  <c r="D279" i="16" s="1"/>
  <c r="L26" i="51"/>
  <c r="N26" i="51" s="1"/>
  <c r="B212" i="25"/>
  <c r="T130" i="43"/>
  <c r="W130" i="43" s="1"/>
  <c r="D193" i="43" s="1"/>
  <c r="D217" i="43" s="1"/>
  <c r="S155" i="43"/>
  <c r="N206" i="16"/>
  <c r="S206" i="16"/>
  <c r="O206" i="16"/>
  <c r="P206" i="16"/>
  <c r="L5" i="51"/>
  <c r="N5" i="51" s="1"/>
  <c r="R133" i="16"/>
  <c r="U133" i="16" s="1"/>
  <c r="D258" i="16" s="1"/>
  <c r="S49" i="16"/>
  <c r="T33" i="57"/>
  <c r="W33" i="57" s="1"/>
  <c r="Z33" i="57" s="1"/>
  <c r="D96" i="57" s="1"/>
  <c r="F96" i="57" s="1"/>
  <c r="G96" i="57" s="1"/>
  <c r="V33" i="57"/>
  <c r="Q156" i="16"/>
  <c r="W148" i="16" s="1"/>
  <c r="K64" i="56"/>
  <c r="H64" i="56"/>
  <c r="R89" i="25"/>
  <c r="B220" i="25" s="1"/>
  <c r="CN30" i="23"/>
  <c r="BF29" i="31"/>
  <c r="P198" i="16"/>
  <c r="O198" i="16"/>
  <c r="N198" i="16"/>
  <c r="S198" i="16"/>
  <c r="N59" i="29"/>
  <c r="A223" i="29"/>
  <c r="R57" i="29"/>
  <c r="X58" i="29" s="1"/>
  <c r="O35" i="15"/>
  <c r="D17" i="35"/>
  <c r="P35" i="15"/>
  <c r="Q35" i="15"/>
  <c r="C17" i="35"/>
  <c r="P91" i="25"/>
  <c r="R153" i="16"/>
  <c r="U153" i="16" s="1"/>
  <c r="D278" i="16" s="1"/>
  <c r="L25" i="51"/>
  <c r="N25" i="51" s="1"/>
  <c r="E175" i="29"/>
  <c r="E206" i="29" s="1"/>
  <c r="B14" i="20"/>
  <c r="Q160" i="25"/>
  <c r="E172" i="25"/>
  <c r="E203" i="25" s="1"/>
  <c r="P208" i="16"/>
  <c r="N208" i="16"/>
  <c r="O208" i="16"/>
  <c r="S208" i="16"/>
  <c r="O203" i="16"/>
  <c r="N203" i="16"/>
  <c r="P203" i="16"/>
  <c r="S203" i="16"/>
  <c r="L23" i="51"/>
  <c r="N23" i="51" s="1"/>
  <c r="R151" i="16"/>
  <c r="U151" i="16" s="1"/>
  <c r="D276" i="16" s="1"/>
  <c r="L74" i="14"/>
  <c r="R140" i="16"/>
  <c r="U140" i="16" s="1"/>
  <c r="D265" i="16" s="1"/>
  <c r="L12" i="51"/>
  <c r="N12" i="51" s="1"/>
  <c r="J84" i="16"/>
  <c r="F84" i="16"/>
  <c r="H66" i="56"/>
  <c r="K66" i="56"/>
  <c r="E179" i="29"/>
  <c r="E210" i="29" s="1"/>
  <c r="L60" i="14"/>
  <c r="V30" i="57"/>
  <c r="T30" i="57"/>
  <c r="W30" i="57" s="1"/>
  <c r="Z30" i="57" s="1"/>
  <c r="D93" i="57" s="1"/>
  <c r="F93" i="57" s="1"/>
  <c r="G93" i="57" s="1"/>
  <c r="B195" i="43"/>
  <c r="C11" i="35"/>
  <c r="P29" i="15"/>
  <c r="Q29" i="15"/>
  <c r="D11" i="35"/>
  <c r="O29" i="15"/>
  <c r="C18" i="35"/>
  <c r="D18" i="35"/>
  <c r="P36" i="15"/>
  <c r="O36" i="15"/>
  <c r="Q36" i="15"/>
  <c r="P38" i="15"/>
  <c r="D20" i="35"/>
  <c r="Q38" i="15"/>
  <c r="C20" i="35"/>
  <c r="O38" i="15"/>
  <c r="B274" i="16"/>
  <c r="S42" i="16"/>
  <c r="S54" i="16"/>
  <c r="N55" i="16"/>
  <c r="A287" i="16"/>
  <c r="N56" i="16"/>
  <c r="E164" i="43"/>
  <c r="E195" i="43" s="1"/>
  <c r="T37" i="57"/>
  <c r="W37" i="57" s="1"/>
  <c r="Z37" i="57" s="1"/>
  <c r="D100" i="57" s="1"/>
  <c r="F100" i="57" s="1"/>
  <c r="G100" i="57" s="1"/>
  <c r="V37" i="57"/>
  <c r="B221" i="25"/>
  <c r="B279" i="16"/>
  <c r="B216" i="25"/>
  <c r="O91" i="25"/>
  <c r="R67" i="25"/>
  <c r="E166" i="29"/>
  <c r="E197" i="29" s="1"/>
  <c r="Q20" i="57"/>
  <c r="R132" i="16"/>
  <c r="U132" i="16" s="1"/>
  <c r="D257" i="16" s="1"/>
  <c r="L4" i="51"/>
  <c r="E171" i="16"/>
  <c r="E264" i="16" s="1"/>
  <c r="F49" i="56"/>
  <c r="I70" i="56" s="1"/>
  <c r="N23" i="57"/>
  <c r="Q23" i="57" s="1"/>
  <c r="M23" i="57"/>
  <c r="H65" i="56"/>
  <c r="K65" i="56"/>
  <c r="E168" i="43"/>
  <c r="E199" i="43" s="1"/>
  <c r="BB22" i="34"/>
  <c r="BC22" i="34" s="1"/>
  <c r="O44" i="57"/>
  <c r="G127" i="29"/>
  <c r="D126" i="29"/>
  <c r="B215" i="25"/>
  <c r="N28" i="57"/>
  <c r="Q28" i="57" s="1"/>
  <c r="M28" i="57"/>
  <c r="P42" i="15"/>
  <c r="Q42" i="15"/>
  <c r="C24" i="35"/>
  <c r="D24" i="35"/>
  <c r="O42" i="15"/>
  <c r="L66" i="14"/>
  <c r="O42" i="51"/>
  <c r="C186" i="43"/>
  <c r="N36" i="57"/>
  <c r="Q36" i="57" s="1"/>
  <c r="M36" i="57"/>
  <c r="B205" i="29"/>
  <c r="B275" i="16"/>
  <c r="K52" i="56"/>
  <c r="H52" i="56"/>
  <c r="D222" i="25"/>
  <c r="N197" i="16"/>
  <c r="O197" i="16"/>
  <c r="P197" i="16"/>
  <c r="S197" i="16"/>
  <c r="L11" i="51"/>
  <c r="N11" i="51" s="1"/>
  <c r="R139" i="16"/>
  <c r="U139" i="16" s="1"/>
  <c r="D264" i="16" s="1"/>
  <c r="L22" i="51"/>
  <c r="N22" i="51" s="1"/>
  <c r="R150" i="16"/>
  <c r="U150" i="16" s="1"/>
  <c r="D275" i="16" s="1"/>
  <c r="O37" i="51"/>
  <c r="R60" i="16"/>
  <c r="O84" i="16"/>
  <c r="D16" i="35"/>
  <c r="O34" i="15"/>
  <c r="Q34" i="15"/>
  <c r="C16" i="35"/>
  <c r="P34" i="15"/>
  <c r="P37" i="15"/>
  <c r="Q37" i="15"/>
  <c r="C19" i="35"/>
  <c r="D19" i="35"/>
  <c r="O37" i="15"/>
  <c r="P27" i="15"/>
  <c r="D9" i="35"/>
  <c r="O27" i="15"/>
  <c r="C9" i="35"/>
  <c r="Q27" i="15"/>
  <c r="E177" i="43"/>
  <c r="E208" i="43" s="1"/>
  <c r="O51" i="51"/>
  <c r="G215" i="24"/>
  <c r="D36" i="14"/>
  <c r="L71" i="14"/>
  <c r="L9" i="51"/>
  <c r="N9" i="51" s="1"/>
  <c r="R137" i="16"/>
  <c r="U137" i="16" s="1"/>
  <c r="D262" i="16" s="1"/>
  <c r="O53" i="51"/>
  <c r="O201" i="16"/>
  <c r="P201" i="16"/>
  <c r="N201" i="16"/>
  <c r="S201" i="16"/>
  <c r="N196" i="16"/>
  <c r="P196" i="16"/>
  <c r="O196" i="16"/>
  <c r="S196" i="16"/>
  <c r="N91" i="25"/>
  <c r="A228" i="25" s="1"/>
  <c r="N38" i="57"/>
  <c r="Q38" i="57" s="1"/>
  <c r="M38" i="57"/>
  <c r="S52" i="16"/>
  <c r="L65" i="14"/>
  <c r="H68" i="56"/>
  <c r="K68" i="56"/>
  <c r="C74" i="56"/>
  <c r="N32" i="57"/>
  <c r="Q32" i="57" s="1"/>
  <c r="M32" i="57"/>
  <c r="K54" i="56"/>
  <c r="H54" i="56"/>
  <c r="S36" i="16"/>
  <c r="L67" i="14"/>
  <c r="K44" i="57"/>
  <c r="F217" i="25" l="1"/>
  <c r="V35" i="57"/>
  <c r="F213" i="43"/>
  <c r="G213" i="43" s="1"/>
  <c r="F210" i="29"/>
  <c r="D32" i="56" s="1"/>
  <c r="C19" i="53"/>
  <c r="F201" i="43"/>
  <c r="C24" i="56" s="1"/>
  <c r="F280" i="16"/>
  <c r="G280" i="16" s="1"/>
  <c r="F213" i="25"/>
  <c r="G213" i="25" s="1"/>
  <c r="F215" i="29"/>
  <c r="D37" i="56" s="1"/>
  <c r="F201" i="29"/>
  <c r="G201" i="29" s="1"/>
  <c r="F207" i="25"/>
  <c r="H28" i="14" s="1"/>
  <c r="I28" i="14" s="1"/>
  <c r="J28" i="14" s="1"/>
  <c r="F204" i="25"/>
  <c r="G204" i="25" s="1"/>
  <c r="F216" i="43"/>
  <c r="C39" i="56" s="1"/>
  <c r="F206" i="29"/>
  <c r="G206" i="29" s="1"/>
  <c r="F196" i="43"/>
  <c r="G196" i="43" s="1"/>
  <c r="F204" i="29"/>
  <c r="G204" i="29" s="1"/>
  <c r="F198" i="43"/>
  <c r="C21" i="56" s="1"/>
  <c r="F199" i="25"/>
  <c r="H20" i="14" s="1"/>
  <c r="I20" i="14" s="1"/>
  <c r="J20" i="14" s="1"/>
  <c r="F220" i="25"/>
  <c r="G220" i="25" s="1"/>
  <c r="F211" i="25"/>
  <c r="H32" i="14" s="1"/>
  <c r="I32" i="14" s="1"/>
  <c r="J32" i="14" s="1"/>
  <c r="F205" i="25"/>
  <c r="H26" i="14" s="1"/>
  <c r="I26" i="14" s="1"/>
  <c r="J26" i="14" s="1"/>
  <c r="F195" i="29"/>
  <c r="G195" i="29" s="1"/>
  <c r="C24" i="53"/>
  <c r="F219" i="25"/>
  <c r="G219" i="25" s="1"/>
  <c r="F221" i="25"/>
  <c r="H42" i="14" s="1"/>
  <c r="I42" i="14" s="1"/>
  <c r="J42" i="14" s="1"/>
  <c r="F200" i="43"/>
  <c r="G200" i="43" s="1"/>
  <c r="F278" i="16"/>
  <c r="G278" i="16" s="1"/>
  <c r="M57" i="14"/>
  <c r="F200" i="25"/>
  <c r="H21" i="14" s="1"/>
  <c r="I21" i="14" s="1"/>
  <c r="J21" i="14" s="1"/>
  <c r="F200" i="29"/>
  <c r="G200" i="29" s="1"/>
  <c r="F198" i="29"/>
  <c r="G198" i="29" s="1"/>
  <c r="T25" i="57"/>
  <c r="W25" i="57" s="1"/>
  <c r="Z25" i="57" s="1"/>
  <c r="D88" i="57" s="1"/>
  <c r="F88" i="57" s="1"/>
  <c r="G88" i="57" s="1"/>
  <c r="F206" i="43"/>
  <c r="C29" i="56" s="1"/>
  <c r="F267" i="16"/>
  <c r="E26" i="56" s="1"/>
  <c r="F203" i="43"/>
  <c r="G203" i="43" s="1"/>
  <c r="BF30" i="31"/>
  <c r="F203" i="29"/>
  <c r="G203" i="29" s="1"/>
  <c r="F209" i="25"/>
  <c r="G209" i="25" s="1"/>
  <c r="F214" i="25"/>
  <c r="G214" i="25" s="1"/>
  <c r="F212" i="25"/>
  <c r="G212" i="25" s="1"/>
  <c r="F206" i="25"/>
  <c r="G206" i="25" s="1"/>
  <c r="F208" i="25"/>
  <c r="G208" i="25" s="1"/>
  <c r="F199" i="29"/>
  <c r="G199" i="29" s="1"/>
  <c r="F197" i="43"/>
  <c r="G197" i="43" s="1"/>
  <c r="F269" i="16"/>
  <c r="E28" i="56" s="1"/>
  <c r="F271" i="16"/>
  <c r="G271" i="16" s="1"/>
  <c r="F201" i="25"/>
  <c r="G201" i="25" s="1"/>
  <c r="F213" i="29"/>
  <c r="G213" i="29" s="1"/>
  <c r="W153" i="16"/>
  <c r="F202" i="29"/>
  <c r="G202" i="29" s="1"/>
  <c r="R57" i="51"/>
  <c r="N59" i="51"/>
  <c r="F204" i="43"/>
  <c r="C27" i="56" s="1"/>
  <c r="C27" i="53"/>
  <c r="F207" i="43"/>
  <c r="G207" i="43" s="1"/>
  <c r="M59" i="14"/>
  <c r="F199" i="43"/>
  <c r="G199" i="43" s="1"/>
  <c r="Q216" i="16"/>
  <c r="F205" i="29"/>
  <c r="G205" i="29" s="1"/>
  <c r="F210" i="25"/>
  <c r="H31" i="14" s="1"/>
  <c r="I31" i="14" s="1"/>
  <c r="J31" i="14" s="1"/>
  <c r="F212" i="29"/>
  <c r="G212" i="29" s="1"/>
  <c r="C18" i="53"/>
  <c r="F212" i="43"/>
  <c r="G212" i="43" s="1"/>
  <c r="F216" i="29"/>
  <c r="D38" i="56" s="1"/>
  <c r="F218" i="25"/>
  <c r="F277" i="16"/>
  <c r="G277" i="16" s="1"/>
  <c r="F272" i="16"/>
  <c r="E31" i="56" s="1"/>
  <c r="F261" i="16"/>
  <c r="G261" i="16" s="1"/>
  <c r="R84" i="16"/>
  <c r="S85" i="16" s="1"/>
  <c r="F268" i="16"/>
  <c r="G268" i="16" s="1"/>
  <c r="F263" i="16"/>
  <c r="E22" i="56" s="1"/>
  <c r="F209" i="29"/>
  <c r="D31" i="56" s="1"/>
  <c r="F211" i="29"/>
  <c r="F196" i="29"/>
  <c r="G196" i="29" s="1"/>
  <c r="I52" i="56"/>
  <c r="F211" i="43"/>
  <c r="G211" i="43" s="1"/>
  <c r="F214" i="43"/>
  <c r="C37" i="56" s="1"/>
  <c r="F208" i="43"/>
  <c r="C31" i="56" s="1"/>
  <c r="I68" i="56"/>
  <c r="F215" i="43"/>
  <c r="F264" i="16"/>
  <c r="G264" i="16" s="1"/>
  <c r="C10" i="53"/>
  <c r="W132" i="16"/>
  <c r="F258" i="16"/>
  <c r="G258" i="16" s="1"/>
  <c r="I54" i="56"/>
  <c r="I65" i="56"/>
  <c r="F208" i="29"/>
  <c r="G208" i="29" s="1"/>
  <c r="F273" i="16"/>
  <c r="G273" i="16" s="1"/>
  <c r="C16" i="53"/>
  <c r="F202" i="25"/>
  <c r="H23" i="14" s="1"/>
  <c r="I23" i="14" s="1"/>
  <c r="J23" i="14" s="1"/>
  <c r="F202" i="43"/>
  <c r="C25" i="56" s="1"/>
  <c r="F209" i="43"/>
  <c r="C32" i="56" s="1"/>
  <c r="F203" i="25"/>
  <c r="H24" i="14" s="1"/>
  <c r="I24" i="14" s="1"/>
  <c r="J24" i="14" s="1"/>
  <c r="O21" i="51"/>
  <c r="G217" i="25"/>
  <c r="H38" i="14"/>
  <c r="I38" i="14" s="1"/>
  <c r="J38" i="14" s="1"/>
  <c r="F274" i="16"/>
  <c r="G274" i="16" s="1"/>
  <c r="M64" i="14"/>
  <c r="F259" i="16"/>
  <c r="G259" i="16" s="1"/>
  <c r="M55" i="14"/>
  <c r="R91" i="25"/>
  <c r="S92" i="25" s="1"/>
  <c r="F265" i="16"/>
  <c r="E24" i="56" s="1"/>
  <c r="M58" i="14"/>
  <c r="M61" i="14"/>
  <c r="M65" i="14"/>
  <c r="F215" i="25"/>
  <c r="G215" i="25" s="1"/>
  <c r="M69" i="14"/>
  <c r="M67" i="14"/>
  <c r="J61" i="51"/>
  <c r="M70" i="14"/>
  <c r="M74" i="14"/>
  <c r="Q201" i="16"/>
  <c r="F216" i="25"/>
  <c r="G216" i="25" s="1"/>
  <c r="M54" i="14"/>
  <c r="M75" i="14"/>
  <c r="M53" i="14"/>
  <c r="N92" i="25"/>
  <c r="M71" i="14"/>
  <c r="Q208" i="16"/>
  <c r="M60" i="14"/>
  <c r="N87" i="43"/>
  <c r="F210" i="43"/>
  <c r="G210" i="43" s="1"/>
  <c r="F262" i="16"/>
  <c r="E21" i="56" s="1"/>
  <c r="R87" i="29"/>
  <c r="S88" i="29" s="1"/>
  <c r="F276" i="16"/>
  <c r="E35" i="56" s="1"/>
  <c r="Q198" i="16"/>
  <c r="F270" i="16"/>
  <c r="E29" i="56" s="1"/>
  <c r="I67" i="56"/>
  <c r="I50" i="56"/>
  <c r="W141" i="16"/>
  <c r="B193" i="43"/>
  <c r="B217" i="43" s="1"/>
  <c r="M56" i="14"/>
  <c r="M44" i="57"/>
  <c r="F275" i="16"/>
  <c r="E34" i="56" s="1"/>
  <c r="Q202" i="16"/>
  <c r="I61" i="56"/>
  <c r="Q197" i="16"/>
  <c r="I56" i="56"/>
  <c r="Q209" i="16"/>
  <c r="M72" i="14"/>
  <c r="N85" i="16"/>
  <c r="I51" i="56"/>
  <c r="I60" i="56"/>
  <c r="O17" i="51"/>
  <c r="C17" i="53"/>
  <c r="C13" i="53"/>
  <c r="O13" i="51"/>
  <c r="O23" i="51"/>
  <c r="C23" i="53"/>
  <c r="O25" i="51"/>
  <c r="C25" i="53"/>
  <c r="O22" i="51"/>
  <c r="C22" i="53"/>
  <c r="C11" i="53"/>
  <c r="O11" i="51"/>
  <c r="O12" i="51"/>
  <c r="C12" i="53"/>
  <c r="C20" i="53"/>
  <c r="O20" i="51"/>
  <c r="C9" i="53"/>
  <c r="O9" i="51"/>
  <c r="E14" i="35"/>
  <c r="F14" i="35" s="1"/>
  <c r="R101" i="15"/>
  <c r="U41" i="15"/>
  <c r="D142" i="15"/>
  <c r="C127" i="15"/>
  <c r="T26" i="15"/>
  <c r="W150" i="16"/>
  <c r="D139" i="15"/>
  <c r="U38" i="15"/>
  <c r="R115" i="15"/>
  <c r="E28" i="35"/>
  <c r="F28" i="35" s="1"/>
  <c r="P44" i="51"/>
  <c r="Q211" i="16"/>
  <c r="F266" i="16"/>
  <c r="P47" i="51"/>
  <c r="S45" i="15"/>
  <c r="R45" i="15"/>
  <c r="B146" i="15"/>
  <c r="S32" i="15"/>
  <c r="B133" i="15"/>
  <c r="R32" i="15"/>
  <c r="Q195" i="16"/>
  <c r="B257" i="16"/>
  <c r="H61" i="51"/>
  <c r="C61" i="51"/>
  <c r="F61" i="51"/>
  <c r="D61" i="51"/>
  <c r="E61" i="51"/>
  <c r="G61" i="51"/>
  <c r="F260" i="16"/>
  <c r="B198" i="25"/>
  <c r="F226" i="12"/>
  <c r="G225" i="12"/>
  <c r="F232" i="12" s="1"/>
  <c r="A232" i="12"/>
  <c r="C232" i="12" s="1"/>
  <c r="F227" i="12"/>
  <c r="Q205" i="16"/>
  <c r="T40" i="15"/>
  <c r="C141" i="15"/>
  <c r="E257" i="16"/>
  <c r="E188" i="16"/>
  <c r="E281" i="16" s="1"/>
  <c r="X57" i="43"/>
  <c r="S58" i="29"/>
  <c r="G227" i="12"/>
  <c r="I72" i="56"/>
  <c r="M63" i="14"/>
  <c r="T43" i="57"/>
  <c r="W43" i="57" s="1"/>
  <c r="Z43" i="57" s="1"/>
  <c r="D106" i="57" s="1"/>
  <c r="F106" i="57" s="1"/>
  <c r="G106" i="57" s="1"/>
  <c r="V43" i="57"/>
  <c r="C142" i="15"/>
  <c r="T41" i="15"/>
  <c r="R104" i="15"/>
  <c r="E17" i="35"/>
  <c r="F17" i="35" s="1"/>
  <c r="V22" i="57"/>
  <c r="T22" i="57"/>
  <c r="W22" i="57" s="1"/>
  <c r="Z22" i="57" s="1"/>
  <c r="D85" i="57" s="1"/>
  <c r="F85" i="57" s="1"/>
  <c r="G85" i="57" s="1"/>
  <c r="I76" i="14"/>
  <c r="H78" i="14" s="1"/>
  <c r="H77" i="14"/>
  <c r="R42" i="15"/>
  <c r="S42" i="15"/>
  <c r="B143" i="15"/>
  <c r="L28" i="51"/>
  <c r="J29" i="51" s="1"/>
  <c r="D147" i="15"/>
  <c r="U46" i="15"/>
  <c r="R209" i="16"/>
  <c r="W209" i="16"/>
  <c r="J239" i="16" s="1"/>
  <c r="T209" i="16"/>
  <c r="N239" i="16"/>
  <c r="R111" i="15"/>
  <c r="E24" i="35"/>
  <c r="F24" i="35" s="1"/>
  <c r="T196" i="16"/>
  <c r="W196" i="16"/>
  <c r="J226" i="16" s="1"/>
  <c r="R196" i="16"/>
  <c r="N226" i="16"/>
  <c r="P53" i="51"/>
  <c r="C128" i="15"/>
  <c r="T27" i="15"/>
  <c r="D135" i="15"/>
  <c r="U34" i="15"/>
  <c r="T36" i="57"/>
  <c r="W36" i="57" s="1"/>
  <c r="Z36" i="57" s="1"/>
  <c r="D99" i="57" s="1"/>
  <c r="F99" i="57" s="1"/>
  <c r="G99" i="57" s="1"/>
  <c r="V36" i="57"/>
  <c r="V20" i="57"/>
  <c r="T20" i="57"/>
  <c r="W20" i="57" s="1"/>
  <c r="Z20" i="57" s="1"/>
  <c r="D83" i="57" s="1"/>
  <c r="E20" i="35"/>
  <c r="F20" i="35" s="1"/>
  <c r="R107" i="15"/>
  <c r="E11" i="35"/>
  <c r="F11" i="35" s="1"/>
  <c r="R98" i="15"/>
  <c r="Q203" i="16"/>
  <c r="N228" i="16"/>
  <c r="T198" i="16"/>
  <c r="R198" i="16"/>
  <c r="W198" i="16"/>
  <c r="J228" i="16" s="1"/>
  <c r="W154" i="16"/>
  <c r="D132" i="15"/>
  <c r="U31" i="15"/>
  <c r="C147" i="15"/>
  <c r="T46" i="15"/>
  <c r="K61" i="51"/>
  <c r="C146" i="15"/>
  <c r="T45" i="15"/>
  <c r="U32" i="15"/>
  <c r="D133" i="15"/>
  <c r="Q212" i="16"/>
  <c r="N234" i="16"/>
  <c r="T204" i="16"/>
  <c r="R204" i="16"/>
  <c r="W204" i="16"/>
  <c r="J234" i="16" s="1"/>
  <c r="I62" i="56"/>
  <c r="P34" i="51"/>
  <c r="D145" i="15"/>
  <c r="U44" i="15"/>
  <c r="T28" i="15"/>
  <c r="C129" i="15"/>
  <c r="M60" i="51"/>
  <c r="R200" i="16"/>
  <c r="T200" i="16"/>
  <c r="W200" i="16"/>
  <c r="J230" i="16" s="1"/>
  <c r="N230" i="16"/>
  <c r="D144" i="15"/>
  <c r="U43" i="15"/>
  <c r="M62" i="14"/>
  <c r="D39" i="56"/>
  <c r="G217" i="29"/>
  <c r="S40" i="15"/>
  <c r="B141" i="15"/>
  <c r="R40" i="15"/>
  <c r="S62" i="25"/>
  <c r="F44" i="14"/>
  <c r="T24" i="57"/>
  <c r="W24" i="57" s="1"/>
  <c r="Z24" i="57" s="1"/>
  <c r="D87" i="57" s="1"/>
  <c r="F87" i="57" s="1"/>
  <c r="G87" i="57" s="1"/>
  <c r="V24" i="57"/>
  <c r="C126" i="15"/>
  <c r="T25" i="15"/>
  <c r="E23" i="35"/>
  <c r="F23" i="35" s="1"/>
  <c r="R110" i="15"/>
  <c r="C138" i="15"/>
  <c r="T37" i="15"/>
  <c r="O14" i="51"/>
  <c r="C14" i="53"/>
  <c r="E18" i="35"/>
  <c r="F18" i="35" s="1"/>
  <c r="R105" i="15"/>
  <c r="E217" i="43"/>
  <c r="E10" i="35"/>
  <c r="F10" i="35" s="1"/>
  <c r="R97" i="15"/>
  <c r="CS29" i="23"/>
  <c r="T34" i="15"/>
  <c r="C135" i="15"/>
  <c r="B136" i="15"/>
  <c r="R35" i="15"/>
  <c r="S35" i="15"/>
  <c r="W139" i="16"/>
  <c r="W156" i="16"/>
  <c r="Q158" i="16"/>
  <c r="Q159" i="16" s="1"/>
  <c r="Q157" i="16"/>
  <c r="R156" i="16"/>
  <c r="U156" i="16" s="1"/>
  <c r="W149" i="16"/>
  <c r="W146" i="16"/>
  <c r="W142" i="16"/>
  <c r="W147" i="16"/>
  <c r="W138" i="16"/>
  <c r="W144" i="16"/>
  <c r="W152" i="16"/>
  <c r="W155" i="16"/>
  <c r="S28" i="15"/>
  <c r="B129" i="15"/>
  <c r="R28" i="15"/>
  <c r="D141" i="15"/>
  <c r="U40" i="15"/>
  <c r="BK29" i="31"/>
  <c r="T32" i="57"/>
  <c r="W32" i="57" s="1"/>
  <c r="Z32" i="57" s="1"/>
  <c r="D95" i="57" s="1"/>
  <c r="F95" i="57" s="1"/>
  <c r="G95" i="57" s="1"/>
  <c r="V32" i="57"/>
  <c r="W137" i="16"/>
  <c r="S37" i="15"/>
  <c r="B138" i="15"/>
  <c r="R37" i="15"/>
  <c r="S34" i="15"/>
  <c r="R34" i="15"/>
  <c r="B135" i="15"/>
  <c r="W197" i="16"/>
  <c r="J227" i="16" s="1"/>
  <c r="T197" i="16"/>
  <c r="N227" i="16"/>
  <c r="R197" i="16"/>
  <c r="U42" i="15"/>
  <c r="D143" i="15"/>
  <c r="T23" i="57"/>
  <c r="W23" i="57" s="1"/>
  <c r="Z23" i="57" s="1"/>
  <c r="D86" i="57" s="1"/>
  <c r="F86" i="57" s="1"/>
  <c r="G86" i="57" s="1"/>
  <c r="V23" i="57"/>
  <c r="N44" i="57"/>
  <c r="Q44" i="57" s="1"/>
  <c r="T44" i="57" s="1"/>
  <c r="W44" i="57" s="1"/>
  <c r="Z44" i="57" s="1"/>
  <c r="AA44" i="57" s="1"/>
  <c r="F279" i="16"/>
  <c r="T38" i="15"/>
  <c r="C139" i="15"/>
  <c r="D130" i="15"/>
  <c r="U29" i="15"/>
  <c r="C132" i="15"/>
  <c r="T31" i="15"/>
  <c r="D36" i="56"/>
  <c r="G214" i="29"/>
  <c r="W211" i="16"/>
  <c r="J241" i="16" s="1"/>
  <c r="R211" i="16"/>
  <c r="N241" i="16"/>
  <c r="T211" i="16"/>
  <c r="R114" i="15"/>
  <c r="E27" i="35"/>
  <c r="F27" i="35" s="1"/>
  <c r="R207" i="16"/>
  <c r="W207" i="16"/>
  <c r="J237" i="16" s="1"/>
  <c r="N237" i="16"/>
  <c r="T207" i="16"/>
  <c r="S87" i="43"/>
  <c r="N225" i="16"/>
  <c r="T195" i="16"/>
  <c r="R195" i="16"/>
  <c r="W195" i="16"/>
  <c r="J225" i="16" s="1"/>
  <c r="E26" i="35"/>
  <c r="F26" i="35" s="1"/>
  <c r="R113" i="15"/>
  <c r="U28" i="15"/>
  <c r="D129" i="15"/>
  <c r="W136" i="16"/>
  <c r="Q210" i="16"/>
  <c r="Q200" i="16"/>
  <c r="C148" i="15"/>
  <c r="T47" i="15"/>
  <c r="S43" i="15"/>
  <c r="R43" i="15"/>
  <c r="B144" i="15"/>
  <c r="D224" i="16"/>
  <c r="C248" i="16"/>
  <c r="W215" i="16"/>
  <c r="J245" i="16" s="1"/>
  <c r="N245" i="16"/>
  <c r="R215" i="16"/>
  <c r="T215" i="16"/>
  <c r="C134" i="15"/>
  <c r="T33" i="15"/>
  <c r="F205" i="43"/>
  <c r="E74" i="56"/>
  <c r="T214" i="16"/>
  <c r="N244" i="16"/>
  <c r="W214" i="16"/>
  <c r="J244" i="16" s="1"/>
  <c r="R214" i="16"/>
  <c r="E191" i="25"/>
  <c r="M66" i="14"/>
  <c r="D126" i="15"/>
  <c r="U25" i="15"/>
  <c r="R41" i="15"/>
  <c r="S41" i="15"/>
  <c r="B142" i="15"/>
  <c r="I69" i="56"/>
  <c r="P37" i="51"/>
  <c r="B139" i="15"/>
  <c r="R38" i="15"/>
  <c r="S38" i="15"/>
  <c r="R99" i="15"/>
  <c r="E12" i="35"/>
  <c r="F12" i="35" s="1"/>
  <c r="T212" i="16"/>
  <c r="N242" i="16"/>
  <c r="W212" i="16"/>
  <c r="J242" i="16" s="1"/>
  <c r="R212" i="16"/>
  <c r="E8" i="35"/>
  <c r="F8" i="35" s="1"/>
  <c r="R95" i="15"/>
  <c r="O26" i="51"/>
  <c r="C26" i="53"/>
  <c r="E22" i="35"/>
  <c r="F22" i="35" s="1"/>
  <c r="R109" i="15"/>
  <c r="P48" i="51"/>
  <c r="S27" i="15"/>
  <c r="R27" i="15"/>
  <c r="B128" i="15"/>
  <c r="D218" i="43"/>
  <c r="E6" i="56"/>
  <c r="E21" i="35"/>
  <c r="F21" i="35" s="1"/>
  <c r="R108" i="15"/>
  <c r="S29" i="15"/>
  <c r="R29" i="15"/>
  <c r="B130" i="15"/>
  <c r="W140" i="16"/>
  <c r="P51" i="51"/>
  <c r="E19" i="35"/>
  <c r="F19" i="35" s="1"/>
  <c r="R106" i="15"/>
  <c r="E16" i="35"/>
  <c r="F16" i="35" s="1"/>
  <c r="R103" i="15"/>
  <c r="C17" i="56"/>
  <c r="G194" i="43"/>
  <c r="P42" i="51"/>
  <c r="C143" i="15"/>
  <c r="T42" i="15"/>
  <c r="K49" i="56"/>
  <c r="H49" i="56"/>
  <c r="J59" i="56" s="1"/>
  <c r="I49" i="56"/>
  <c r="F73" i="56"/>
  <c r="D137" i="15"/>
  <c r="U36" i="15"/>
  <c r="C130" i="15"/>
  <c r="T29" i="15"/>
  <c r="I66" i="56"/>
  <c r="E14" i="20"/>
  <c r="B15" i="20"/>
  <c r="B17" i="20" s="1"/>
  <c r="W133" i="16"/>
  <c r="S31" i="15"/>
  <c r="R31" i="15"/>
  <c r="B132" i="15"/>
  <c r="W217" i="16"/>
  <c r="J247" i="16" s="1"/>
  <c r="T217" i="16"/>
  <c r="R217" i="16"/>
  <c r="N247" i="16"/>
  <c r="W216" i="16"/>
  <c r="J246" i="16" s="1"/>
  <c r="N246" i="16"/>
  <c r="T216" i="16"/>
  <c r="R216" i="16"/>
  <c r="I53" i="56"/>
  <c r="R93" i="15"/>
  <c r="E6" i="35"/>
  <c r="D30" i="35"/>
  <c r="D146" i="15"/>
  <c r="U45" i="15"/>
  <c r="G198" i="24"/>
  <c r="D19" i="14"/>
  <c r="W145" i="16"/>
  <c r="F194" i="29"/>
  <c r="B218" i="29"/>
  <c r="Q204" i="16"/>
  <c r="C145" i="15"/>
  <c r="T44" i="15"/>
  <c r="S26" i="15"/>
  <c r="B127" i="15"/>
  <c r="R26" i="15"/>
  <c r="W210" i="16"/>
  <c r="J240" i="16" s="1"/>
  <c r="R210" i="16"/>
  <c r="N240" i="16"/>
  <c r="T210" i="16"/>
  <c r="W134" i="16"/>
  <c r="T43" i="15"/>
  <c r="C144" i="15"/>
  <c r="P194" i="16"/>
  <c r="P218" i="16" s="1"/>
  <c r="D218" i="16"/>
  <c r="N194" i="16"/>
  <c r="O194" i="16"/>
  <c r="O218" i="16" s="1"/>
  <c r="S194" i="16"/>
  <c r="Q215" i="16"/>
  <c r="V39" i="57"/>
  <c r="T39" i="57"/>
  <c r="W39" i="57" s="1"/>
  <c r="Z39" i="57" s="1"/>
  <c r="D102" i="57" s="1"/>
  <c r="F102" i="57" s="1"/>
  <c r="G102" i="57" s="1"/>
  <c r="R33" i="15"/>
  <c r="B134" i="15"/>
  <c r="S33" i="15"/>
  <c r="D140" i="15"/>
  <c r="U39" i="15"/>
  <c r="E218" i="29"/>
  <c r="M68" i="14"/>
  <c r="E222" i="25"/>
  <c r="F207" i="29"/>
  <c r="I58" i="56"/>
  <c r="T40" i="57"/>
  <c r="W40" i="57" s="1"/>
  <c r="Z40" i="57" s="1"/>
  <c r="D103" i="57" s="1"/>
  <c r="F103" i="57" s="1"/>
  <c r="G103" i="57" s="1"/>
  <c r="V40" i="57"/>
  <c r="U30" i="15"/>
  <c r="D131" i="15"/>
  <c r="C30" i="35"/>
  <c r="V31" i="57"/>
  <c r="T31" i="57"/>
  <c r="W31" i="57" s="1"/>
  <c r="Z31" i="57" s="1"/>
  <c r="D94" i="57" s="1"/>
  <c r="F94" i="57" s="1"/>
  <c r="G94" i="57" s="1"/>
  <c r="D11" i="56"/>
  <c r="Q213" i="16"/>
  <c r="R96" i="15"/>
  <c r="E9" i="35"/>
  <c r="F9" i="35" s="1"/>
  <c r="V28" i="57"/>
  <c r="T28" i="57"/>
  <c r="W28" i="57" s="1"/>
  <c r="Z28" i="57" s="1"/>
  <c r="D91" i="57" s="1"/>
  <c r="F91" i="57" s="1"/>
  <c r="G91" i="57" s="1"/>
  <c r="Q196" i="16"/>
  <c r="R36" i="15"/>
  <c r="B137" i="15"/>
  <c r="S36" i="15"/>
  <c r="W151" i="16"/>
  <c r="N238" i="16"/>
  <c r="R208" i="16"/>
  <c r="W208" i="16"/>
  <c r="J238" i="16" s="1"/>
  <c r="T208" i="16"/>
  <c r="U35" i="15"/>
  <c r="D136" i="15"/>
  <c r="I64" i="56"/>
  <c r="N236" i="16"/>
  <c r="T206" i="16"/>
  <c r="R206" i="16"/>
  <c r="W206" i="16"/>
  <c r="J236" i="16" s="1"/>
  <c r="E13" i="35"/>
  <c r="F13" i="35" s="1"/>
  <c r="R100" i="15"/>
  <c r="C131" i="15"/>
  <c r="T30" i="15"/>
  <c r="D219" i="29"/>
  <c r="E7" i="56"/>
  <c r="N4" i="51"/>
  <c r="N28" i="51" s="1"/>
  <c r="W135" i="16"/>
  <c r="S24" i="15"/>
  <c r="B125" i="15"/>
  <c r="R24" i="15"/>
  <c r="O48" i="15"/>
  <c r="Q207" i="16"/>
  <c r="I63" i="56"/>
  <c r="F222" i="24"/>
  <c r="C7" i="14"/>
  <c r="B223" i="24"/>
  <c r="S44" i="15"/>
  <c r="B145" i="15"/>
  <c r="R44" i="15"/>
  <c r="O8" i="51"/>
  <c r="C8" i="53"/>
  <c r="R116" i="15"/>
  <c r="E29" i="35"/>
  <c r="F29" i="35" s="1"/>
  <c r="C6" i="53"/>
  <c r="O6" i="51"/>
  <c r="R112" i="15"/>
  <c r="E25" i="35"/>
  <c r="F25" i="35" s="1"/>
  <c r="H218" i="16"/>
  <c r="I61" i="51"/>
  <c r="I71" i="56"/>
  <c r="R102" i="15"/>
  <c r="E15" i="35"/>
  <c r="F15" i="35" s="1"/>
  <c r="C140" i="15"/>
  <c r="T39" i="15"/>
  <c r="E187" i="29"/>
  <c r="N60" i="51"/>
  <c r="Q214" i="16"/>
  <c r="Q199" i="16"/>
  <c r="S25" i="15"/>
  <c r="B126" i="15"/>
  <c r="R25" i="15"/>
  <c r="I59" i="56"/>
  <c r="V38" i="57"/>
  <c r="T38" i="57"/>
  <c r="W38" i="57" s="1"/>
  <c r="Z38" i="57" s="1"/>
  <c r="D101" i="57" s="1"/>
  <c r="F101" i="57" s="1"/>
  <c r="G101" i="57" s="1"/>
  <c r="E11" i="14"/>
  <c r="E12" i="14" s="1"/>
  <c r="D223" i="25"/>
  <c r="B147" i="15"/>
  <c r="S46" i="15"/>
  <c r="R46" i="15"/>
  <c r="T24" i="15"/>
  <c r="C125" i="15"/>
  <c r="P48" i="15"/>
  <c r="S47" i="15"/>
  <c r="B148" i="15"/>
  <c r="R47" i="15"/>
  <c r="R202" i="16"/>
  <c r="T202" i="16"/>
  <c r="N232" i="16"/>
  <c r="W202" i="16"/>
  <c r="J232" i="16" s="1"/>
  <c r="N233" i="16"/>
  <c r="V233" i="16" s="1"/>
  <c r="T203" i="16"/>
  <c r="R203" i="16"/>
  <c r="W203" i="16"/>
  <c r="J233" i="16" s="1"/>
  <c r="O15" i="51"/>
  <c r="C15" i="53"/>
  <c r="W201" i="16"/>
  <c r="J231" i="16" s="1"/>
  <c r="N231" i="16"/>
  <c r="T201" i="16"/>
  <c r="R201" i="16"/>
  <c r="D128" i="15"/>
  <c r="U27" i="15"/>
  <c r="U37" i="15"/>
  <c r="D138" i="15"/>
  <c r="C137" i="15"/>
  <c r="T36" i="15"/>
  <c r="F195" i="43"/>
  <c r="O5" i="51"/>
  <c r="C5" i="53"/>
  <c r="C136" i="15"/>
  <c r="T35" i="15"/>
  <c r="Q206" i="16"/>
  <c r="W143" i="16"/>
  <c r="R30" i="15"/>
  <c r="S30" i="15"/>
  <c r="B131" i="15"/>
  <c r="E186" i="43"/>
  <c r="F186" i="43" s="1"/>
  <c r="O7" i="51"/>
  <c r="C7" i="53"/>
  <c r="Q217" i="16"/>
  <c r="P43" i="51"/>
  <c r="U24" i="15"/>
  <c r="D125" i="15"/>
  <c r="Q48" i="15"/>
  <c r="C133" i="15"/>
  <c r="T32" i="15"/>
  <c r="L61" i="51"/>
  <c r="N88" i="29"/>
  <c r="I55" i="56"/>
  <c r="F197" i="29"/>
  <c r="U26" i="15"/>
  <c r="D127" i="15"/>
  <c r="D148" i="15"/>
  <c r="U47" i="15"/>
  <c r="T205" i="16"/>
  <c r="N235" i="16"/>
  <c r="W205" i="16"/>
  <c r="J235" i="16" s="1"/>
  <c r="R205" i="16"/>
  <c r="U33" i="15"/>
  <c r="D134" i="15"/>
  <c r="R39" i="15"/>
  <c r="S39" i="15"/>
  <c r="B140" i="15"/>
  <c r="I57" i="56"/>
  <c r="O33" i="51"/>
  <c r="R43" i="51" s="1"/>
  <c r="M73" i="14"/>
  <c r="R199" i="16"/>
  <c r="W199" i="16"/>
  <c r="J229" i="16" s="1"/>
  <c r="T199" i="16"/>
  <c r="N229" i="16"/>
  <c r="E7" i="35"/>
  <c r="F7" i="35" s="1"/>
  <c r="R94" i="15"/>
  <c r="R213" i="16"/>
  <c r="N243" i="16"/>
  <c r="T213" i="16"/>
  <c r="W213" i="16"/>
  <c r="J243" i="16" s="1"/>
  <c r="C36" i="56" l="1"/>
  <c r="G207" i="25"/>
  <c r="D23" i="56"/>
  <c r="G210" i="29"/>
  <c r="G201" i="43"/>
  <c r="H40" i="14"/>
  <c r="I40" i="14" s="1"/>
  <c r="J40" i="14" s="1"/>
  <c r="E39" i="56"/>
  <c r="H34" i="14"/>
  <c r="I34" i="14" s="1"/>
  <c r="J34" i="14" s="1"/>
  <c r="G215" i="29"/>
  <c r="G216" i="43"/>
  <c r="H25" i="14"/>
  <c r="I25" i="14" s="1"/>
  <c r="J25" i="14" s="1"/>
  <c r="D17" i="56"/>
  <c r="G200" i="25"/>
  <c r="G206" i="43"/>
  <c r="C19" i="56"/>
  <c r="G265" i="16"/>
  <c r="C26" i="56"/>
  <c r="D28" i="56"/>
  <c r="D26" i="56"/>
  <c r="E20" i="56"/>
  <c r="G204" i="43"/>
  <c r="D21" i="56"/>
  <c r="F21" i="56" s="1"/>
  <c r="G21" i="56" s="1"/>
  <c r="G198" i="43"/>
  <c r="C23" i="56"/>
  <c r="H33" i="14"/>
  <c r="I33" i="14" s="1"/>
  <c r="J33" i="14" s="1"/>
  <c r="G269" i="16"/>
  <c r="H41" i="14"/>
  <c r="I41" i="14" s="1"/>
  <c r="J41" i="14" s="1"/>
  <c r="G199" i="25"/>
  <c r="D22" i="56"/>
  <c r="D24" i="56"/>
  <c r="F24" i="56" s="1"/>
  <c r="G24" i="56" s="1"/>
  <c r="H36" i="14"/>
  <c r="I36" i="14" s="1"/>
  <c r="J36" i="14" s="1"/>
  <c r="G205" i="25"/>
  <c r="G221" i="25"/>
  <c r="G211" i="25"/>
  <c r="G210" i="25"/>
  <c r="H30" i="14"/>
  <c r="I30" i="14" s="1"/>
  <c r="J30" i="14" s="1"/>
  <c r="H22" i="14"/>
  <c r="I22" i="14" s="1"/>
  <c r="J22" i="14" s="1"/>
  <c r="E37" i="56"/>
  <c r="F37" i="56" s="1"/>
  <c r="G37" i="56" s="1"/>
  <c r="G214" i="43"/>
  <c r="D35" i="56"/>
  <c r="H27" i="14"/>
  <c r="I27" i="14" s="1"/>
  <c r="J27" i="14" s="1"/>
  <c r="G203" i="25"/>
  <c r="H29" i="14"/>
  <c r="I29" i="14" s="1"/>
  <c r="J29" i="14" s="1"/>
  <c r="G267" i="16"/>
  <c r="C30" i="56"/>
  <c r="H35" i="14"/>
  <c r="I35" i="14" s="1"/>
  <c r="J35" i="14" s="1"/>
  <c r="D20" i="56"/>
  <c r="D34" i="56"/>
  <c r="E30" i="56"/>
  <c r="C20" i="56"/>
  <c r="D25" i="56"/>
  <c r="C35" i="56"/>
  <c r="E140" i="15"/>
  <c r="E171" i="15" s="1"/>
  <c r="E36" i="56"/>
  <c r="F36" i="56" s="1"/>
  <c r="G36" i="56" s="1"/>
  <c r="G218" i="25"/>
  <c r="H39" i="14"/>
  <c r="I39" i="14" s="1"/>
  <c r="J39" i="14" s="1"/>
  <c r="G202" i="25"/>
  <c r="F77" i="56"/>
  <c r="G272" i="16"/>
  <c r="G208" i="43"/>
  <c r="D27" i="56"/>
  <c r="C22" i="56"/>
  <c r="G216" i="29"/>
  <c r="E27" i="56"/>
  <c r="E23" i="56"/>
  <c r="G262" i="16"/>
  <c r="E18" i="56"/>
  <c r="E17" i="56"/>
  <c r="F17" i="56" s="1"/>
  <c r="G17" i="56" s="1"/>
  <c r="G276" i="16"/>
  <c r="G263" i="16"/>
  <c r="G270" i="16"/>
  <c r="G209" i="29"/>
  <c r="D30" i="56"/>
  <c r="F31" i="56"/>
  <c r="G31" i="56" s="1"/>
  <c r="D33" i="56"/>
  <c r="G211" i="29"/>
  <c r="D18" i="56"/>
  <c r="C34" i="56"/>
  <c r="C33" i="56"/>
  <c r="J71" i="56"/>
  <c r="J63" i="56"/>
  <c r="J66" i="56"/>
  <c r="J70" i="56"/>
  <c r="J65" i="56"/>
  <c r="J58" i="56"/>
  <c r="E32" i="56"/>
  <c r="F32" i="56" s="1"/>
  <c r="G32" i="56" s="1"/>
  <c r="J64" i="56"/>
  <c r="J69" i="56"/>
  <c r="G275" i="16"/>
  <c r="C38" i="56"/>
  <c r="G215" i="43"/>
  <c r="J53" i="56"/>
  <c r="J62" i="56"/>
  <c r="F39" i="56"/>
  <c r="G39" i="56" s="1"/>
  <c r="G202" i="43"/>
  <c r="G209" i="43"/>
  <c r="E33" i="56"/>
  <c r="H37" i="14"/>
  <c r="I37" i="14" s="1"/>
  <c r="J37" i="14" s="1"/>
  <c r="R42" i="51"/>
  <c r="R51" i="51"/>
  <c r="E135" i="15"/>
  <c r="E166" i="15" s="1"/>
  <c r="E132" i="15"/>
  <c r="E163" i="15" s="1"/>
  <c r="R233" i="16"/>
  <c r="J52" i="56"/>
  <c r="F193" i="43"/>
  <c r="G193" i="43" s="1"/>
  <c r="E131" i="15"/>
  <c r="E162" i="15" s="1"/>
  <c r="E128" i="15"/>
  <c r="E159" i="15" s="1"/>
  <c r="J55" i="56"/>
  <c r="T48" i="15"/>
  <c r="E148" i="15"/>
  <c r="E179" i="15" s="1"/>
  <c r="E145" i="15"/>
  <c r="E176" i="15" s="1"/>
  <c r="E129" i="15"/>
  <c r="E160" i="15" s="1"/>
  <c r="R44" i="51"/>
  <c r="U205" i="16"/>
  <c r="P235" i="16" s="1"/>
  <c r="M235" i="16"/>
  <c r="U235" i="16" s="1"/>
  <c r="V205" i="16"/>
  <c r="D23" i="53"/>
  <c r="H23" i="53" s="1"/>
  <c r="S112" i="15"/>
  <c r="T112" i="15" s="1"/>
  <c r="W112" i="15" s="1"/>
  <c r="D175" i="15" s="1"/>
  <c r="Z36" i="15"/>
  <c r="V36" i="15"/>
  <c r="X36" i="15"/>
  <c r="M244" i="16"/>
  <c r="U244" i="16" s="1"/>
  <c r="U214" i="16"/>
  <c r="P244" i="16" s="1"/>
  <c r="V214" i="16"/>
  <c r="Z43" i="15"/>
  <c r="V43" i="15"/>
  <c r="X43" i="15"/>
  <c r="R241" i="16"/>
  <c r="V241" i="16"/>
  <c r="V204" i="16"/>
  <c r="U204" i="16"/>
  <c r="P234" i="16" s="1"/>
  <c r="M234" i="16"/>
  <c r="U234" i="16" s="1"/>
  <c r="O228" i="16"/>
  <c r="X198" i="16"/>
  <c r="K228" i="16" s="1"/>
  <c r="E19" i="56"/>
  <c r="G260" i="16"/>
  <c r="V45" i="15"/>
  <c r="Z45" i="15"/>
  <c r="X45" i="15"/>
  <c r="R229" i="16"/>
  <c r="V229" i="16"/>
  <c r="U203" i="16"/>
  <c r="P233" i="16" s="1"/>
  <c r="V203" i="16"/>
  <c r="M233" i="16"/>
  <c r="U233" i="16" s="1"/>
  <c r="X202" i="16"/>
  <c r="K232" i="16" s="1"/>
  <c r="O232" i="16"/>
  <c r="U206" i="16"/>
  <c r="P236" i="16" s="1"/>
  <c r="V206" i="16"/>
  <c r="M236" i="16"/>
  <c r="U236" i="16" s="1"/>
  <c r="O238" i="16"/>
  <c r="X208" i="16"/>
  <c r="K238" i="16" s="1"/>
  <c r="D7" i="53"/>
  <c r="H7" i="53" s="1"/>
  <c r="S96" i="15"/>
  <c r="T96" i="15" s="1"/>
  <c r="W96" i="15" s="1"/>
  <c r="D159" i="15" s="1"/>
  <c r="V240" i="16"/>
  <c r="R240" i="16"/>
  <c r="Z31" i="15"/>
  <c r="V31" i="15"/>
  <c r="X31" i="15"/>
  <c r="F74" i="56"/>
  <c r="G73" i="56"/>
  <c r="F75" i="56"/>
  <c r="F78" i="56"/>
  <c r="G60" i="56"/>
  <c r="G51" i="56"/>
  <c r="G65" i="56"/>
  <c r="G54" i="56"/>
  <c r="G57" i="56"/>
  <c r="G55" i="56"/>
  <c r="G67" i="56"/>
  <c r="G68" i="56"/>
  <c r="G59" i="56"/>
  <c r="G71" i="56"/>
  <c r="D75" i="56"/>
  <c r="G63" i="56"/>
  <c r="G64" i="56"/>
  <c r="C75" i="56"/>
  <c r="G72" i="56"/>
  <c r="G62" i="56"/>
  <c r="G58" i="56"/>
  <c r="G53" i="56"/>
  <c r="G66" i="56"/>
  <c r="G61" i="56"/>
  <c r="G56" i="56"/>
  <c r="G70" i="56"/>
  <c r="G69" i="56"/>
  <c r="G50" i="56"/>
  <c r="G52" i="56"/>
  <c r="Z27" i="15"/>
  <c r="V27" i="15"/>
  <c r="X27" i="15"/>
  <c r="D10" i="53"/>
  <c r="H10" i="53" s="1"/>
  <c r="S99" i="15"/>
  <c r="T99" i="15" s="1"/>
  <c r="W99" i="15" s="1"/>
  <c r="D162" i="15" s="1"/>
  <c r="E142" i="15"/>
  <c r="E173" i="15" s="1"/>
  <c r="O245" i="16"/>
  <c r="X215" i="16"/>
  <c r="K245" i="16" s="1"/>
  <c r="S113" i="15"/>
  <c r="T113" i="15" s="1"/>
  <c r="W113" i="15" s="1"/>
  <c r="D176" i="15" s="1"/>
  <c r="D24" i="53"/>
  <c r="H24" i="53" s="1"/>
  <c r="X207" i="16"/>
  <c r="K237" i="16" s="1"/>
  <c r="O237" i="16"/>
  <c r="M241" i="16"/>
  <c r="U241" i="16" s="1"/>
  <c r="U211" i="16"/>
  <c r="P241" i="16" s="1"/>
  <c r="V211" i="16"/>
  <c r="E136" i="15"/>
  <c r="E167" i="15" s="1"/>
  <c r="X40" i="15"/>
  <c r="V40" i="15"/>
  <c r="Z40" i="15"/>
  <c r="V230" i="16"/>
  <c r="R230" i="16"/>
  <c r="O234" i="16"/>
  <c r="X204" i="16"/>
  <c r="K234" i="16" s="1"/>
  <c r="V228" i="16"/>
  <c r="R228" i="16"/>
  <c r="Q45" i="57"/>
  <c r="V226" i="16"/>
  <c r="R226" i="16"/>
  <c r="U209" i="16"/>
  <c r="P239" i="16" s="1"/>
  <c r="M239" i="16"/>
  <c r="U239" i="16" s="1"/>
  <c r="V209" i="16"/>
  <c r="Z42" i="15"/>
  <c r="V42" i="15"/>
  <c r="X42" i="15"/>
  <c r="J61" i="56"/>
  <c r="J49" i="56"/>
  <c r="T194" i="16"/>
  <c r="N224" i="16"/>
  <c r="R194" i="16"/>
  <c r="W194" i="16"/>
  <c r="J224" i="16" s="1"/>
  <c r="V29" i="15"/>
  <c r="X29" i="15"/>
  <c r="Z29" i="15"/>
  <c r="M232" i="16"/>
  <c r="U232" i="16" s="1"/>
  <c r="V202" i="16"/>
  <c r="U202" i="16"/>
  <c r="P232" i="16" s="1"/>
  <c r="C7" i="56"/>
  <c r="F218" i="29"/>
  <c r="G220" i="29" s="1"/>
  <c r="B219" i="29"/>
  <c r="V237" i="16"/>
  <c r="R237" i="16"/>
  <c r="O235" i="16"/>
  <c r="X205" i="16"/>
  <c r="K235" i="16" s="1"/>
  <c r="U48" i="15"/>
  <c r="O231" i="16"/>
  <c r="X201" i="16"/>
  <c r="K231" i="16" s="1"/>
  <c r="Z47" i="15"/>
  <c r="V47" i="15"/>
  <c r="X47" i="15"/>
  <c r="X46" i="15"/>
  <c r="V46" i="15"/>
  <c r="Z46" i="15"/>
  <c r="Z24" i="15"/>
  <c r="X24" i="15"/>
  <c r="V24" i="15"/>
  <c r="R48" i="15"/>
  <c r="V236" i="16"/>
  <c r="R236" i="16"/>
  <c r="M238" i="16"/>
  <c r="U238" i="16" s="1"/>
  <c r="U208" i="16"/>
  <c r="P238" i="16" s="1"/>
  <c r="V208" i="16"/>
  <c r="D29" i="56"/>
  <c r="F29" i="56" s="1"/>
  <c r="G29" i="56" s="1"/>
  <c r="G207" i="29"/>
  <c r="E134" i="15"/>
  <c r="E165" i="15" s="1"/>
  <c r="S218" i="16"/>
  <c r="D248" i="16"/>
  <c r="D16" i="56"/>
  <c r="G194" i="29"/>
  <c r="D4" i="53"/>
  <c r="R117" i="15"/>
  <c r="S93" i="15"/>
  <c r="V217" i="16"/>
  <c r="U217" i="16"/>
  <c r="P247" i="16" s="1"/>
  <c r="M247" i="16"/>
  <c r="U247" i="16" s="1"/>
  <c r="D19" i="53"/>
  <c r="H19" i="53" s="1"/>
  <c r="S108" i="15"/>
  <c r="T108" i="15" s="1"/>
  <c r="W108" i="15" s="1"/>
  <c r="D171" i="15" s="1"/>
  <c r="V38" i="15"/>
  <c r="Z38" i="15"/>
  <c r="X38" i="15"/>
  <c r="V41" i="15"/>
  <c r="Z41" i="15"/>
  <c r="X41" i="15"/>
  <c r="X214" i="16"/>
  <c r="K244" i="16" s="1"/>
  <c r="O244" i="16"/>
  <c r="V245" i="16"/>
  <c r="R245" i="16"/>
  <c r="J60" i="56"/>
  <c r="W157" i="16"/>
  <c r="R157" i="16"/>
  <c r="F6" i="56"/>
  <c r="E218" i="43"/>
  <c r="O230" i="16"/>
  <c r="X200" i="16"/>
  <c r="K230" i="16" s="1"/>
  <c r="V44" i="57"/>
  <c r="D22" i="53"/>
  <c r="H22" i="53" s="1"/>
  <c r="S111" i="15"/>
  <c r="T111" i="15" s="1"/>
  <c r="W111" i="15" s="1"/>
  <c r="D174" i="15" s="1"/>
  <c r="R47" i="51"/>
  <c r="C6" i="56"/>
  <c r="F217" i="43"/>
  <c r="B218" i="43"/>
  <c r="M231" i="16"/>
  <c r="U231" i="16" s="1"/>
  <c r="U201" i="16"/>
  <c r="P231" i="16" s="1"/>
  <c r="V201" i="16"/>
  <c r="X206" i="16"/>
  <c r="K236" i="16" s="1"/>
  <c r="O236" i="16"/>
  <c r="Q194" i="16"/>
  <c r="N218" i="16"/>
  <c r="Q218" i="16" s="1"/>
  <c r="R247" i="16"/>
  <c r="V247" i="16"/>
  <c r="D6" i="53"/>
  <c r="H6" i="53" s="1"/>
  <c r="S95" i="15"/>
  <c r="T95" i="15" s="1"/>
  <c r="W95" i="15" s="1"/>
  <c r="D158" i="15" s="1"/>
  <c r="R244" i="16"/>
  <c r="V244" i="16"/>
  <c r="D281" i="16"/>
  <c r="V156" i="16"/>
  <c r="R234" i="16"/>
  <c r="V234" i="16"/>
  <c r="O243" i="16"/>
  <c r="X213" i="16"/>
  <c r="K243" i="16" s="1"/>
  <c r="U199" i="16"/>
  <c r="P229" i="16" s="1"/>
  <c r="V199" i="16"/>
  <c r="M229" i="16"/>
  <c r="U229" i="16" s="1"/>
  <c r="G195" i="43"/>
  <c r="C18" i="56"/>
  <c r="V231" i="16"/>
  <c r="R231" i="16"/>
  <c r="X25" i="15"/>
  <c r="V25" i="15"/>
  <c r="Z25" i="15"/>
  <c r="D27" i="53"/>
  <c r="H27" i="53" s="1"/>
  <c r="S116" i="15"/>
  <c r="T116" i="15" s="1"/>
  <c r="W116" i="15" s="1"/>
  <c r="D179" i="15" s="1"/>
  <c r="E125" i="15"/>
  <c r="B149" i="15"/>
  <c r="S100" i="15"/>
  <c r="T100" i="15" s="1"/>
  <c r="W100" i="15" s="1"/>
  <c r="D163" i="15" s="1"/>
  <c r="D11" i="53"/>
  <c r="H11" i="53" s="1"/>
  <c r="V238" i="16"/>
  <c r="R238" i="16"/>
  <c r="X33" i="15"/>
  <c r="V33" i="15"/>
  <c r="Z33" i="15"/>
  <c r="V26" i="15"/>
  <c r="X26" i="15"/>
  <c r="Z26" i="15"/>
  <c r="X217" i="16"/>
  <c r="K247" i="16" s="1"/>
  <c r="O247" i="16"/>
  <c r="S103" i="15"/>
  <c r="T103" i="15" s="1"/>
  <c r="W103" i="15" s="1"/>
  <c r="D166" i="15" s="1"/>
  <c r="D14" i="53"/>
  <c r="H14" i="53" s="1"/>
  <c r="R48" i="51"/>
  <c r="M242" i="16"/>
  <c r="U242" i="16" s="1"/>
  <c r="U212" i="16"/>
  <c r="P242" i="16" s="1"/>
  <c r="V212" i="16"/>
  <c r="E139" i="15"/>
  <c r="E170" i="15" s="1"/>
  <c r="E75" i="56"/>
  <c r="M237" i="16"/>
  <c r="U237" i="16" s="1"/>
  <c r="U207" i="16"/>
  <c r="P237" i="16" s="1"/>
  <c r="V207" i="16"/>
  <c r="Z37" i="15"/>
  <c r="V37" i="15"/>
  <c r="X37" i="15"/>
  <c r="J50" i="56"/>
  <c r="M230" i="16"/>
  <c r="U230" i="16" s="1"/>
  <c r="U200" i="16"/>
  <c r="P230" i="16" s="1"/>
  <c r="V200" i="16"/>
  <c r="R34" i="51"/>
  <c r="O226" i="16"/>
  <c r="X196" i="16"/>
  <c r="K226" i="16" s="1"/>
  <c r="J76" i="14"/>
  <c r="I77" i="14"/>
  <c r="I78" i="14"/>
  <c r="I81" i="14"/>
  <c r="N76" i="14"/>
  <c r="K76" i="14"/>
  <c r="G78" i="14"/>
  <c r="C78" i="14"/>
  <c r="E78" i="14"/>
  <c r="F78" i="14"/>
  <c r="J55" i="14"/>
  <c r="J64" i="14"/>
  <c r="J69" i="14"/>
  <c r="J67" i="14"/>
  <c r="J65" i="14"/>
  <c r="J75" i="14"/>
  <c r="J60" i="14"/>
  <c r="J74" i="14"/>
  <c r="J73" i="14"/>
  <c r="D78" i="14"/>
  <c r="J72" i="14"/>
  <c r="J58" i="14"/>
  <c r="J54" i="14"/>
  <c r="J70" i="14"/>
  <c r="J61" i="14"/>
  <c r="J62" i="14"/>
  <c r="J66" i="14"/>
  <c r="J68" i="14"/>
  <c r="J57" i="14"/>
  <c r="J63" i="14"/>
  <c r="J53" i="14"/>
  <c r="J56" i="14"/>
  <c r="J71" i="14"/>
  <c r="J59" i="14"/>
  <c r="I80" i="14"/>
  <c r="J52" i="14"/>
  <c r="J51" i="56"/>
  <c r="V32" i="15"/>
  <c r="Z32" i="15"/>
  <c r="X32" i="15"/>
  <c r="S101" i="15"/>
  <c r="T101" i="15" s="1"/>
  <c r="W101" i="15" s="1"/>
  <c r="D164" i="15" s="1"/>
  <c r="D12" i="53"/>
  <c r="H12" i="53" s="1"/>
  <c r="G197" i="29"/>
  <c r="D19" i="56"/>
  <c r="V232" i="16"/>
  <c r="R232" i="16"/>
  <c r="X199" i="16"/>
  <c r="K229" i="16" s="1"/>
  <c r="O229" i="16"/>
  <c r="V235" i="16"/>
  <c r="R235" i="16"/>
  <c r="V30" i="15"/>
  <c r="Z30" i="15"/>
  <c r="X30" i="15"/>
  <c r="C28" i="53"/>
  <c r="O233" i="16"/>
  <c r="X203" i="16"/>
  <c r="K233" i="16" s="1"/>
  <c r="U210" i="16"/>
  <c r="P240" i="16" s="1"/>
  <c r="M240" i="16"/>
  <c r="U240" i="16" s="1"/>
  <c r="V210" i="16"/>
  <c r="Z34" i="15"/>
  <c r="V34" i="15"/>
  <c r="X34" i="15"/>
  <c r="D107" i="57"/>
  <c r="F83" i="57"/>
  <c r="R243" i="16"/>
  <c r="V243" i="16"/>
  <c r="Z39" i="15"/>
  <c r="V39" i="15"/>
  <c r="X39" i="15"/>
  <c r="E147" i="15"/>
  <c r="E178" i="15" s="1"/>
  <c r="E126" i="15"/>
  <c r="E157" i="15" s="1"/>
  <c r="S48" i="15"/>
  <c r="E223" i="25"/>
  <c r="F11" i="14"/>
  <c r="F12" i="14" s="1"/>
  <c r="E127" i="15"/>
  <c r="E158" i="15" s="1"/>
  <c r="D43" i="14"/>
  <c r="M246" i="16"/>
  <c r="U246" i="16" s="1"/>
  <c r="U216" i="16"/>
  <c r="P246" i="16" s="1"/>
  <c r="V216" i="16"/>
  <c r="U195" i="16"/>
  <c r="P225" i="16" s="1"/>
  <c r="M225" i="16"/>
  <c r="U225" i="16" s="1"/>
  <c r="V195" i="16"/>
  <c r="M227" i="16"/>
  <c r="U227" i="16" s="1"/>
  <c r="U197" i="16"/>
  <c r="P227" i="16" s="1"/>
  <c r="V197" i="16"/>
  <c r="E138" i="15"/>
  <c r="E169" i="15" s="1"/>
  <c r="J67" i="56"/>
  <c r="J72" i="56"/>
  <c r="S98" i="15"/>
  <c r="T98" i="15" s="1"/>
  <c r="W98" i="15" s="1"/>
  <c r="D161" i="15" s="1"/>
  <c r="D9" i="53"/>
  <c r="H9" i="53" s="1"/>
  <c r="J68" i="56"/>
  <c r="J57" i="56"/>
  <c r="E133" i="15"/>
  <c r="E164" i="15" s="1"/>
  <c r="G266" i="16"/>
  <c r="E25" i="56"/>
  <c r="D26" i="53"/>
  <c r="H26" i="53" s="1"/>
  <c r="S115" i="15"/>
  <c r="T115" i="15" s="1"/>
  <c r="W115" i="15" s="1"/>
  <c r="D178" i="15" s="1"/>
  <c r="D149" i="15"/>
  <c r="F6" i="35"/>
  <c r="F30" i="35" s="1"/>
  <c r="E30" i="35"/>
  <c r="U213" i="16"/>
  <c r="P243" i="16" s="1"/>
  <c r="M243" i="16"/>
  <c r="U243" i="16" s="1"/>
  <c r="V213" i="16"/>
  <c r="P33" i="51"/>
  <c r="Q53" i="51" s="1"/>
  <c r="O57" i="51"/>
  <c r="R33" i="51"/>
  <c r="R50" i="51"/>
  <c r="R55" i="51"/>
  <c r="R39" i="51"/>
  <c r="R52" i="51"/>
  <c r="R46" i="51"/>
  <c r="R56" i="51"/>
  <c r="R38" i="51"/>
  <c r="R41" i="51"/>
  <c r="R49" i="51"/>
  <c r="R36" i="51"/>
  <c r="R35" i="51"/>
  <c r="R54" i="51"/>
  <c r="R45" i="51"/>
  <c r="R40" i="51"/>
  <c r="G7" i="14"/>
  <c r="H7" i="14" s="1"/>
  <c r="O246" i="16"/>
  <c r="X216" i="16"/>
  <c r="K246" i="16" s="1"/>
  <c r="D17" i="53"/>
  <c r="H17" i="53" s="1"/>
  <c r="S106" i="15"/>
  <c r="T106" i="15" s="1"/>
  <c r="W106" i="15" s="1"/>
  <c r="D169" i="15" s="1"/>
  <c r="D20" i="53"/>
  <c r="H20" i="53" s="1"/>
  <c r="S109" i="15"/>
  <c r="T109" i="15" s="1"/>
  <c r="W109" i="15" s="1"/>
  <c r="D172" i="15" s="1"/>
  <c r="V242" i="16"/>
  <c r="R242" i="16"/>
  <c r="R37" i="51"/>
  <c r="C28" i="56"/>
  <c r="G205" i="43"/>
  <c r="X195" i="16"/>
  <c r="K225" i="16" s="1"/>
  <c r="O225" i="16"/>
  <c r="D25" i="53"/>
  <c r="H25" i="53" s="1"/>
  <c r="S114" i="15"/>
  <c r="T114" i="15" s="1"/>
  <c r="W114" i="15" s="1"/>
  <c r="D177" i="15" s="1"/>
  <c r="R227" i="16"/>
  <c r="V227" i="16"/>
  <c r="D16" i="53"/>
  <c r="H16" i="53" s="1"/>
  <c r="S105" i="15"/>
  <c r="T105" i="15" s="1"/>
  <c r="W105" i="15" s="1"/>
  <c r="D168" i="15" s="1"/>
  <c r="J56" i="56"/>
  <c r="V239" i="16"/>
  <c r="R239" i="16"/>
  <c r="L30" i="51"/>
  <c r="S104" i="15"/>
  <c r="T104" i="15" s="1"/>
  <c r="W104" i="15" s="1"/>
  <c r="D167" i="15" s="1"/>
  <c r="D15" i="53"/>
  <c r="H15" i="53" s="1"/>
  <c r="F8" i="56"/>
  <c r="E282" i="16"/>
  <c r="J54" i="56"/>
  <c r="D13" i="53"/>
  <c r="H13" i="53" s="1"/>
  <c r="S102" i="15"/>
  <c r="T102" i="15" s="1"/>
  <c r="W102" i="15" s="1"/>
  <c r="D165" i="15" s="1"/>
  <c r="X210" i="16"/>
  <c r="K240" i="16" s="1"/>
  <c r="O240" i="16"/>
  <c r="Z35" i="15"/>
  <c r="V35" i="15"/>
  <c r="X35" i="15"/>
  <c r="V215" i="16"/>
  <c r="U215" i="16"/>
  <c r="P245" i="16" s="1"/>
  <c r="M245" i="16"/>
  <c r="U245" i="16" s="1"/>
  <c r="E141" i="15"/>
  <c r="E172" i="15" s="1"/>
  <c r="U196" i="16"/>
  <c r="P226" i="16" s="1"/>
  <c r="M226" i="16"/>
  <c r="U226" i="16" s="1"/>
  <c r="V196" i="16"/>
  <c r="D5" i="53"/>
  <c r="H5" i="53" s="1"/>
  <c r="S94" i="15"/>
  <c r="T94" i="15" s="1"/>
  <c r="W94" i="15" s="1"/>
  <c r="D157" i="15" s="1"/>
  <c r="C149" i="15"/>
  <c r="B9" i="19"/>
  <c r="E14" i="14"/>
  <c r="Z44" i="15"/>
  <c r="V44" i="15"/>
  <c r="X44" i="15"/>
  <c r="G224" i="24"/>
  <c r="F223" i="24"/>
  <c r="F224" i="24"/>
  <c r="G222" i="24"/>
  <c r="F229" i="24" s="1"/>
  <c r="A229" i="24"/>
  <c r="C229" i="24" s="1"/>
  <c r="C4" i="53"/>
  <c r="O4" i="51"/>
  <c r="O28" i="51" s="1"/>
  <c r="E137" i="15"/>
  <c r="E168" i="15" s="1"/>
  <c r="E219" i="29"/>
  <c r="F7" i="56"/>
  <c r="V246" i="16"/>
  <c r="R246" i="16"/>
  <c r="F8" i="19"/>
  <c r="E15" i="20"/>
  <c r="E16" i="20" s="1"/>
  <c r="G49" i="56"/>
  <c r="E130" i="15"/>
  <c r="E161" i="15" s="1"/>
  <c r="X212" i="16"/>
  <c r="K242" i="16" s="1"/>
  <c r="O242" i="16"/>
  <c r="E144" i="15"/>
  <c r="E175" i="15" s="1"/>
  <c r="R225" i="16"/>
  <c r="V225" i="16"/>
  <c r="X211" i="16"/>
  <c r="K241" i="16" s="1"/>
  <c r="O241" i="16"/>
  <c r="E38" i="56"/>
  <c r="G279" i="16"/>
  <c r="X197" i="16"/>
  <c r="K227" i="16" s="1"/>
  <c r="O227" i="16"/>
  <c r="V28" i="15"/>
  <c r="X28" i="15"/>
  <c r="Z28" i="15"/>
  <c r="D8" i="53"/>
  <c r="H8" i="53" s="1"/>
  <c r="S97" i="15"/>
  <c r="T97" i="15" s="1"/>
  <c r="W97" i="15" s="1"/>
  <c r="D160" i="15" s="1"/>
  <c r="S110" i="15"/>
  <c r="T110" i="15" s="1"/>
  <c r="W110" i="15" s="1"/>
  <c r="D173" i="15" s="1"/>
  <c r="D21" i="53"/>
  <c r="H21" i="53" s="1"/>
  <c r="U198" i="16"/>
  <c r="P228" i="16" s="1"/>
  <c r="V198" i="16"/>
  <c r="M228" i="16"/>
  <c r="U228" i="16" s="1"/>
  <c r="D18" i="53"/>
  <c r="H18" i="53" s="1"/>
  <c r="S107" i="15"/>
  <c r="T107" i="15" s="1"/>
  <c r="W107" i="15" s="1"/>
  <c r="D170" i="15" s="1"/>
  <c r="R53" i="51"/>
  <c r="O239" i="16"/>
  <c r="X209" i="16"/>
  <c r="K239" i="16" s="1"/>
  <c r="E143" i="15"/>
  <c r="E174" i="15" s="1"/>
  <c r="B222" i="25"/>
  <c r="F198" i="25"/>
  <c r="B281" i="16"/>
  <c r="F257" i="16"/>
  <c r="E146" i="15"/>
  <c r="E177" i="15" s="1"/>
  <c r="F26" i="56" l="1"/>
  <c r="G26" i="56" s="1"/>
  <c r="F35" i="56"/>
  <c r="G35" i="56" s="1"/>
  <c r="F23" i="56"/>
  <c r="G23" i="56" s="1"/>
  <c r="F28" i="56"/>
  <c r="G28" i="56" s="1"/>
  <c r="F22" i="56"/>
  <c r="G22" i="56" s="1"/>
  <c r="F20" i="56"/>
  <c r="G20" i="56" s="1"/>
  <c r="F30" i="56"/>
  <c r="G30" i="56" s="1"/>
  <c r="F25" i="56"/>
  <c r="G25" i="56" s="1"/>
  <c r="F34" i="56"/>
  <c r="G34" i="56" s="1"/>
  <c r="O49" i="15"/>
  <c r="F27" i="56"/>
  <c r="G27" i="56" s="1"/>
  <c r="F80" i="56"/>
  <c r="S33" i="51"/>
  <c r="N61" i="51"/>
  <c r="S52" i="51"/>
  <c r="N58" i="51"/>
  <c r="O59" i="51"/>
  <c r="F33" i="56"/>
  <c r="G33" i="56" s="1"/>
  <c r="F18" i="56"/>
  <c r="G18" i="56" s="1"/>
  <c r="F38" i="56"/>
  <c r="G38" i="56" s="1"/>
  <c r="C16" i="56"/>
  <c r="C40" i="56" s="1"/>
  <c r="H4" i="53"/>
  <c r="I4" i="53" s="1"/>
  <c r="J4" i="53" s="1"/>
  <c r="E79" i="14"/>
  <c r="D76" i="56"/>
  <c r="Q49" i="15"/>
  <c r="P49" i="15"/>
  <c r="Y198" i="16"/>
  <c r="L228" i="16" s="1"/>
  <c r="I228" i="16"/>
  <c r="Q228" i="16" s="1"/>
  <c r="B176" i="15"/>
  <c r="F176" i="15" s="1"/>
  <c r="G176" i="15" s="1"/>
  <c r="S229" i="16"/>
  <c r="W229" i="16"/>
  <c r="X229" i="16" s="1"/>
  <c r="Y208" i="16"/>
  <c r="L238" i="16" s="1"/>
  <c r="I238" i="16"/>
  <c r="Q238" i="16" s="1"/>
  <c r="B174" i="15"/>
  <c r="F174" i="15" s="1"/>
  <c r="G174" i="15" s="1"/>
  <c r="I6" i="53"/>
  <c r="J6" i="53" s="1"/>
  <c r="K6" i="53"/>
  <c r="W227" i="16"/>
  <c r="X227" i="16" s="1"/>
  <c r="S227" i="16"/>
  <c r="W246" i="16"/>
  <c r="X246" i="16" s="1"/>
  <c r="S246" i="16"/>
  <c r="K26" i="53"/>
  <c r="I26" i="53"/>
  <c r="J26" i="53" s="1"/>
  <c r="I225" i="16"/>
  <c r="Q225" i="16" s="1"/>
  <c r="Y195" i="16"/>
  <c r="L225" i="16" s="1"/>
  <c r="D44" i="14"/>
  <c r="B171" i="15"/>
  <c r="F171" i="15" s="1"/>
  <c r="G171" i="15" s="1"/>
  <c r="G79" i="14"/>
  <c r="S226" i="16"/>
  <c r="W226" i="16"/>
  <c r="X226" i="16" s="1"/>
  <c r="B158" i="15"/>
  <c r="F158" i="15" s="1"/>
  <c r="G158" i="15" s="1"/>
  <c r="E149" i="15"/>
  <c r="E150" i="15" s="1"/>
  <c r="K22" i="53"/>
  <c r="I22" i="53"/>
  <c r="J22" i="53" s="1"/>
  <c r="B173" i="15"/>
  <c r="F173" i="15" s="1"/>
  <c r="G173" i="15" s="1"/>
  <c r="D40" i="56"/>
  <c r="B178" i="15"/>
  <c r="F178" i="15" s="1"/>
  <c r="G178" i="15" s="1"/>
  <c r="G7" i="56"/>
  <c r="H7" i="56" s="1"/>
  <c r="V194" i="16"/>
  <c r="M224" i="16"/>
  <c r="U224" i="16" s="1"/>
  <c r="U194" i="16"/>
  <c r="P224" i="16" s="1"/>
  <c r="Y209" i="16"/>
  <c r="L239" i="16" s="1"/>
  <c r="I239" i="16"/>
  <c r="Q239" i="16" s="1"/>
  <c r="Y211" i="16"/>
  <c r="L241" i="16" s="1"/>
  <c r="I241" i="16"/>
  <c r="Q241" i="16" s="1"/>
  <c r="W245" i="16"/>
  <c r="X245" i="16" s="1"/>
  <c r="S245" i="16"/>
  <c r="K16" i="53"/>
  <c r="I16" i="53"/>
  <c r="J16" i="53" s="1"/>
  <c r="Q33" i="51"/>
  <c r="Q55" i="51"/>
  <c r="Q52" i="51"/>
  <c r="Q45" i="51"/>
  <c r="Q50" i="51"/>
  <c r="Q39" i="51"/>
  <c r="Q35" i="51"/>
  <c r="Q54" i="51"/>
  <c r="Q41" i="51"/>
  <c r="Q38" i="51"/>
  <c r="Q36" i="51"/>
  <c r="Q40" i="51"/>
  <c r="Q56" i="51"/>
  <c r="Q46" i="51"/>
  <c r="Q49" i="51"/>
  <c r="Q47" i="51"/>
  <c r="B163" i="15"/>
  <c r="F163" i="15" s="1"/>
  <c r="G163" i="15" s="1"/>
  <c r="C79" i="14"/>
  <c r="B169" i="15"/>
  <c r="F169" i="15" s="1"/>
  <c r="G169" i="15" s="1"/>
  <c r="F219" i="29"/>
  <c r="G218" i="29"/>
  <c r="F225" i="29" s="1"/>
  <c r="A225" i="29"/>
  <c r="C225" i="29" s="1"/>
  <c r="F220" i="29"/>
  <c r="Q42" i="51"/>
  <c r="W239" i="16"/>
  <c r="X239" i="16" s="1"/>
  <c r="S239" i="16"/>
  <c r="I21" i="53"/>
  <c r="J21" i="53" s="1"/>
  <c r="K21" i="53"/>
  <c r="Q37" i="51"/>
  <c r="B9" i="22"/>
  <c r="Q34" i="51"/>
  <c r="Y210" i="16"/>
  <c r="L240" i="16" s="1"/>
  <c r="I240" i="16"/>
  <c r="Q240" i="16" s="1"/>
  <c r="B164" i="15"/>
  <c r="F164" i="15" s="1"/>
  <c r="G164" i="15" s="1"/>
  <c r="I237" i="16"/>
  <c r="Q237" i="16" s="1"/>
  <c r="Y207" i="16"/>
  <c r="L237" i="16" s="1"/>
  <c r="E156" i="15"/>
  <c r="S235" i="16"/>
  <c r="W235" i="16"/>
  <c r="X235" i="16" s="1"/>
  <c r="V224" i="16"/>
  <c r="R224" i="16"/>
  <c r="S234" i="16"/>
  <c r="W234" i="16"/>
  <c r="X234" i="16" s="1"/>
  <c r="W232" i="16"/>
  <c r="X232" i="16" s="1"/>
  <c r="S232" i="16"/>
  <c r="B175" i="15"/>
  <c r="F175" i="15" s="1"/>
  <c r="G175" i="15" s="1"/>
  <c r="Q51" i="51"/>
  <c r="B160" i="15"/>
  <c r="F160" i="15" s="1"/>
  <c r="G160" i="15" s="1"/>
  <c r="B166" i="15"/>
  <c r="F166" i="15" s="1"/>
  <c r="G166" i="15" s="1"/>
  <c r="W243" i="16"/>
  <c r="X243" i="16" s="1"/>
  <c r="S243" i="16"/>
  <c r="W242" i="16"/>
  <c r="X242" i="16" s="1"/>
  <c r="S242" i="16"/>
  <c r="F9" i="56"/>
  <c r="I13" i="53"/>
  <c r="J13" i="53" s="1"/>
  <c r="K13" i="53"/>
  <c r="K25" i="53"/>
  <c r="I25" i="53"/>
  <c r="J25" i="53" s="1"/>
  <c r="H79" i="14"/>
  <c r="B10" i="19"/>
  <c r="F14" i="14"/>
  <c r="F19" i="56"/>
  <c r="G19" i="56" s="1"/>
  <c r="Y200" i="16"/>
  <c r="L230" i="16" s="1"/>
  <c r="I230" i="16"/>
  <c r="Q230" i="16" s="1"/>
  <c r="K14" i="53"/>
  <c r="I14" i="53"/>
  <c r="J14" i="53" s="1"/>
  <c r="B165" i="15"/>
  <c r="F165" i="15" s="1"/>
  <c r="G165" i="15" s="1"/>
  <c r="G219" i="43"/>
  <c r="A224" i="43"/>
  <c r="C224" i="43" s="1"/>
  <c r="G217" i="43"/>
  <c r="F224" i="43" s="1"/>
  <c r="F219" i="43"/>
  <c r="F218" i="43"/>
  <c r="I247" i="16"/>
  <c r="Q247" i="16" s="1"/>
  <c r="T247" i="16" s="1"/>
  <c r="Y217" i="16"/>
  <c r="L247" i="16" s="1"/>
  <c r="W218" i="16"/>
  <c r="J248" i="16" s="1"/>
  <c r="T218" i="16"/>
  <c r="N248" i="16"/>
  <c r="R218" i="16"/>
  <c r="Y202" i="16"/>
  <c r="L232" i="16" s="1"/>
  <c r="I232" i="16"/>
  <c r="Q232" i="16" s="1"/>
  <c r="X194" i="16"/>
  <c r="K224" i="16" s="1"/>
  <c r="O224" i="16"/>
  <c r="W228" i="16"/>
  <c r="X228" i="16" s="1"/>
  <c r="S228" i="16"/>
  <c r="K23" i="53"/>
  <c r="I23" i="53"/>
  <c r="J23" i="53" s="1"/>
  <c r="I17" i="53"/>
  <c r="J17" i="53" s="1"/>
  <c r="K17" i="53"/>
  <c r="S233" i="16"/>
  <c r="W233" i="16"/>
  <c r="X233" i="16" s="1"/>
  <c r="Y212" i="16"/>
  <c r="L242" i="16" s="1"/>
  <c r="I242" i="16"/>
  <c r="Q242" i="16" s="1"/>
  <c r="B161" i="15"/>
  <c r="F161" i="15" s="1"/>
  <c r="G161" i="15" s="1"/>
  <c r="F8" i="22"/>
  <c r="S240" i="16"/>
  <c r="W240" i="16"/>
  <c r="X240" i="16" s="1"/>
  <c r="B168" i="15"/>
  <c r="F168" i="15" s="1"/>
  <c r="G168" i="15" s="1"/>
  <c r="G257" i="16"/>
  <c r="E16" i="56"/>
  <c r="E40" i="56" s="1"/>
  <c r="C8" i="56"/>
  <c r="B282" i="16"/>
  <c r="F281" i="16"/>
  <c r="I245" i="16"/>
  <c r="Q245" i="16" s="1"/>
  <c r="T245" i="16" s="1"/>
  <c r="Y215" i="16"/>
  <c r="L245" i="16" s="1"/>
  <c r="W225" i="16"/>
  <c r="X225" i="16" s="1"/>
  <c r="S225" i="16"/>
  <c r="I20" i="53"/>
  <c r="J20" i="53" s="1"/>
  <c r="K20" i="53"/>
  <c r="Q48" i="51"/>
  <c r="B162" i="15"/>
  <c r="F162" i="15" s="1"/>
  <c r="G162" i="15" s="1"/>
  <c r="D79" i="14"/>
  <c r="I27" i="53"/>
  <c r="J27" i="53" s="1"/>
  <c r="K27" i="53"/>
  <c r="E8" i="56"/>
  <c r="E9" i="56" s="1"/>
  <c r="D282" i="16"/>
  <c r="G6" i="56"/>
  <c r="H6" i="56" s="1"/>
  <c r="B170" i="15"/>
  <c r="F170" i="15" s="1"/>
  <c r="G170" i="15" s="1"/>
  <c r="T93" i="15"/>
  <c r="S117" i="15"/>
  <c r="X48" i="15"/>
  <c r="R49" i="15"/>
  <c r="Z48" i="15"/>
  <c r="R50" i="15"/>
  <c r="B179" i="15"/>
  <c r="F179" i="15" s="1"/>
  <c r="G179" i="15" s="1"/>
  <c r="S237" i="16"/>
  <c r="W237" i="16"/>
  <c r="X237" i="16" s="1"/>
  <c r="K10" i="53"/>
  <c r="I10" i="53"/>
  <c r="J10" i="53" s="1"/>
  <c r="C76" i="56"/>
  <c r="K7" i="53"/>
  <c r="I7" i="53"/>
  <c r="J7" i="53" s="1"/>
  <c r="Y214" i="16"/>
  <c r="L244" i="16" s="1"/>
  <c r="I244" i="16"/>
  <c r="Q244" i="16" s="1"/>
  <c r="Y205" i="16"/>
  <c r="L235" i="16" s="1"/>
  <c r="I235" i="16"/>
  <c r="Q235" i="16" s="1"/>
  <c r="K9" i="53"/>
  <c r="I9" i="53"/>
  <c r="J9" i="53" s="1"/>
  <c r="H19" i="14"/>
  <c r="G198" i="25"/>
  <c r="I18" i="53"/>
  <c r="J18" i="53" s="1"/>
  <c r="K18" i="53"/>
  <c r="I8" i="53"/>
  <c r="J8" i="53" s="1"/>
  <c r="K8" i="53"/>
  <c r="W241" i="16"/>
  <c r="X241" i="16" s="1"/>
  <c r="S241" i="16"/>
  <c r="I5" i="53"/>
  <c r="J5" i="53" s="1"/>
  <c r="K5" i="53"/>
  <c r="Q43" i="51"/>
  <c r="Y216" i="16"/>
  <c r="L246" i="16" s="1"/>
  <c r="I246" i="16"/>
  <c r="Q246" i="16" s="1"/>
  <c r="T246" i="16" s="1"/>
  <c r="G83" i="57"/>
  <c r="K12" i="53"/>
  <c r="I12" i="53"/>
  <c r="J12" i="53" s="1"/>
  <c r="E76" i="56"/>
  <c r="W247" i="16"/>
  <c r="X247" i="16" s="1"/>
  <c r="S247" i="16"/>
  <c r="I229" i="16"/>
  <c r="Q229" i="16" s="1"/>
  <c r="Y199" i="16"/>
  <c r="L229" i="16" s="1"/>
  <c r="W236" i="16"/>
  <c r="X236" i="16" s="1"/>
  <c r="S236" i="16"/>
  <c r="Q44" i="51"/>
  <c r="W230" i="16"/>
  <c r="X230" i="16" s="1"/>
  <c r="S230" i="16"/>
  <c r="W244" i="16"/>
  <c r="X244" i="16" s="1"/>
  <c r="S244" i="16"/>
  <c r="B156" i="15"/>
  <c r="V48" i="15"/>
  <c r="Y42" i="15" s="1"/>
  <c r="Y203" i="16"/>
  <c r="L233" i="16" s="1"/>
  <c r="I233" i="16"/>
  <c r="Q233" i="16" s="1"/>
  <c r="K11" i="53"/>
  <c r="I11" i="53"/>
  <c r="J11" i="53" s="1"/>
  <c r="Y201" i="16"/>
  <c r="L231" i="16" s="1"/>
  <c r="I231" i="16"/>
  <c r="Q231" i="16" s="1"/>
  <c r="S231" i="16"/>
  <c r="W231" i="16"/>
  <c r="X231" i="16" s="1"/>
  <c r="I15" i="53"/>
  <c r="J15" i="53" s="1"/>
  <c r="K15" i="53"/>
  <c r="Y213" i="16"/>
  <c r="L243" i="16" s="1"/>
  <c r="I243" i="16"/>
  <c r="Q243" i="16" s="1"/>
  <c r="I236" i="16"/>
  <c r="Q236" i="16" s="1"/>
  <c r="Y206" i="16"/>
  <c r="L236" i="16" s="1"/>
  <c r="C11" i="14"/>
  <c r="B223" i="25"/>
  <c r="F222" i="25"/>
  <c r="Y196" i="16"/>
  <c r="L226" i="16" s="1"/>
  <c r="I226" i="16"/>
  <c r="Q226" i="16" s="1"/>
  <c r="B167" i="15"/>
  <c r="F167" i="15" s="1"/>
  <c r="G167" i="15" s="1"/>
  <c r="O60" i="51"/>
  <c r="P57" i="51"/>
  <c r="O58" i="51"/>
  <c r="S57" i="51"/>
  <c r="S35" i="51"/>
  <c r="S45" i="51"/>
  <c r="S40" i="51"/>
  <c r="S49" i="51"/>
  <c r="S50" i="51"/>
  <c r="S54" i="51"/>
  <c r="L58" i="51"/>
  <c r="S55" i="51"/>
  <c r="S39" i="51"/>
  <c r="S46" i="51"/>
  <c r="S56" i="51"/>
  <c r="S38" i="51"/>
  <c r="S41" i="51"/>
  <c r="S36" i="51"/>
  <c r="S42" i="51"/>
  <c r="S53" i="51"/>
  <c r="M58" i="51"/>
  <c r="S37" i="51"/>
  <c r="S43" i="51"/>
  <c r="S34" i="51"/>
  <c r="S48" i="51"/>
  <c r="S47" i="51"/>
  <c r="S44" i="51"/>
  <c r="O61" i="51"/>
  <c r="S51" i="51"/>
  <c r="Y197" i="16"/>
  <c r="L227" i="16" s="1"/>
  <c r="I227" i="16"/>
  <c r="Q227" i="16" s="1"/>
  <c r="F107" i="57"/>
  <c r="D108" i="57"/>
  <c r="F9" i="19"/>
  <c r="F9" i="22" s="1"/>
  <c r="F79" i="14"/>
  <c r="B157" i="15"/>
  <c r="F157" i="15" s="1"/>
  <c r="G157" i="15" s="1"/>
  <c r="K19" i="53"/>
  <c r="I19" i="53"/>
  <c r="J19" i="53" s="1"/>
  <c r="D28" i="53"/>
  <c r="E30" i="53" s="1"/>
  <c r="B172" i="15"/>
  <c r="F172" i="15" s="1"/>
  <c r="G172" i="15" s="1"/>
  <c r="I24" i="53"/>
  <c r="J24" i="53" s="1"/>
  <c r="K24" i="53"/>
  <c r="B159" i="15"/>
  <c r="F159" i="15" s="1"/>
  <c r="G159" i="15" s="1"/>
  <c r="W238" i="16"/>
  <c r="X238" i="16" s="1"/>
  <c r="S238" i="16"/>
  <c r="B177" i="15"/>
  <c r="F177" i="15" s="1"/>
  <c r="G177" i="15" s="1"/>
  <c r="I234" i="16"/>
  <c r="Q234" i="16" s="1"/>
  <c r="Y204" i="16"/>
  <c r="L234" i="16" s="1"/>
  <c r="T234" i="16" l="1"/>
  <c r="K4" i="53"/>
  <c r="T52" i="51"/>
  <c r="Y45" i="15"/>
  <c r="Y40" i="15"/>
  <c r="Y33" i="15"/>
  <c r="T235" i="16"/>
  <c r="Y27" i="15"/>
  <c r="T231" i="16"/>
  <c r="Y41" i="15"/>
  <c r="G30" i="53"/>
  <c r="F16" i="56"/>
  <c r="G16" i="56" s="1"/>
  <c r="T232" i="16"/>
  <c r="T237" i="16"/>
  <c r="T236" i="16"/>
  <c r="Y32" i="15"/>
  <c r="T243" i="16"/>
  <c r="T229" i="16"/>
  <c r="G8" i="56"/>
  <c r="H8" i="56" s="1"/>
  <c r="F7" i="19"/>
  <c r="D30" i="53"/>
  <c r="A114" i="57"/>
  <c r="C114" i="57" s="1"/>
  <c r="G107" i="57"/>
  <c r="F114" i="57" s="1"/>
  <c r="F108" i="57"/>
  <c r="F109" i="57"/>
  <c r="A229" i="25"/>
  <c r="C229" i="25" s="1"/>
  <c r="G222" i="25"/>
  <c r="F229" i="25" s="1"/>
  <c r="F224" i="25"/>
  <c r="F223" i="25"/>
  <c r="C30" i="53"/>
  <c r="D9" i="19"/>
  <c r="D9" i="22" s="1"/>
  <c r="E11" i="56"/>
  <c r="U49" i="15"/>
  <c r="Y43" i="15"/>
  <c r="V248" i="16"/>
  <c r="I224" i="16"/>
  <c r="Q224" i="16" s="1"/>
  <c r="Y194" i="16"/>
  <c r="L224" i="16" s="1"/>
  <c r="Y39" i="15"/>
  <c r="T227" i="16"/>
  <c r="T233" i="16"/>
  <c r="F30" i="53"/>
  <c r="E41" i="56"/>
  <c r="E43" i="56"/>
  <c r="Y29" i="15"/>
  <c r="T240" i="16"/>
  <c r="Y37" i="15"/>
  <c r="B10" i="22"/>
  <c r="G11" i="14"/>
  <c r="H11" i="14" s="1"/>
  <c r="C12" i="14"/>
  <c r="G224" i="25"/>
  <c r="C41" i="56"/>
  <c r="C43" i="56"/>
  <c r="F40" i="56"/>
  <c r="G40" i="56" s="1"/>
  <c r="W93" i="15"/>
  <c r="D156" i="15" s="1"/>
  <c r="F156" i="15" s="1"/>
  <c r="G156" i="15" s="1"/>
  <c r="T117" i="15"/>
  <c r="W117" i="15" s="1"/>
  <c r="T230" i="16"/>
  <c r="T241" i="16"/>
  <c r="Y46" i="15"/>
  <c r="F149" i="15"/>
  <c r="E180" i="15"/>
  <c r="T225" i="16"/>
  <c r="Y44" i="15"/>
  <c r="S224" i="16"/>
  <c r="W224" i="16"/>
  <c r="Y25" i="15"/>
  <c r="Y35" i="15"/>
  <c r="Y24" i="15"/>
  <c r="Y47" i="15"/>
  <c r="Y38" i="15"/>
  <c r="Y36" i="15"/>
  <c r="T242" i="16"/>
  <c r="M248" i="16"/>
  <c r="U218" i="16"/>
  <c r="P248" i="16" s="1"/>
  <c r="V218" i="16"/>
  <c r="Y34" i="15"/>
  <c r="Y26" i="15"/>
  <c r="S49" i="15"/>
  <c r="W52" i="15"/>
  <c r="V49" i="15"/>
  <c r="B180" i="15"/>
  <c r="T49" i="15"/>
  <c r="H43" i="14"/>
  <c r="I19" i="14"/>
  <c r="J19" i="14" s="1"/>
  <c r="Y30" i="15"/>
  <c r="R248" i="16"/>
  <c r="Y31" i="15"/>
  <c r="T239" i="16"/>
  <c r="D43" i="56"/>
  <c r="D41" i="56"/>
  <c r="T228" i="16"/>
  <c r="T244" i="16"/>
  <c r="T226" i="16"/>
  <c r="G109" i="57"/>
  <c r="H28" i="53"/>
  <c r="C9" i="56"/>
  <c r="F282" i="16"/>
  <c r="G281" i="16"/>
  <c r="F289" i="16" s="1"/>
  <c r="A289" i="16"/>
  <c r="C289" i="16" s="1"/>
  <c r="F283" i="16"/>
  <c r="X218" i="16"/>
  <c r="K248" i="16" s="1"/>
  <c r="O248" i="16"/>
  <c r="F11" i="56"/>
  <c r="D10" i="19"/>
  <c r="D10" i="22" s="1"/>
  <c r="Y28" i="15"/>
  <c r="T238" i="16"/>
  <c r="I28" i="53" l="1"/>
  <c r="J28" i="53" s="1"/>
  <c r="F29" i="53"/>
  <c r="H29" i="53"/>
  <c r="G29" i="53"/>
  <c r="D29" i="53"/>
  <c r="E29" i="53"/>
  <c r="C29" i="53"/>
  <c r="C32" i="53" s="1"/>
  <c r="G108" i="57"/>
  <c r="F43" i="56"/>
  <c r="H44" i="14"/>
  <c r="H46" i="14"/>
  <c r="E46" i="14"/>
  <c r="C46" i="14"/>
  <c r="D46" i="14"/>
  <c r="G46" i="14"/>
  <c r="I43" i="14"/>
  <c r="J43" i="14" s="1"/>
  <c r="F46" i="14"/>
  <c r="I248" i="16"/>
  <c r="U248" i="16" s="1"/>
  <c r="Y218" i="16"/>
  <c r="L248" i="16" s="1"/>
  <c r="I12" i="14"/>
  <c r="C14" i="14"/>
  <c r="B8" i="19"/>
  <c r="G12" i="14"/>
  <c r="C13" i="14" s="1"/>
  <c r="F41" i="56"/>
  <c r="C42" i="56" s="1"/>
  <c r="C8" i="19"/>
  <c r="B181" i="15"/>
  <c r="X224" i="16"/>
  <c r="W248" i="16"/>
  <c r="E181" i="15"/>
  <c r="C10" i="19"/>
  <c r="C12" i="56"/>
  <c r="D8" i="19"/>
  <c r="G9" i="56"/>
  <c r="C11" i="56"/>
  <c r="I9" i="56"/>
  <c r="X117" i="15"/>
  <c r="D180" i="15"/>
  <c r="F180" i="15" s="1"/>
  <c r="T224" i="16"/>
  <c r="AG32" i="15"/>
  <c r="K28" i="53"/>
  <c r="S248" i="16"/>
  <c r="F11" i="19"/>
  <c r="F7" i="22"/>
  <c r="Q248" i="16" l="1"/>
  <c r="T248" i="16" s="1"/>
  <c r="F182" i="15"/>
  <c r="F181" i="15"/>
  <c r="G180" i="15"/>
  <c r="E42" i="56"/>
  <c r="F11" i="22"/>
  <c r="F12" i="19"/>
  <c r="E13" i="14"/>
  <c r="G13" i="14"/>
  <c r="G14" i="14"/>
  <c r="G15" i="14"/>
  <c r="H12" i="14"/>
  <c r="D13" i="14"/>
  <c r="F13" i="14"/>
  <c r="D8" i="22"/>
  <c r="D7" i="19"/>
  <c r="C10" i="56"/>
  <c r="G11" i="56"/>
  <c r="H9" i="56"/>
  <c r="G10" i="56"/>
  <c r="D10" i="56"/>
  <c r="F10" i="56"/>
  <c r="E10" i="56"/>
  <c r="B8" i="22"/>
  <c r="I8" i="19"/>
  <c r="B7" i="19"/>
  <c r="C8" i="22"/>
  <c r="C10" i="22"/>
  <c r="I10" i="22" s="1"/>
  <c r="I10" i="19"/>
  <c r="X248" i="16"/>
  <c r="D181" i="15"/>
  <c r="C9" i="19"/>
  <c r="C7" i="19" s="1"/>
  <c r="D42" i="56"/>
  <c r="F42" i="56"/>
  <c r="I44" i="14"/>
  <c r="I8" i="22" l="1"/>
  <c r="B11" i="19"/>
  <c r="B7" i="22"/>
  <c r="I7" i="19"/>
  <c r="D7" i="22"/>
  <c r="D11" i="19"/>
  <c r="F12" i="22"/>
  <c r="I45" i="14"/>
  <c r="E45" i="14"/>
  <c r="G45" i="14"/>
  <c r="C45" i="14"/>
  <c r="F45" i="14"/>
  <c r="D45" i="14"/>
  <c r="H45" i="14"/>
  <c r="C11" i="19"/>
  <c r="C7" i="22"/>
  <c r="C9" i="22"/>
  <c r="I9" i="22" s="1"/>
  <c r="I9" i="19"/>
  <c r="I7" i="22" l="1"/>
  <c r="C11" i="22"/>
  <c r="C12" i="19"/>
  <c r="C13" i="19"/>
  <c r="D11" i="22"/>
  <c r="D12" i="19"/>
  <c r="B12" i="19"/>
  <c r="F13" i="19" s="1"/>
  <c r="B11" i="22"/>
  <c r="I11" i="19"/>
  <c r="D12" i="22" l="1"/>
  <c r="D14" i="22"/>
  <c r="I12" i="19"/>
  <c r="I13" i="19" s="1"/>
  <c r="J11" i="19"/>
  <c r="C14" i="22"/>
  <c r="C15" i="22"/>
  <c r="C12" i="22"/>
  <c r="G13" i="19"/>
  <c r="B12" i="22"/>
  <c r="G14" i="22"/>
  <c r="I11" i="22"/>
  <c r="H14" i="22"/>
  <c r="E14" i="22"/>
  <c r="B14" i="22"/>
  <c r="F14" i="22"/>
  <c r="J8" i="22" l="1"/>
  <c r="J11" i="22"/>
  <c r="I12" i="22"/>
  <c r="D13" i="22" s="1"/>
  <c r="J10" i="22"/>
  <c r="J7" i="22"/>
  <c r="J9" i="22"/>
  <c r="B13" i="22" l="1"/>
  <c r="C13" i="22"/>
  <c r="E13" i="22"/>
  <c r="H13" i="22"/>
  <c r="G13" i="22"/>
  <c r="F13"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tc={EB713FFE-9DE1-4FA2-A597-8216AE113D0D}</author>
  </authors>
  <commentList>
    <comment ref="AX7" authorId="0" shapeId="0" xr:uid="{EB713FFE-9DE1-4FA2-A597-8216AE113D0D}">
      <text>
        <t>[Threaded comment]
Your version of Excel allows you to read this threaded comment; however, any edits to it will get removed if the file is opened in a newer version of Excel. Learn more: https://go.microsoft.com/fwlink/?linkid=870924
Comment:
    These are already accounted in food crops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tc={43A77C16-4465-4426-8E2E-5FA76CB0A81A}</author>
  </authors>
  <commentList>
    <comment ref="D126" authorId="0" shapeId="0" xr:uid="{43A77C16-4465-4426-8E2E-5FA76CB0A81A}">
      <text>
        <t>[Threaded comment]
Your version of Excel allows you to read this threaded comment; however, any edits to it will get removed if the file is opened in a newer version of Excel. Learn more: https://go.microsoft.com/fwlink/?linkid=870924
Comment:
    Below is an email from Mohamed Annabi who provided data on  the properties of Tunisian soils
Dear Yigezu
please find below the requested informations for tunisian conditions 
- Conversion factor from % humus to % of C (i.e., in Tunisia, 1% humus = X% of C) = 0.58
- What is the average topsoil layer (which is exposed to erosion) depth in Tunisia (cm)? = 10 cm
- Average bulk density in Tunisia (g/cm3) = 1.4
- Average erosion rate in Tunisia (ton/ha) = 5 t/ha
Regards 
Mohamed</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tc={EE26CB22-7733-4EC6-BB14-E01F9AD76C75}</author>
    <author>tc={0F807FA2-3C0A-4F46-9B39-656B2620CDB5}</author>
  </authors>
  <commentList>
    <comment ref="G28" authorId="0" shapeId="0" xr:uid="{EE26CB22-7733-4EC6-BB14-E01F9AD76C75}">
      <text>
        <t>[Threaded comment]
Your version of Excel allows you to read this threaded comment; however, any edits to it will get removed if the file is opened in a newer version of Excel. Learn more: https://go.microsoft.com/fwlink/?linkid=870924
Comment:
    Tanzila: if this is difficult, you can also ask the volume of biomas that can be harvested from 1 ha of forest with low, modest and sever deforestation respectively. Then, the diference between the intact and medium will represent what is removed from the modestly deforested area. The difference betwen the intact and the sever will give you the total biomass removed from the severely deforested areas.</t>
      </text>
    </comment>
    <comment ref="G58" authorId="1" shapeId="0" xr:uid="{0F807FA2-3C0A-4F46-9B39-656B2620CDB5}">
      <text>
        <t>[Threaded comment]
Your version of Excel allows you to read this threaded comment; however, any edits to it will get removed if the file is opened in a newer version of Excel. Learn more: https://go.microsoft.com/fwlink/?linkid=870924
Comment:
    Tanzila: if this is difficult, you can also ask the volume of biomas that can be harvested from 1 ha of forest with low, modest and sever deforestation respectively. Then, the diference between the intact and medium will represent what is removed from the modestly deforested area. The difference betwen the intact and the sever will give you the total biomass removed from the severely deforested areas.</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tc={3F1EC6D3-0B13-4A59-BDA1-A152CBACBBA6}</author>
  </authors>
  <commentList>
    <comment ref="G22" authorId="0" shapeId="0" xr:uid="{3F1EC6D3-0B13-4A59-BDA1-A152CBACBBA6}">
      <text>
        <t>[Threaded comment]
Your version of Excel allows you to read this threaded comment; however, any edits to it will get removed if the file is opened in a newer version of Excel. Learn more: https://go.microsoft.com/fwlink/?linkid=870924
Comment:
    Tanzila: if this is difficult, you can also ask the volume of biomas that can be harvested from 1 ha of forest with low, modest and sever deforestation respectively. Then, the diference between the intact and medium will represent what is removed from the modestly deforested area. The difference betwen the intact and the sever will give you the total biomass removed from the severely deforested areas.</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tc={7401AF44-B283-417B-8090-221DE2A4C63F}</author>
  </authors>
  <commentList>
    <comment ref="D14" authorId="0" shapeId="0" xr:uid="{7401AF44-B283-417B-8090-221DE2A4C63F}">
      <text>
        <t>[Threaded comment]
Your version of Excel allows you to read this threaded comment; however, any edits to it will get removed if the file is opened in a newer version of Excel. Learn more: https://go.microsoft.com/fwlink/?linkid=870924
Comment:
    Below is an email from Mohamed Annabi who provided data on  the properties of Tunisian soils
Dear Yigezu
please find below the requested informations for tunisian conditions 
- Conversion factor from % humus to % of C (i.e., in Tunisia, 1% humus = X% of C) = 0.58
- What is the average topsoil layer (which is exposed to erosion) depth in Tunisia (cm)? = 10 cm
- Average bulk density in Tunisia (g/cm3) = 1.4
- Average erosion rate in Tunisia (ton/ha) = 5 t/ha
Regards 
Mohamed</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G'aniyev Akmaljon Norboy o'g'li</author>
  </authors>
  <commentList>
    <comment ref="D6" authorId="0" shapeId="0" xr:uid="{ED48FD58-0B3C-4A95-831D-8730E79EEFE2}">
      <text>
        <r>
          <rPr>
            <b/>
            <sz val="9"/>
            <color indexed="81"/>
            <rFont val="Tahoma"/>
            <family val="2"/>
            <charset val="204"/>
          </rPr>
          <t>G'aniyev Akmaljon Norboy o'g'li:</t>
        </r>
        <r>
          <rPr>
            <sz val="9"/>
            <color indexed="81"/>
            <rFont val="Tahoma"/>
            <family val="2"/>
            <charset val="204"/>
          </rPr>
          <t xml:space="preserve">
as of 01/01/2021</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tc={DC78E5A7-478F-4960-90BF-72EE53AD0717}</author>
  </authors>
  <commentList>
    <comment ref="H8" authorId="0" shapeId="0" xr:uid="{DC78E5A7-478F-4960-90BF-72EE53AD0717}">
      <text>
        <t>[Threaded comment]
Your version of Excel allows you to read this threaded comment; however, any edits to it will get removed if the file is opened in a newer version of Excel. Learn more: https://go.microsoft.com/fwlink/?linkid=870924
Comment:
    Assuming that use and non-use values contribute 50% each. Out of the 50% use value, 30% and 20% are related to direct use and indirect use values, respectively.</t>
      </text>
    </comment>
  </commentList>
</comments>
</file>

<file path=xl/sharedStrings.xml><?xml version="1.0" encoding="utf-8"?>
<sst xmlns="http://schemas.openxmlformats.org/spreadsheetml/2006/main" count="6429" uniqueCount="1265">
  <si>
    <t>Category</t>
  </si>
  <si>
    <t>Crop</t>
  </si>
  <si>
    <t>Tunisian Dinar (TD) per kg</t>
  </si>
  <si>
    <t>Tunisian Dinar (TD) per ton</t>
  </si>
  <si>
    <t>US$ per ton</t>
  </si>
  <si>
    <t xml:space="preserve">exchange rate </t>
  </si>
  <si>
    <t>Sources</t>
  </si>
  <si>
    <t>Area</t>
  </si>
  <si>
    <t>Check</t>
  </si>
  <si>
    <t>1 US$=</t>
  </si>
  <si>
    <t>TD</t>
  </si>
  <si>
    <t>Food Crops</t>
  </si>
  <si>
    <t>wheat</t>
  </si>
  <si>
    <t>GDP of Tunisia (USD)</t>
  </si>
  <si>
    <t>Barley</t>
  </si>
  <si>
    <t>GDP of Tunisia (TD)</t>
  </si>
  <si>
    <t>corn</t>
  </si>
  <si>
    <t>Area-weighted Average price (Tunisian Dinar (TD)/ton)</t>
  </si>
  <si>
    <t>Rice</t>
  </si>
  <si>
    <t>Crop category</t>
  </si>
  <si>
    <t>Grain (Tunisian Dinar (TD)/ton)</t>
  </si>
  <si>
    <t>straw (Tunisian Dinar (TD)/ton)</t>
  </si>
  <si>
    <t>2010 price</t>
  </si>
  <si>
    <t>Rye</t>
  </si>
  <si>
    <t>Cereals</t>
  </si>
  <si>
    <t>Chickpea</t>
  </si>
  <si>
    <t>Legumes</t>
  </si>
  <si>
    <t>Common (Faba) bean</t>
  </si>
  <si>
    <t>Vegetables</t>
  </si>
  <si>
    <t>Pea</t>
  </si>
  <si>
    <t>Fruits</t>
  </si>
  <si>
    <t>Lentils</t>
  </si>
  <si>
    <t>Cultivated annual forage crops</t>
  </si>
  <si>
    <t>Safflower</t>
  </si>
  <si>
    <t>Cultivated perrenial forage crops</t>
  </si>
  <si>
    <t>Sunflower</t>
  </si>
  <si>
    <t>Pastoralist areas</t>
  </si>
  <si>
    <t>Rapeseed</t>
  </si>
  <si>
    <t>Prairies</t>
  </si>
  <si>
    <t>Ground nut</t>
  </si>
  <si>
    <t>Agrosylvo pastoral</t>
  </si>
  <si>
    <t>Seseme</t>
  </si>
  <si>
    <t>Forest areas</t>
  </si>
  <si>
    <t>Cotton</t>
  </si>
  <si>
    <t>Artichok</t>
  </si>
  <si>
    <t>Potato</t>
  </si>
  <si>
    <t>Average price (US$/ton)</t>
  </si>
  <si>
    <t>Tomato</t>
  </si>
  <si>
    <t>Grain (US$/ton)</t>
  </si>
  <si>
    <t>straw (US$/ton)</t>
  </si>
  <si>
    <t xml:space="preserve">Cucumber </t>
  </si>
  <si>
    <t>Onion</t>
  </si>
  <si>
    <t xml:space="preserve">Carrot </t>
  </si>
  <si>
    <t xml:space="preserve">Apple </t>
  </si>
  <si>
    <t>Grape</t>
  </si>
  <si>
    <t>Apricot</t>
  </si>
  <si>
    <t>Pear</t>
  </si>
  <si>
    <t>Orange</t>
  </si>
  <si>
    <t>Almonds (wet)</t>
  </si>
  <si>
    <t>Grenade (pomegranate)</t>
  </si>
  <si>
    <t>Dates</t>
  </si>
  <si>
    <t>Peach</t>
  </si>
  <si>
    <t>Cherries</t>
  </si>
  <si>
    <t>Olive</t>
  </si>
  <si>
    <t>Melon</t>
  </si>
  <si>
    <t>Cultivated perennial feed</t>
  </si>
  <si>
    <t>alfalfa</t>
  </si>
  <si>
    <t>Cultivated animal feed</t>
  </si>
  <si>
    <t>Barley straw</t>
  </si>
  <si>
    <t>Wheat straw</t>
  </si>
  <si>
    <t>faba-bean straw</t>
  </si>
  <si>
    <t>Chickpea straw</t>
  </si>
  <si>
    <t>Oat hay</t>
  </si>
  <si>
    <t>Lentil straw</t>
  </si>
  <si>
    <t>Corn stock</t>
  </si>
  <si>
    <t>Non-cultivated forage</t>
  </si>
  <si>
    <t>Hay (from permanent pastures and meadows)</t>
  </si>
  <si>
    <t>Shrubs</t>
  </si>
  <si>
    <t>Cactus</t>
  </si>
  <si>
    <t>XXXX</t>
  </si>
  <si>
    <t>Forest</t>
  </si>
  <si>
    <t>Wood</t>
  </si>
  <si>
    <t>Sources:</t>
  </si>
  <si>
    <t>1 ton of wood = 1.33 cubic meters</t>
  </si>
  <si>
    <t>Crop group</t>
  </si>
  <si>
    <t>Area (ha)</t>
  </si>
  <si>
    <t>Harvest Index (proportion of grain yield out of the total plant weight)</t>
  </si>
  <si>
    <t>Proportion of residue or stalk yield out of the total plant weight</t>
  </si>
  <si>
    <t>Conversion factor from grain yield to residue or stalk yield</t>
  </si>
  <si>
    <t>Area weighted average conversion factor</t>
  </si>
  <si>
    <t>Wheat</t>
  </si>
  <si>
    <t>Corn</t>
  </si>
  <si>
    <t>Faba-bean</t>
  </si>
  <si>
    <t>Lentil</t>
  </si>
  <si>
    <t>Chickpeas</t>
  </si>
  <si>
    <t>Average forest biomass in Tunisia (ton/ha) =</t>
  </si>
  <si>
    <t xml:space="preserve">Source: </t>
  </si>
  <si>
    <t xml:space="preserve">https://ourworldindata.org/grapher/above-ground-biomass-in-forest-per-hectare </t>
  </si>
  <si>
    <t>Area and production figures are for 2020</t>
  </si>
  <si>
    <t xml:space="preserve">Annual allowable cuts </t>
  </si>
  <si>
    <t>No.</t>
  </si>
  <si>
    <t>Province</t>
  </si>
  <si>
    <t>Population</t>
  </si>
  <si>
    <t>Total area (ha)</t>
  </si>
  <si>
    <r>
      <t xml:space="preserve">Total production (tons)
</t>
    </r>
    <r>
      <rPr>
        <b/>
        <sz val="11"/>
        <color rgb="FFFF0000"/>
        <rFont val="Calibri"/>
        <family val="2"/>
        <scheme val="minor"/>
      </rPr>
      <t>Note: these figures are total biomass production and also a total of prodution in multiple seasons. Therefore, they cannot be used for yield calculation</t>
    </r>
  </si>
  <si>
    <t>Percentage of area that is irrigated</t>
  </si>
  <si>
    <r>
      <t xml:space="preserve">Percentage of </t>
    </r>
    <r>
      <rPr>
        <b/>
        <sz val="11"/>
        <color rgb="FFFF0000"/>
        <rFont val="Calibri"/>
        <family val="2"/>
        <scheme val="minor"/>
      </rPr>
      <t>cereal</t>
    </r>
    <r>
      <rPr>
        <b/>
        <sz val="11"/>
        <color theme="1"/>
        <rFont val="Calibri"/>
        <family val="2"/>
        <scheme val="minor"/>
      </rPr>
      <t xml:space="preserve"> area by degree of land degradation ( low degradation, medium degradation, severe degradation)</t>
    </r>
  </si>
  <si>
    <r>
      <t xml:space="preserve">Percentage of </t>
    </r>
    <r>
      <rPr>
        <b/>
        <sz val="11"/>
        <color rgb="FFFF0000"/>
        <rFont val="Calibri"/>
        <family val="2"/>
        <scheme val="minor"/>
      </rPr>
      <t>legume</t>
    </r>
    <r>
      <rPr>
        <b/>
        <sz val="11"/>
        <color theme="1"/>
        <rFont val="Calibri"/>
        <family val="2"/>
        <scheme val="minor"/>
      </rPr>
      <t xml:space="preserve"> area by degree of land degradation ( low, medium, and severe degradation)</t>
    </r>
  </si>
  <si>
    <r>
      <t xml:space="preserve">Percentage of </t>
    </r>
    <r>
      <rPr>
        <b/>
        <sz val="11"/>
        <color rgb="FFFF0000"/>
        <rFont val="Calibri"/>
        <family val="2"/>
        <scheme val="minor"/>
      </rPr>
      <t>vegetable</t>
    </r>
    <r>
      <rPr>
        <b/>
        <sz val="11"/>
        <color theme="1"/>
        <rFont val="Calibri"/>
        <family val="2"/>
        <scheme val="minor"/>
      </rPr>
      <t xml:space="preserve"> area by degree of land degradation ( low, medium, and severe degradation)</t>
    </r>
  </si>
  <si>
    <r>
      <t xml:space="preserve">Percentage of </t>
    </r>
    <r>
      <rPr>
        <b/>
        <sz val="11"/>
        <color rgb="FFFF0000"/>
        <rFont val="Calibri"/>
        <family val="2"/>
        <scheme val="minor"/>
      </rPr>
      <t>fruit</t>
    </r>
    <r>
      <rPr>
        <b/>
        <sz val="11"/>
        <color theme="1"/>
        <rFont val="Calibri"/>
        <family val="2"/>
        <scheme val="minor"/>
      </rPr>
      <t xml:space="preserve"> area by degree of land degradation ( low, medium, and severe degradation)</t>
    </r>
  </si>
  <si>
    <r>
      <t xml:space="preserve">Percentage of area under </t>
    </r>
    <r>
      <rPr>
        <b/>
        <sz val="11"/>
        <color rgb="FFFF0000"/>
        <rFont val="Calibri"/>
        <family val="2"/>
        <scheme val="minor"/>
      </rPr>
      <t xml:space="preserve">cultivated forages </t>
    </r>
    <r>
      <rPr>
        <b/>
        <sz val="11"/>
        <color theme="1"/>
        <rFont val="Calibri"/>
        <family val="2"/>
        <scheme val="minor"/>
      </rPr>
      <t>by degree of land degradation ( low, medium, and severe degradation)</t>
    </r>
  </si>
  <si>
    <r>
      <t xml:space="preserve">Percentage of area under </t>
    </r>
    <r>
      <rPr>
        <b/>
        <sz val="11"/>
        <color rgb="FFFF0000"/>
        <rFont val="Calibri"/>
        <family val="2"/>
        <scheme val="minor"/>
      </rPr>
      <t xml:space="preserve">alfa-alfa </t>
    </r>
    <r>
      <rPr>
        <b/>
        <sz val="11"/>
        <color theme="1"/>
        <rFont val="Calibri"/>
        <family val="2"/>
        <scheme val="minor"/>
      </rPr>
      <t>by degree of land degradation ( low, medium, and severe degradation)</t>
    </r>
  </si>
  <si>
    <r>
      <t xml:space="preserve">Percentage of </t>
    </r>
    <r>
      <rPr>
        <b/>
        <sz val="11"/>
        <color rgb="FFFF0000"/>
        <rFont val="Calibri"/>
        <family val="2"/>
        <scheme val="minor"/>
      </rPr>
      <t xml:space="preserve">pastoral areas </t>
    </r>
    <r>
      <rPr>
        <b/>
        <sz val="11"/>
        <color theme="1"/>
        <rFont val="Calibri"/>
        <family val="2"/>
        <scheme val="minor"/>
      </rPr>
      <t>by degree of land degradation ( low, medium, and severe degradation)</t>
    </r>
  </si>
  <si>
    <r>
      <t xml:space="preserve">Percentage of </t>
    </r>
    <r>
      <rPr>
        <b/>
        <sz val="11"/>
        <color rgb="FFFF0000"/>
        <rFont val="Calibri"/>
        <family val="2"/>
        <scheme val="minor"/>
      </rPr>
      <t xml:space="preserve">prairies </t>
    </r>
    <r>
      <rPr>
        <b/>
        <sz val="11"/>
        <color theme="1"/>
        <rFont val="Calibri"/>
        <family val="2"/>
        <scheme val="minor"/>
      </rPr>
      <t>by degree of land degradation ( low, medium, and severe degradation)</t>
    </r>
  </si>
  <si>
    <r>
      <t xml:space="preserve">Percentage of </t>
    </r>
    <r>
      <rPr>
        <b/>
        <sz val="11"/>
        <color rgb="FFFF0000"/>
        <rFont val="Calibri"/>
        <family val="2"/>
        <scheme val="minor"/>
      </rPr>
      <t xml:space="preserve">agro sylvo pastoral areas </t>
    </r>
    <r>
      <rPr>
        <b/>
        <sz val="11"/>
        <color theme="1"/>
        <rFont val="Calibri"/>
        <family val="2"/>
        <scheme val="minor"/>
      </rPr>
      <t>by degree of land degradation ( low, medium, and severe degradation)</t>
    </r>
  </si>
  <si>
    <r>
      <t xml:space="preserve">Percentage of area under </t>
    </r>
    <r>
      <rPr>
        <b/>
        <sz val="11"/>
        <color rgb="FFFF0000"/>
        <rFont val="Calibri"/>
        <family val="2"/>
        <scheme val="minor"/>
      </rPr>
      <t xml:space="preserve">forests and shrubs </t>
    </r>
    <r>
      <rPr>
        <b/>
        <sz val="11"/>
        <color theme="1"/>
        <rFont val="Calibri"/>
        <family val="2"/>
        <scheme val="minor"/>
      </rPr>
      <t>by degree of land degradation ( low, medium, and severe degradation)</t>
    </r>
  </si>
  <si>
    <r>
      <rPr>
        <b/>
        <sz val="11"/>
        <color rgb="FFFF0000"/>
        <rFont val="Calibri"/>
        <family val="2"/>
        <scheme val="minor"/>
      </rPr>
      <t>Total crop area</t>
    </r>
    <r>
      <rPr>
        <b/>
        <sz val="11"/>
        <color theme="1"/>
        <rFont val="Calibri"/>
        <family val="2"/>
        <scheme val="minor"/>
      </rPr>
      <t xml:space="preserve"> by degree of land degradation ( low, medium, and severe degradation)</t>
    </r>
  </si>
  <si>
    <r>
      <t>Total</t>
    </r>
    <r>
      <rPr>
        <b/>
        <sz val="11"/>
        <color rgb="FFFF0000"/>
        <rFont val="Calibri"/>
        <family val="2"/>
        <scheme val="minor"/>
      </rPr>
      <t xml:space="preserve"> national land area</t>
    </r>
    <r>
      <rPr>
        <b/>
        <sz val="11"/>
        <color theme="1"/>
        <rFont val="Calibri"/>
        <family val="2"/>
        <scheme val="minor"/>
      </rPr>
      <t xml:space="preserve"> by degree of land degradation ( low, medium, and severe degradation)</t>
    </r>
  </si>
  <si>
    <t>Urban</t>
  </si>
  <si>
    <t>Rural</t>
  </si>
  <si>
    <t>Total</t>
  </si>
  <si>
    <t>Cultivated annual forages</t>
  </si>
  <si>
    <t>Alfalpha</t>
  </si>
  <si>
    <t>Pastoral areas</t>
  </si>
  <si>
    <t>Sylvo pastoral areas</t>
  </si>
  <si>
    <t>Forests and shrubs</t>
  </si>
  <si>
    <t>All other types of lands</t>
  </si>
  <si>
    <t>Total crop land</t>
  </si>
  <si>
    <t>Total rangeland</t>
  </si>
  <si>
    <t>Forest Areas</t>
  </si>
  <si>
    <t>Total land area</t>
  </si>
  <si>
    <t>Alfalafa</t>
  </si>
  <si>
    <t>Total crops</t>
  </si>
  <si>
    <t>Total biomass</t>
  </si>
  <si>
    <t>Total agricultural land</t>
  </si>
  <si>
    <t>Total land</t>
  </si>
  <si>
    <t>Low</t>
  </si>
  <si>
    <t>Modest</t>
  </si>
  <si>
    <t>Severe</t>
  </si>
  <si>
    <t>Tunis</t>
  </si>
  <si>
    <t>Ariana</t>
  </si>
  <si>
    <t>La Manouba</t>
  </si>
  <si>
    <t>Ben Arous</t>
  </si>
  <si>
    <t>Nabeul</t>
  </si>
  <si>
    <t>Bizerte</t>
  </si>
  <si>
    <t>Zaghouan</t>
  </si>
  <si>
    <t>Béja</t>
  </si>
  <si>
    <t>Jendouba</t>
  </si>
  <si>
    <t>Le Kef</t>
  </si>
  <si>
    <t>Siliana</t>
  </si>
  <si>
    <t>Sousse</t>
  </si>
  <si>
    <t>Monastir</t>
  </si>
  <si>
    <t>Mahdia</t>
  </si>
  <si>
    <t>Sfax</t>
  </si>
  <si>
    <t>Kairouan</t>
  </si>
  <si>
    <t>Kasserine</t>
  </si>
  <si>
    <t>Sidi Bouzid</t>
  </si>
  <si>
    <t>Gafsa</t>
  </si>
  <si>
    <t>Gabès</t>
  </si>
  <si>
    <t>Médenine</t>
  </si>
  <si>
    <t>Tataouine</t>
  </si>
  <si>
    <t>Tozeur</t>
  </si>
  <si>
    <t>Kébili</t>
  </si>
  <si>
    <t>Total Tunisia</t>
  </si>
  <si>
    <t>% of total</t>
  </si>
  <si>
    <t>Total forest stock (tons)=</t>
  </si>
  <si>
    <t>Average yield (ton/ha)</t>
  </si>
  <si>
    <t>Total forest and shrub harvest in forest, prairies, and agrosylvopastoral (tons)</t>
  </si>
  <si>
    <t>Vegetable production</t>
  </si>
  <si>
    <t>Total area of Tunisia from official statistics =</t>
  </si>
  <si>
    <t>Annual harvest rate (%)=</t>
  </si>
  <si>
    <t>Early season</t>
  </si>
  <si>
    <t>Discripancy =</t>
  </si>
  <si>
    <t>In season</t>
  </si>
  <si>
    <t>Late season</t>
  </si>
  <si>
    <t>Double counted area=</t>
  </si>
  <si>
    <t>Average crop yield</t>
  </si>
  <si>
    <t>Average yield (all lands)</t>
  </si>
  <si>
    <t>Total production in one season</t>
  </si>
  <si>
    <t>Total Crop production</t>
  </si>
  <si>
    <t>Total biomass production</t>
  </si>
  <si>
    <t>Total value (US$)</t>
  </si>
  <si>
    <t>Average value of production (US$/ha)</t>
  </si>
  <si>
    <t>Total value of production (US$)</t>
  </si>
  <si>
    <t>Crops</t>
  </si>
  <si>
    <t>Forests &amp; Shrubs</t>
  </si>
  <si>
    <t>All rangelands</t>
  </si>
  <si>
    <t>Rank</t>
  </si>
  <si>
    <t>Total value as % of GDP</t>
  </si>
  <si>
    <t>Grain to biomass multiplier</t>
  </si>
  <si>
    <t>Share of agriculture in GDP (2021)=</t>
  </si>
  <si>
    <t>Total crop area</t>
  </si>
  <si>
    <t>Share in total (%)</t>
  </si>
  <si>
    <r>
      <t xml:space="preserve">Average difference in yield </t>
    </r>
    <r>
      <rPr>
        <b/>
        <sz val="11"/>
        <color rgb="FFFF0000"/>
        <rFont val="Calibri"/>
        <family val="2"/>
        <scheme val="minor"/>
      </rPr>
      <t>(%)</t>
    </r>
    <r>
      <rPr>
        <b/>
        <sz val="11"/>
        <color theme="1"/>
        <rFont val="Calibri"/>
        <family val="2"/>
        <scheme val="minor"/>
      </rPr>
      <t xml:space="preserve"> under current production technologies and inputs</t>
    </r>
  </si>
  <si>
    <t>Governorate</t>
  </si>
  <si>
    <t>Cultivated perrennial forages</t>
  </si>
  <si>
    <t>Rangelands</t>
  </si>
  <si>
    <t>between slightly and moderately degradaded lands</t>
  </si>
  <si>
    <t>between moderately and severely  degradaded lands</t>
  </si>
  <si>
    <t>slight vs moderate</t>
  </si>
  <si>
    <t>Moderate vs. severe</t>
  </si>
  <si>
    <t>Estimation of the total amount of soil eroded from lands covered by different biomes</t>
  </si>
  <si>
    <t>Land area under each biome (ha)</t>
  </si>
  <si>
    <t>Forests</t>
  </si>
  <si>
    <t>Definition: Land degradation levels (low, medium, and high) are established as follows</t>
  </si>
  <si>
    <t xml:space="preserve"> </t>
  </si>
  <si>
    <r>
      <t xml:space="preserve">Percentage of land area under each biome that has experienced </t>
    </r>
    <r>
      <rPr>
        <b/>
        <sz val="11"/>
        <color rgb="FFFF0000"/>
        <rFont val="Calibri"/>
        <family val="2"/>
        <scheme val="minor"/>
      </rPr>
      <t>low</t>
    </r>
    <r>
      <rPr>
        <b/>
        <sz val="11"/>
        <color theme="1"/>
        <rFont val="Calibri"/>
        <family val="2"/>
        <scheme val="minor"/>
      </rPr>
      <t xml:space="preserve"> land degradation</t>
    </r>
  </si>
  <si>
    <r>
      <t xml:space="preserve">Percentage of land area under each biome that has experienced </t>
    </r>
    <r>
      <rPr>
        <b/>
        <sz val="11"/>
        <color rgb="FFFF0000"/>
        <rFont val="Calibri"/>
        <family val="2"/>
        <scheme val="minor"/>
      </rPr>
      <t>moderate</t>
    </r>
    <r>
      <rPr>
        <b/>
        <sz val="11"/>
        <color theme="1"/>
        <rFont val="Calibri"/>
        <family val="2"/>
        <scheme val="minor"/>
      </rPr>
      <t xml:space="preserve"> land degradation</t>
    </r>
  </si>
  <si>
    <r>
      <t xml:space="preserve">Percentage of land area under each biome that has experienced </t>
    </r>
    <r>
      <rPr>
        <b/>
        <sz val="11"/>
        <color rgb="FFFF0000"/>
        <rFont val="Calibri"/>
        <family val="2"/>
        <scheme val="minor"/>
      </rPr>
      <t>severe</t>
    </r>
    <r>
      <rPr>
        <b/>
        <sz val="11"/>
        <color theme="1"/>
        <rFont val="Calibri"/>
        <family val="2"/>
        <scheme val="minor"/>
      </rPr>
      <t xml:space="preserve"> land degradation</t>
    </r>
  </si>
  <si>
    <t>Check (the percentage shares of land areas under each biome with low, moderate, and severe land degradation must add up to 100%)</t>
  </si>
  <si>
    <t>cultivated forages</t>
  </si>
  <si>
    <t>pastoral areas</t>
  </si>
  <si>
    <t>Agrosylvo pastoral areas</t>
  </si>
  <si>
    <t>Average</t>
  </si>
  <si>
    <r>
      <t xml:space="preserve">Soil ersosion (ton/ha) under </t>
    </r>
    <r>
      <rPr>
        <b/>
        <sz val="11"/>
        <color rgb="FFFF0000"/>
        <rFont val="Calibri"/>
        <family val="2"/>
        <scheme val="minor"/>
      </rPr>
      <t>low</t>
    </r>
    <r>
      <rPr>
        <b/>
        <sz val="11"/>
        <color theme="1"/>
        <rFont val="Calibri"/>
        <family val="2"/>
        <scheme val="minor"/>
      </rPr>
      <t xml:space="preserve"> land degradation scenario</t>
    </r>
  </si>
  <si>
    <r>
      <t xml:space="preserve">Soil ersosion (ton/ha) under </t>
    </r>
    <r>
      <rPr>
        <b/>
        <sz val="11"/>
        <color rgb="FFFF0000"/>
        <rFont val="Calibri"/>
        <family val="2"/>
        <scheme val="minor"/>
      </rPr>
      <t>moderate</t>
    </r>
    <r>
      <rPr>
        <b/>
        <sz val="11"/>
        <color theme="1"/>
        <rFont val="Calibri"/>
        <family val="2"/>
        <scheme val="minor"/>
      </rPr>
      <t xml:space="preserve"> land degradation scenario</t>
    </r>
  </si>
  <si>
    <r>
      <t xml:space="preserve">Soil ersosion (ton/ha) under </t>
    </r>
    <r>
      <rPr>
        <b/>
        <sz val="11"/>
        <color rgb="FFFF0000"/>
        <rFont val="Calibri"/>
        <family val="2"/>
        <scheme val="minor"/>
      </rPr>
      <t>severe</t>
    </r>
    <r>
      <rPr>
        <b/>
        <sz val="11"/>
        <color theme="1"/>
        <rFont val="Calibri"/>
        <family val="2"/>
        <scheme val="minor"/>
      </rPr>
      <t xml:space="preserve"> land degradation scenario</t>
    </r>
  </si>
  <si>
    <t>Average soil ersosion (ton/ha)</t>
  </si>
  <si>
    <r>
      <t xml:space="preserve">Total amount of soil eroded (tons) under </t>
    </r>
    <r>
      <rPr>
        <b/>
        <sz val="11"/>
        <color rgb="FFFF0000"/>
        <rFont val="Calibri"/>
        <family val="2"/>
        <scheme val="minor"/>
      </rPr>
      <t>low</t>
    </r>
    <r>
      <rPr>
        <b/>
        <sz val="11"/>
        <color theme="1"/>
        <rFont val="Calibri"/>
        <family val="2"/>
        <scheme val="minor"/>
      </rPr>
      <t xml:space="preserve"> land degradation scenario</t>
    </r>
  </si>
  <si>
    <r>
      <t xml:space="preserve">Total amount of soil eroded (tons) under </t>
    </r>
    <r>
      <rPr>
        <b/>
        <sz val="11"/>
        <color rgb="FFFF0000"/>
        <rFont val="Calibri"/>
        <family val="2"/>
        <scheme val="minor"/>
      </rPr>
      <t>moderate</t>
    </r>
    <r>
      <rPr>
        <b/>
        <sz val="11"/>
        <color theme="1"/>
        <rFont val="Calibri"/>
        <family val="2"/>
        <scheme val="minor"/>
      </rPr>
      <t xml:space="preserve"> land degradation scenario</t>
    </r>
  </si>
  <si>
    <r>
      <t xml:space="preserve">Total amount of soil eroded (tons) under </t>
    </r>
    <r>
      <rPr>
        <b/>
        <sz val="11"/>
        <color rgb="FFFF0000"/>
        <rFont val="Calibri"/>
        <family val="2"/>
        <scheme val="minor"/>
      </rPr>
      <t>severe</t>
    </r>
    <r>
      <rPr>
        <b/>
        <sz val="11"/>
        <color theme="1"/>
        <rFont val="Calibri"/>
        <family val="2"/>
        <scheme val="minor"/>
      </rPr>
      <t xml:space="preserve"> land degradation scenario</t>
    </r>
  </si>
  <si>
    <t>Total amount of soil eroded (tons)</t>
  </si>
  <si>
    <t xml:space="preserve">Soil organic carbon: https://en.wikipedia.org/wiki/Soil_carbon#:~:text=Topsoil%20ranges%20from%200.5%25%20to,generally%20classified%20as%20organic%20soils. </t>
  </si>
  <si>
    <r>
      <t>Soil organic carbon tends to be concentrated in the topsoil. </t>
    </r>
    <r>
      <rPr>
        <sz val="10.5"/>
        <color rgb="FFFF0000"/>
        <rFont val="Arial"/>
        <family val="2"/>
      </rPr>
      <t xml:space="preserve">Topsoil ranges from </t>
    </r>
    <r>
      <rPr>
        <b/>
        <sz val="10.5"/>
        <color rgb="FFFF0000"/>
        <rFont val="Arial"/>
        <family val="2"/>
      </rPr>
      <t>0.5% to 3.0%</t>
    </r>
    <r>
      <rPr>
        <sz val="10.5"/>
        <color rgb="FFFF0000"/>
        <rFont val="Arial"/>
        <family val="2"/>
      </rPr>
      <t xml:space="preserve"> organic carbon for most upland soils</t>
    </r>
    <r>
      <rPr>
        <sz val="10.5"/>
        <color rgb="FF202122"/>
        <rFont val="Arial"/>
        <family val="2"/>
      </rPr>
      <t>. Soils with less than 0.5% organic C are mostly limited to </t>
    </r>
    <r>
      <rPr>
        <sz val="10.5"/>
        <color rgb="FF0645AD"/>
        <rFont val="Arial"/>
        <family val="2"/>
      </rPr>
      <t>desert</t>
    </r>
    <r>
      <rPr>
        <sz val="10.5"/>
        <color rgb="FF202122"/>
        <rFont val="Arial"/>
        <family val="2"/>
      </rPr>
      <t> areas. Soils containing greater than 12 - 18% organic carbon are generally classified as </t>
    </r>
    <r>
      <rPr>
        <sz val="10.5"/>
        <color rgb="FF0645AD"/>
        <rFont val="Arial"/>
        <family val="2"/>
      </rPr>
      <t>organic soils</t>
    </r>
    <r>
      <rPr>
        <sz val="10.5"/>
        <color rgb="FF202122"/>
        <rFont val="Arial"/>
        <family val="2"/>
      </rPr>
      <t>. High levels of organic C </t>
    </r>
    <r>
      <rPr>
        <sz val="10.5"/>
        <color rgb="FF0645AD"/>
        <rFont val="Arial"/>
        <family val="2"/>
      </rPr>
      <t>develop in soils</t>
    </r>
    <r>
      <rPr>
        <sz val="10.5"/>
        <color rgb="FF202122"/>
        <rFont val="Arial"/>
        <family val="2"/>
      </rPr>
      <t> supporting </t>
    </r>
    <r>
      <rPr>
        <sz val="10.5"/>
        <color rgb="FF0645AD"/>
        <rFont val="Arial"/>
        <family val="2"/>
      </rPr>
      <t>wetland ecology</t>
    </r>
    <r>
      <rPr>
        <sz val="10.5"/>
        <color rgb="FF202122"/>
        <rFont val="Arial"/>
        <family val="2"/>
      </rPr>
      <t>, </t>
    </r>
    <r>
      <rPr>
        <sz val="10.5"/>
        <color rgb="FF0645AD"/>
        <rFont val="Arial"/>
        <family val="2"/>
      </rPr>
      <t>flood deposition</t>
    </r>
    <r>
      <rPr>
        <sz val="10.5"/>
        <color rgb="FF202122"/>
        <rFont val="Arial"/>
        <family val="2"/>
      </rPr>
      <t>, </t>
    </r>
    <r>
      <rPr>
        <sz val="10.5"/>
        <color rgb="FF0645AD"/>
        <rFont val="Arial"/>
        <family val="2"/>
      </rPr>
      <t>fire ecology</t>
    </r>
    <r>
      <rPr>
        <sz val="10.5"/>
        <color rgb="FF202122"/>
        <rFont val="Arial"/>
        <family val="2"/>
      </rPr>
      <t>, and </t>
    </r>
    <r>
      <rPr>
        <sz val="10.5"/>
        <color rgb="FF0645AD"/>
        <rFont val="Arial"/>
        <family val="2"/>
      </rPr>
      <t>human activity</t>
    </r>
    <r>
      <rPr>
        <sz val="10.5"/>
        <color rgb="FF202122"/>
        <rFont val="Arial"/>
        <family val="2"/>
      </rPr>
      <t>.</t>
    </r>
  </si>
  <si>
    <t>How to accurately measure the organic carbon content of soil</t>
  </si>
  <si>
    <t xml:space="preserve">https://www.fwi.co.uk/arable/land-preparation/soils/how-to-accurately-measure-the-organic-carbon-content-of-soil </t>
  </si>
  <si>
    <r>
      <t>Soil bulk density is measured by </t>
    </r>
    <r>
      <rPr>
        <b/>
        <sz val="10.5"/>
        <color rgb="FF202124"/>
        <rFont val="Arial"/>
        <family val="2"/>
      </rPr>
      <t>taking a known volume of soil, drying it in an oven at 105C, and dividing the dry weight by the bulk volume at field moisture</t>
    </r>
    <r>
      <rPr>
        <sz val="10.5"/>
        <color rgb="FF202124"/>
        <rFont val="Arial"/>
        <family val="2"/>
      </rPr>
      <t xml:space="preserve">, explains Dr Morgan. “You then </t>
    </r>
    <r>
      <rPr>
        <sz val="10.5"/>
        <color rgb="FFFF0000"/>
        <rFont val="Arial"/>
        <family val="2"/>
      </rPr>
      <t xml:space="preserve">simply </t>
    </r>
    <r>
      <rPr>
        <b/>
        <sz val="10.5"/>
        <color rgb="FFFF0000"/>
        <rFont val="Arial"/>
        <family val="2"/>
      </rPr>
      <t>multiply the bulk density</t>
    </r>
    <r>
      <rPr>
        <sz val="10.5"/>
        <color rgb="FFFF0000"/>
        <rFont val="Arial"/>
        <family val="2"/>
      </rPr>
      <t xml:space="preserve"> </t>
    </r>
    <r>
      <rPr>
        <b/>
        <sz val="10.5"/>
        <color rgb="FFFF0000"/>
        <rFont val="Arial"/>
        <family val="2"/>
      </rPr>
      <t>by the carbon concentration to get to your carbon stocks</t>
    </r>
    <r>
      <rPr>
        <sz val="10.5"/>
        <color rgb="FF202124"/>
        <rFont val="Arial"/>
        <family val="2"/>
      </rPr>
      <t>.”</t>
    </r>
  </si>
  <si>
    <r>
      <t xml:space="preserve">Average soil ersosion (ton/ha/year) under </t>
    </r>
    <r>
      <rPr>
        <sz val="11"/>
        <color rgb="FFFF0000"/>
        <rFont val="Calibri"/>
        <family val="2"/>
        <scheme val="minor"/>
      </rPr>
      <t>low</t>
    </r>
    <r>
      <rPr>
        <sz val="11"/>
        <color theme="1"/>
        <rFont val="Calibri"/>
        <family val="2"/>
        <scheme val="minor"/>
      </rPr>
      <t xml:space="preserve"> land degradation scenario</t>
    </r>
  </si>
  <si>
    <r>
      <t xml:space="preserve">Average soil ersosion (ton/ha/year) under </t>
    </r>
    <r>
      <rPr>
        <sz val="11"/>
        <color rgb="FFFF0000"/>
        <rFont val="Calibri"/>
        <family val="2"/>
        <scheme val="minor"/>
      </rPr>
      <t>moderate</t>
    </r>
    <r>
      <rPr>
        <sz val="11"/>
        <color theme="1"/>
        <rFont val="Calibri"/>
        <family val="2"/>
        <scheme val="minor"/>
      </rPr>
      <t xml:space="preserve"> land degradation scenario</t>
    </r>
  </si>
  <si>
    <r>
      <t xml:space="preserve">Average soil ersosion (ton/ha/year) under </t>
    </r>
    <r>
      <rPr>
        <sz val="11"/>
        <color rgb="FFFF0000"/>
        <rFont val="Calibri"/>
        <family val="2"/>
        <scheme val="minor"/>
      </rPr>
      <t>severe</t>
    </r>
    <r>
      <rPr>
        <sz val="11"/>
        <color theme="1"/>
        <rFont val="Calibri"/>
        <family val="2"/>
        <scheme val="minor"/>
      </rPr>
      <t xml:space="preserve"> land degradation scenario</t>
    </r>
  </si>
  <si>
    <t>Average soil ersosion (ton/ha/year) in Tunisia</t>
  </si>
  <si>
    <t>Average for all crops</t>
  </si>
  <si>
    <t>Average for all biomes</t>
  </si>
  <si>
    <t>Mean Tunisia</t>
  </si>
  <si>
    <t>low</t>
  </si>
  <si>
    <t>moderate</t>
  </si>
  <si>
    <t>severe</t>
  </si>
  <si>
    <t>Degradation level</t>
  </si>
  <si>
    <t>high</t>
  </si>
  <si>
    <t>Weight of soil  (ton/ha)</t>
  </si>
  <si>
    <r>
      <t xml:space="preserve">Average soil ersosion rate (%) under </t>
    </r>
    <r>
      <rPr>
        <sz val="11"/>
        <color rgb="FFFF0000"/>
        <rFont val="Calibri"/>
        <family val="2"/>
        <scheme val="minor"/>
      </rPr>
      <t>low</t>
    </r>
    <r>
      <rPr>
        <sz val="11"/>
        <color theme="1"/>
        <rFont val="Calibri"/>
        <family val="2"/>
        <scheme val="minor"/>
      </rPr>
      <t xml:space="preserve"> land degradation scenario</t>
    </r>
  </si>
  <si>
    <r>
      <t xml:space="preserve">Average soil ersosion rate (%) under </t>
    </r>
    <r>
      <rPr>
        <sz val="11"/>
        <color rgb="FFFF0000"/>
        <rFont val="Calibri"/>
        <family val="2"/>
        <scheme val="minor"/>
      </rPr>
      <t>moderate</t>
    </r>
    <r>
      <rPr>
        <sz val="11"/>
        <color theme="1"/>
        <rFont val="Calibri"/>
        <family val="2"/>
        <scheme val="minor"/>
      </rPr>
      <t xml:space="preserve"> land degradation scenario</t>
    </r>
  </si>
  <si>
    <r>
      <t xml:space="preserve">Average soil ersosion rate (%) under </t>
    </r>
    <r>
      <rPr>
        <sz val="11"/>
        <color rgb="FFFF0000"/>
        <rFont val="Calibri"/>
        <family val="2"/>
        <scheme val="minor"/>
      </rPr>
      <t>severe</t>
    </r>
    <r>
      <rPr>
        <sz val="11"/>
        <color theme="1"/>
        <rFont val="Calibri"/>
        <family val="2"/>
        <scheme val="minor"/>
      </rPr>
      <t xml:space="preserve"> land degradation scenario</t>
    </r>
  </si>
  <si>
    <t>Average soil ersosion rate (%) in Tunisia</t>
  </si>
  <si>
    <t>Area of abandoned area (ha)</t>
  </si>
  <si>
    <t>LD class of abandoned lands (%)</t>
  </si>
  <si>
    <t>Soil erosion rate (ton/ha)</t>
  </si>
  <si>
    <t>Total soil eroded (tons)</t>
  </si>
  <si>
    <t>Moderte</t>
  </si>
  <si>
    <t>Percent carbon content of soils by degradation class for 2021</t>
  </si>
  <si>
    <r>
      <t xml:space="preserve">Percent carbon content of soils in lands classified as </t>
    </r>
    <r>
      <rPr>
        <b/>
        <sz val="11"/>
        <color rgb="FF00B050"/>
        <rFont val="Calibri"/>
        <family val="2"/>
        <scheme val="minor"/>
      </rPr>
      <t>low</t>
    </r>
    <r>
      <rPr>
        <b/>
        <sz val="11"/>
        <color rgb="FFFF0000"/>
        <rFont val="Calibri"/>
        <family val="2"/>
        <scheme val="minor"/>
      </rPr>
      <t xml:space="preserve"> degradation class (%)</t>
    </r>
  </si>
  <si>
    <r>
      <rPr>
        <b/>
        <sz val="11"/>
        <color rgb="FFFF0000"/>
        <rFont val="Calibri"/>
        <family val="2"/>
        <scheme val="minor"/>
      </rPr>
      <t>Percent carbon content of soils in lands classified as</t>
    </r>
    <r>
      <rPr>
        <b/>
        <sz val="11"/>
        <color theme="1"/>
        <rFont val="Calibri"/>
        <family val="2"/>
        <scheme val="minor"/>
      </rPr>
      <t xml:space="preserve"> </t>
    </r>
    <r>
      <rPr>
        <b/>
        <sz val="11"/>
        <color rgb="FF00B050"/>
        <rFont val="Calibri"/>
        <family val="2"/>
        <scheme val="minor"/>
      </rPr>
      <t>moderate</t>
    </r>
    <r>
      <rPr>
        <b/>
        <sz val="11"/>
        <color theme="1"/>
        <rFont val="Calibri"/>
        <family val="2"/>
        <scheme val="minor"/>
      </rPr>
      <t xml:space="preserve"> </t>
    </r>
    <r>
      <rPr>
        <b/>
        <sz val="11"/>
        <color rgb="FFFF0000"/>
        <rFont val="Calibri"/>
        <family val="2"/>
        <scheme val="minor"/>
      </rPr>
      <t>degradation class (%)</t>
    </r>
  </si>
  <si>
    <r>
      <t xml:space="preserve">Percent carbon content of soils in lands classified as </t>
    </r>
    <r>
      <rPr>
        <b/>
        <sz val="11"/>
        <color rgb="FF00B050"/>
        <rFont val="Calibri"/>
        <family val="2"/>
        <scheme val="minor"/>
      </rPr>
      <t>severe</t>
    </r>
    <r>
      <rPr>
        <b/>
        <sz val="11"/>
        <color rgb="FFFF0000"/>
        <rFont val="Calibri"/>
        <family val="2"/>
        <scheme val="minor"/>
      </rPr>
      <t xml:space="preserve"> degradation class (%)</t>
    </r>
  </si>
  <si>
    <t>Abandoned agricultural land</t>
  </si>
  <si>
    <t>Average Tunisia</t>
  </si>
  <si>
    <t>Estimation of the total annual cost of land degradation in crop lands</t>
  </si>
  <si>
    <t>Exchange rate in 2021: 1US$=</t>
  </si>
  <si>
    <t>Tunisiai TD</t>
  </si>
  <si>
    <t>1 TD=</t>
  </si>
  <si>
    <t>US$</t>
  </si>
  <si>
    <t xml:space="preserve">Color codes: </t>
  </si>
  <si>
    <t>Yellow- Annabi to fill only the cells highlighed in yellow</t>
  </si>
  <si>
    <t xml:space="preserve">GDP of Tunisia in 2021 </t>
  </si>
  <si>
    <t>Purple colored cells- please do not touch. These cells contain formulas that will automatically calculate</t>
  </si>
  <si>
    <t>United Ustates Dollars</t>
  </si>
  <si>
    <t>Green cells are for information/checking accuracy of our calculation</t>
  </si>
  <si>
    <t>Data which I want Annabi to check and verify</t>
  </si>
  <si>
    <t>Exchange rate in 2010: 1US$=</t>
  </si>
  <si>
    <t>Blue colored cells are to be filled using simulation (or solver)</t>
  </si>
  <si>
    <t>Definition: In this analysis, crop lands are defined as crop areas cultivated by farmers on their farm lands.</t>
  </si>
  <si>
    <t>Land degradation in crop lands is defined as the reduction in the soil's productive ability due to various factors as soil errosion (both water and wind), salinity, sodicity, etc.</t>
  </si>
  <si>
    <t>Discount rate :</t>
  </si>
  <si>
    <t>https://www.indexmundi.com/Tunisia/central_bank_discount_rate.html</t>
  </si>
  <si>
    <t>Year</t>
  </si>
  <si>
    <t>Central Bank Discount rate (%)</t>
  </si>
  <si>
    <t>Main cereal crops</t>
  </si>
  <si>
    <t>Total grain production (ton)</t>
  </si>
  <si>
    <t>Grain price in 2021 (TD/ton)</t>
  </si>
  <si>
    <t>Straw price in 2021 (TD/ton)</t>
  </si>
  <si>
    <t>Grain price in 2010 (TD/ton)</t>
  </si>
  <si>
    <t>Straw price in 2010 (TD/ton)</t>
  </si>
  <si>
    <t xml:space="preserve">Assumptions for disaggregating yield data: </t>
  </si>
  <si>
    <t>1) yield difference between low and moderate land degradation=</t>
  </si>
  <si>
    <t>2) Yield difference between moderateand severe land degradation=</t>
  </si>
  <si>
    <t>Total or average for all cereals</t>
  </si>
  <si>
    <t xml:space="preserve">Source of data for Cereal price: </t>
  </si>
  <si>
    <t>Average cereal yield (ton/ha) by level of land degradation</t>
  </si>
  <si>
    <t>Years</t>
  </si>
  <si>
    <t>See price of flour here:</t>
  </si>
  <si>
    <t>Sever</t>
  </si>
  <si>
    <t>Average yield</t>
  </si>
  <si>
    <t>Total production</t>
  </si>
  <si>
    <t>Slight vs moderate</t>
  </si>
  <si>
    <t>Cosntraint1</t>
  </si>
  <si>
    <t>Cosntraint2</t>
  </si>
  <si>
    <t>Obective function</t>
  </si>
  <si>
    <t>Important parameters</t>
  </si>
  <si>
    <t>1) Average cereal price in Tunisia (in US$/ton and TD/ton, respectively) =</t>
  </si>
  <si>
    <t>2) Average cereal residue price in Tunisia (in US$/ton and TD/ton, respectively) =</t>
  </si>
  <si>
    <t>Grain</t>
  </si>
  <si>
    <t>Straw</t>
  </si>
  <si>
    <t>Annual average nominal price increase (in 2021 US$/ton) =</t>
  </si>
  <si>
    <t>Annual average real price increase (in 2021 US$/ton) =</t>
  </si>
  <si>
    <t>3) Assumed annual discount rate =</t>
  </si>
  <si>
    <t>Annual discount factor =</t>
  </si>
  <si>
    <t>A) Valuation of use values</t>
  </si>
  <si>
    <t>A1) Direct Use values</t>
  </si>
  <si>
    <t>A1.1) Valuation of the direct use cost of land degradation on Cereal fields</t>
  </si>
  <si>
    <r>
      <t>A1.1.1 Value of consumption uses (</t>
    </r>
    <r>
      <rPr>
        <b/>
        <sz val="11"/>
        <color rgb="FFFF0000"/>
        <rFont val="Calibri"/>
        <family val="2"/>
        <scheme val="minor"/>
      </rPr>
      <t>Note: Total consumption value of crop and residue harvested will be used as a proxy to the total cost of land degradation on crop lands for consumptive purposes</t>
    </r>
    <r>
      <rPr>
        <b/>
        <sz val="11"/>
        <color theme="1"/>
        <rFont val="Calibri"/>
        <family val="2"/>
        <scheme val="minor"/>
      </rPr>
      <t>)</t>
    </r>
  </si>
  <si>
    <t>A.1.1.1.1 Cereal Cereal</t>
  </si>
  <si>
    <t>Total Cereal area (ha)</t>
  </si>
  <si>
    <r>
      <rPr>
        <b/>
        <sz val="11"/>
        <color rgb="FFFF0000"/>
        <rFont val="Calibri"/>
        <family val="2"/>
        <scheme val="minor"/>
      </rPr>
      <t>Percentage</t>
    </r>
    <r>
      <rPr>
        <b/>
        <sz val="11"/>
        <color theme="1"/>
        <rFont val="Calibri"/>
        <family val="2"/>
        <scheme val="minor"/>
      </rPr>
      <t xml:space="preserve"> of Cereal area by degree of land degradation ( low degradation, medium degradation, severe degradation)</t>
    </r>
  </si>
  <si>
    <r>
      <t>Average Cereal yield lost (ton/ha) under each category of land degradation (</t>
    </r>
    <r>
      <rPr>
        <b/>
        <sz val="11"/>
        <color rgb="FFFF0000"/>
        <rFont val="Calibri"/>
        <family val="2"/>
        <scheme val="minor"/>
      </rPr>
      <t>Assuming the current yield under low LD is the best we can achieve now</t>
    </r>
    <r>
      <rPr>
        <b/>
        <sz val="11"/>
        <color theme="1"/>
        <rFont val="Calibri"/>
        <family val="2"/>
        <scheme val="minor"/>
      </rPr>
      <t>)</t>
    </r>
  </si>
  <si>
    <t>Total amount of Cereal production that is lost due to land degradation (tons)</t>
  </si>
  <si>
    <t>Total value of of Cereal production that is lost due to land degradation (in US$/year)</t>
  </si>
  <si>
    <t>Loss as percentage of total production =</t>
  </si>
  <si>
    <t>A.1.1.1.2 Cereal Straw</t>
  </si>
  <si>
    <t>Assumed average straw:cereal ratio of :</t>
  </si>
  <si>
    <t xml:space="preserve">https://repository.cimmyt.org/bitstream/handle/10883/1257/81430.pdf?sequence=1&amp;isAllowed=y  </t>
  </si>
  <si>
    <t>https://www.semanticscholar.org/paper/Differences-in-Cereal%2Fstraw-ratio%2C-protein-content-Konvalina-Stehno/c8920241b02879926ffb06363c1fe2306dde4d96/figure/4</t>
  </si>
  <si>
    <t>https://www.researchgate.net/publication/317051989_A_Spatially_Explicit_Optimization_Model_for_Agricultural_Straw-Based_Power_Plant_Site_Selection_A_Case_Study_in_Hubei_Province_China/figures?lo=1</t>
  </si>
  <si>
    <t>Percentage of Cereal area by degree of land degradation ( low degradation, medium degradation, severe degradation)</t>
  </si>
  <si>
    <r>
      <rPr>
        <b/>
        <sz val="11"/>
        <color rgb="FFFF0000"/>
        <rFont val="Calibri"/>
        <family val="2"/>
        <scheme val="minor"/>
      </rPr>
      <t>Average</t>
    </r>
    <r>
      <rPr>
        <b/>
        <sz val="11"/>
        <color theme="1"/>
        <rFont val="Calibri"/>
        <family val="2"/>
        <scheme val="minor"/>
      </rPr>
      <t xml:space="preserve"> straw yield lost (ton/ha) under each category of land degradation</t>
    </r>
  </si>
  <si>
    <t>Total amount of Cereal straw production that is lost due to land degradation (tons)</t>
  </si>
  <si>
    <t>Total value of of Cereal straw production that is lost due to land degradation (in US$/year)</t>
  </si>
  <si>
    <r>
      <t>A1.1.2) Value of non-consumptive uses (</t>
    </r>
    <r>
      <rPr>
        <b/>
        <sz val="11"/>
        <color rgb="FFFF0000"/>
        <rFont val="Calibri"/>
        <family val="2"/>
        <scheme val="minor"/>
      </rPr>
      <t>this refers to revenue from tourism, recreation, education and research vlaues, etc. obtained from cereal lands</t>
    </r>
    <r>
      <rPr>
        <b/>
        <sz val="11"/>
        <color theme="1"/>
        <rFont val="Calibri"/>
        <family val="2"/>
        <scheme val="minor"/>
      </rPr>
      <t>)</t>
    </r>
  </si>
  <si>
    <t>We did not estimate it or we did not get secondary data on this. So, we assumed it is zero</t>
  </si>
  <si>
    <t>Total revenue (TD/year)</t>
  </si>
  <si>
    <t>Percentage share of each category of the land degradation (%)</t>
  </si>
  <si>
    <t>Revenue per ha from non-consumptive uses of Cereal fields</t>
  </si>
  <si>
    <t>Annual loss of non-consumptive values of Cereal fields due to land degradation (US$/year)</t>
  </si>
  <si>
    <t>Low or intact</t>
  </si>
  <si>
    <t>A2) Indirect Use Values</t>
  </si>
  <si>
    <t xml:space="preserve">https://openknowledge.worldbank.org/entities/publication/a1abead2-de91-5992-bb7a-73d8aaaf767f/full </t>
  </si>
  <si>
    <t>Price of carbon ($/ton)</t>
  </si>
  <si>
    <r>
      <t>Price of CO</t>
    </r>
    <r>
      <rPr>
        <b/>
        <vertAlign val="subscript"/>
        <sz val="11"/>
        <color theme="1"/>
        <rFont val="Calibri"/>
        <family val="2"/>
        <scheme val="minor"/>
      </rPr>
      <t>2</t>
    </r>
    <r>
      <rPr>
        <b/>
        <sz val="11"/>
        <color theme="1"/>
        <rFont val="Calibri"/>
        <family val="2"/>
        <scheme val="minor"/>
      </rPr>
      <t xml:space="preserve"> ($/ton)</t>
    </r>
  </si>
  <si>
    <t>https://ember-climate.org/data/data-tools/carbon-price-viewer/</t>
  </si>
  <si>
    <t>Average conversion factor from % humus to % of C</t>
  </si>
  <si>
    <t>Tunisia</t>
  </si>
  <si>
    <t xml:space="preserve">https://www.rff.org/news/press-releases/social-cost-of-carbon-more-than-triple-the-current-federal-estimate-new-study-finds/#:~:text=The%20study%2C%20published%20today%20in,estimate%20of%20%2451%20per%20ton. </t>
  </si>
  <si>
    <t>Average soil layer depth (cm)</t>
  </si>
  <si>
    <t>Average weight of soil  (ton/ha)</t>
  </si>
  <si>
    <t>Energe from 1 KW of electricity = Energy from</t>
  </si>
  <si>
    <t xml:space="preserve"> liter of diesel</t>
  </si>
  <si>
    <t>Average annual errosion rate (%)</t>
  </si>
  <si>
    <t>Source:</t>
  </si>
  <si>
    <r>
      <t xml:space="preserve">Wuepper, D., Borrelli, P. &amp; Finger, R. Countries and the global rate of soil erosion. </t>
    </r>
    <r>
      <rPr>
        <i/>
        <sz val="11"/>
        <color theme="1"/>
        <rFont val="Calibri"/>
        <family val="2"/>
        <scheme val="minor"/>
      </rPr>
      <t>Nat Sustain</t>
    </r>
    <r>
      <rPr>
        <sz val="11"/>
        <color theme="1"/>
        <rFont val="Calibri"/>
        <family val="2"/>
        <scheme val="minor"/>
      </rPr>
      <t xml:space="preserve"> (2019) doi:10.1038/s41893-019-0438-4</t>
    </r>
  </si>
  <si>
    <t xml:space="preserve">Burning 1 liter of diesel emittes </t>
  </si>
  <si>
    <t>grams of carbon</t>
  </si>
  <si>
    <r>
      <t>Average bulk density (g/cm</t>
    </r>
    <r>
      <rPr>
        <b/>
        <vertAlign val="superscript"/>
        <sz val="11"/>
        <color theme="1"/>
        <rFont val="Calibri"/>
        <family val="2"/>
        <scheme val="minor"/>
      </rPr>
      <t>3</t>
    </r>
    <r>
      <rPr>
        <b/>
        <sz val="11"/>
        <color theme="1"/>
        <rFont val="Calibri"/>
        <family val="2"/>
        <scheme val="minor"/>
      </rPr>
      <t>)</t>
    </r>
  </si>
  <si>
    <t>Erosion (cm)</t>
  </si>
  <si>
    <t>https://www.nature.com/articles/s41893-019-0438-4</t>
  </si>
  <si>
    <t>Value forgone due to the following only in medium and severly degraded Cereal fields 
(we assume the non-consumptive value lost in intact Cereal fields is zero)</t>
  </si>
  <si>
    <r>
      <t>Watershed &amp; soil protection &amp; nutrient recycling (</t>
    </r>
    <r>
      <rPr>
        <i/>
        <sz val="11"/>
        <color rgb="FFFF0000"/>
        <rFont val="Arial"/>
        <family val="2"/>
      </rPr>
      <t>assumed to be zero</t>
    </r>
    <r>
      <rPr>
        <i/>
        <sz val="11"/>
        <color rgb="FF000000"/>
        <rFont val="Arial"/>
        <family val="2"/>
      </rPr>
      <t>)</t>
    </r>
  </si>
  <si>
    <r>
      <rPr>
        <i/>
        <sz val="11"/>
        <color theme="1"/>
        <rFont val="Arial"/>
        <family val="2"/>
      </rPr>
      <t>% of humus that is lost every year</t>
    </r>
    <r>
      <rPr>
        <i/>
        <sz val="11"/>
        <color rgb="FFFF0000"/>
        <rFont val="Arial"/>
        <family val="2"/>
      </rPr>
      <t xml:space="preserve"> 
(in principle, this should include all gas i.e., carbon dioxide/oxygen exchanges, carbon storage &amp; climate stabilization but here we focus only on carbon loss based on % of humus lost annually).</t>
    </r>
  </si>
  <si>
    <t>Total carbon erroded (ton per ha per year)</t>
  </si>
  <si>
    <t>Total carbon released to the atmosphere (ton per ha) based on assumed erosion rate</t>
  </si>
  <si>
    <t>Total carbon released to the atmosphere (ton)</t>
  </si>
  <si>
    <t>Total amount of diesel used for field and other farm operations (tons) under conventional tillage</t>
  </si>
  <si>
    <t>Amount (tons) carbon emitted during field work and other farm activities under conventional tillage</t>
  </si>
  <si>
    <t xml:space="preserve">Total carbon released into the atmosphere (tons) due to soil erosion &amp; field operations under conventional tillage </t>
  </si>
  <si>
    <t>Value of carbon emmitted due to tillage and other field operations (US$)</t>
  </si>
  <si>
    <t>Value of carbon emmitted due to erosion (US$)</t>
  </si>
  <si>
    <t>Total value of total carbon released to the atmosphre (US$)</t>
  </si>
  <si>
    <r>
      <t>Value of habitat and protection of biodiversity and species (</t>
    </r>
    <r>
      <rPr>
        <i/>
        <sz val="11"/>
        <color rgb="FFFF0000"/>
        <rFont val="Arial"/>
        <family val="2"/>
      </rPr>
      <t>assumed to be $0</t>
    </r>
    <r>
      <rPr>
        <i/>
        <sz val="11"/>
        <color rgb="FF000000"/>
        <rFont val="Arial"/>
        <family val="2"/>
      </rPr>
      <t>)</t>
    </r>
  </si>
  <si>
    <r>
      <t>Aesthetic, cultural and spiritual values (</t>
    </r>
    <r>
      <rPr>
        <i/>
        <sz val="11"/>
        <color rgb="FFFF0000"/>
        <rFont val="Arial"/>
        <family val="2"/>
      </rPr>
      <t>assumed to be $0</t>
    </r>
    <r>
      <rPr>
        <i/>
        <sz val="11"/>
        <color rgb="FF000000"/>
        <rFont val="Arial"/>
        <family val="2"/>
      </rPr>
      <t>)</t>
    </r>
  </si>
  <si>
    <t>Total value of indirect uses of land that are lost due to land degradation (US$)</t>
  </si>
  <si>
    <t>As % of GDP</t>
  </si>
  <si>
    <t>medium</t>
  </si>
  <si>
    <t>B) Valuation of Non-use values</t>
  </si>
  <si>
    <r>
      <t>Option, existence, and bequest values calcuated as the difference between value people expect by keeping it for future and its current value (US$/year)
Here, we assume that yields will remain the same over time (</t>
    </r>
    <r>
      <rPr>
        <i/>
        <sz val="11"/>
        <color rgb="FFFF0000"/>
        <rFont val="Arial"/>
        <family val="2"/>
      </rPr>
      <t>no technological advances</t>
    </r>
    <r>
      <rPr>
        <i/>
        <sz val="11"/>
        <color rgb="FF000000"/>
        <rFont val="Arial"/>
        <family val="2"/>
      </rPr>
      <t>)</t>
    </r>
  </si>
  <si>
    <t>Summary of costs of land degradation on all cereal lands in Tunisia (US$/year) and as % of GDP</t>
  </si>
  <si>
    <t>GDP of Tunisia (in TD) =</t>
  </si>
  <si>
    <t>GDP of Tunisia (in US$) =</t>
  </si>
  <si>
    <t>Cost category</t>
  </si>
  <si>
    <t>Consumptive uses</t>
  </si>
  <si>
    <t>non-consumptive uses</t>
  </si>
  <si>
    <t>Indirect uses</t>
  </si>
  <si>
    <t>Non-use values</t>
  </si>
  <si>
    <t>Total cost (US$)</t>
  </si>
  <si>
    <t>FOB price (2021/22) of wheat for major exporters</t>
  </si>
  <si>
    <t>Argentina</t>
  </si>
  <si>
    <t xml:space="preserve">Australia </t>
  </si>
  <si>
    <t xml:space="preserve">Canada </t>
  </si>
  <si>
    <t xml:space="preserve">EU </t>
  </si>
  <si>
    <t xml:space="preserve">Russia </t>
  </si>
  <si>
    <t>United States</t>
  </si>
  <si>
    <t>Price</t>
  </si>
  <si>
    <t>Total export (million tons)</t>
  </si>
  <si>
    <t xml:space="preserve">https://apps.fas.usda.gov/psdonline/circulars/grain.pdf </t>
  </si>
  <si>
    <t xml:space="preserve">https://beef2live.com/story-top-20-largest-wheat-exporters-world-0-206491 </t>
  </si>
  <si>
    <t>Average world price of wheat (FOB) 2021</t>
  </si>
  <si>
    <t>Price per ton</t>
  </si>
  <si>
    <t>As % of tGDP</t>
  </si>
  <si>
    <r>
      <rPr>
        <b/>
        <sz val="11"/>
        <color theme="1"/>
        <rFont val="Calibri"/>
        <family val="2"/>
        <scheme val="minor"/>
      </rPr>
      <t>Conclusion</t>
    </r>
    <r>
      <rPr>
        <sz val="11"/>
        <color theme="1"/>
        <rFont val="Calibri"/>
        <family val="2"/>
        <scheme val="minor"/>
      </rPr>
      <t xml:space="preserve">: Assuming that there is no yield loss in all cereal fields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the cost of land degradation on Cereal fields in Tunisia is estimated at: </t>
    </r>
  </si>
  <si>
    <t>metric tons of Cereal and</t>
  </si>
  <si>
    <t>metric tons of cereal straw. The total value of both grain and straw lost is estiamted at:</t>
  </si>
  <si>
    <t>United States Dollars or</t>
  </si>
  <si>
    <t xml:space="preserve">Tunisiai TD which is equivalent to </t>
  </si>
  <si>
    <t>of the country's GDP</t>
  </si>
  <si>
    <t>Exchange rate 1US$=</t>
  </si>
  <si>
    <t>Main legume crops</t>
  </si>
  <si>
    <t>Common bean</t>
  </si>
  <si>
    <t>Peas</t>
  </si>
  <si>
    <t>Mung bean</t>
  </si>
  <si>
    <t>Average legume yield (ton/ha) by level of land degradation</t>
  </si>
  <si>
    <t>Soy bean</t>
  </si>
  <si>
    <t>Others</t>
  </si>
  <si>
    <t>1) Average cereal price in Tunisia (US$/ton and TD/ton, respectively) =</t>
  </si>
  <si>
    <t>2) Average cereal residue price in Tunisia (US$/ton and TD/ton, respectively) =</t>
  </si>
  <si>
    <t>A1.1) Valuation of the direct use cost of land degradation on legume fields</t>
  </si>
  <si>
    <t>A.1.1.1.1 legume legume</t>
  </si>
  <si>
    <t>Total legume area (ha)</t>
  </si>
  <si>
    <t>Percentage of legume area by degree of land degradation ( low degradation, medium degradation, severe degradation)</t>
  </si>
  <si>
    <t>Average legume yield lost (ton/ha) under each category of land degradation (Assuming the current yield under low LD is the best we can achieve now)</t>
  </si>
  <si>
    <t>Total amount of legume production that is lost due to land degradation (tons)</t>
  </si>
  <si>
    <t>Total value of of legume production that is lost due to land degradation (in US$/year)</t>
  </si>
  <si>
    <t>A.1.1.1.2 legume Straw</t>
  </si>
  <si>
    <t>Assumed average straw:legume ratio of :</t>
  </si>
  <si>
    <t>https://www.semanticscholar.org/paper/Differences-in-legume%2Fstraw-ratio%2C-protein-content-Konvalina-Stehno/c8920241b02879926ffb06363c1fe2306dde4d96/figure/4</t>
  </si>
  <si>
    <t>Total amount of legume straw production that is lost due to land degradation (tons)</t>
  </si>
  <si>
    <t>Total value of of legume straw production that is lost due to land degradation (in US$/year)</t>
  </si>
  <si>
    <t>A1.2) Value of non-consumptive uses (this refers to revenue from tourism, recreation, education and research vlaues, etc. obtained from legume lands)</t>
  </si>
  <si>
    <t>We did not estimate it or we did not get secondary data on this. So, we assumed it is zero (Annabi: if you can find estimates of the total revenue for each province, please try to put below)</t>
  </si>
  <si>
    <t>Revenue per ha from non-consumptive uses of legume fields</t>
  </si>
  <si>
    <t>Annual loss of non-consumptive values of legume fields due to land degradation (US$/year)</t>
  </si>
  <si>
    <t>Conversion factor from % humus to % of C</t>
  </si>
  <si>
    <t>Soil layer depth (cm)</t>
  </si>
  <si>
    <t>Annual errosion rate (%)</t>
  </si>
  <si>
    <t>Erosion  (ton/ha)</t>
  </si>
  <si>
    <r>
      <t>Bulk density (g/cm</t>
    </r>
    <r>
      <rPr>
        <b/>
        <vertAlign val="superscript"/>
        <sz val="11"/>
        <color theme="1"/>
        <rFont val="Calibri"/>
        <family val="2"/>
        <scheme val="minor"/>
      </rPr>
      <t>3</t>
    </r>
    <r>
      <rPr>
        <b/>
        <sz val="11"/>
        <color theme="1"/>
        <rFont val="Calibri"/>
        <family val="2"/>
        <scheme val="minor"/>
      </rPr>
      <t>)</t>
    </r>
  </si>
  <si>
    <t>Value forgone due to the following only in medium and severly degraded legume fields 
(we assume the non-consumptive value lost in intact legume fields is zero)</t>
  </si>
  <si>
    <t>Summary of costs of land degradation on all crop lands in Tunisia (US$/year) and as % of GDP</t>
  </si>
  <si>
    <t xml:space="preserve">Conclusion: Assuming that there is no yield loss in all legume fields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the cost of land degradation on legume fields in Tunisia is estimated at: </t>
  </si>
  <si>
    <t>metric tons of legume and</t>
  </si>
  <si>
    <t>metric tons of legume straw. The total value of both grain and straw lost is estiamted at:</t>
  </si>
  <si>
    <t>Main vegetable crops</t>
  </si>
  <si>
    <t>Total production (ton)</t>
  </si>
  <si>
    <t>vegetable price in 2021 (TD/ton)</t>
  </si>
  <si>
    <t>residue price in 2021 (TD/ton)</t>
  </si>
  <si>
    <t>vegetable price in 2010 (TD/ton)</t>
  </si>
  <si>
    <t>residue price in 2010 (TD/ton)</t>
  </si>
  <si>
    <t>Tomatoes</t>
  </si>
  <si>
    <t>Onions</t>
  </si>
  <si>
    <t>Potatoes</t>
  </si>
  <si>
    <t>onion</t>
  </si>
  <si>
    <t>Cucumber</t>
  </si>
  <si>
    <t>Carrots</t>
  </si>
  <si>
    <t>Leaffy Vegetables</t>
  </si>
  <si>
    <t>Total vegetable</t>
  </si>
  <si>
    <t>US$ in</t>
  </si>
  <si>
    <t>TD in:</t>
  </si>
  <si>
    <t>1) Average vegetable price in Tunisia (US$ and TD/ton) =</t>
  </si>
  <si>
    <t>2) Average vegetable residue price in Tunisia (US$ and TD/ton) =</t>
  </si>
  <si>
    <t>vegetable</t>
  </si>
  <si>
    <t>A1.1) Valuation of the direct use cost of land degradation on vegetable fields</t>
  </si>
  <si>
    <t>A.1.1.1.1 vegetable vegetable</t>
  </si>
  <si>
    <t>Total vegetable area (ha)</t>
  </si>
  <si>
    <t>Percentage of vegetable area by degree of land degradation ( low degradation, medium degradation, severe degradation)</t>
  </si>
  <si>
    <t>Average vegetable yield lost (ton/ha) under each category of land degradation (Assuming the current yield under low LD is the best we can achieve now)</t>
  </si>
  <si>
    <t>Total amount of vegetable production that is lost due to land degradation (tons)</t>
  </si>
  <si>
    <t>Total value of of vegetable production that is lost due to land degradation (in US$/year)</t>
  </si>
  <si>
    <t>A.1.1.1.2 vegetable residue</t>
  </si>
  <si>
    <t>Assumed average residue:vegetable ratio of :</t>
  </si>
  <si>
    <t>https://www.atmos-chem-phys-discuss.net/acp-2017-1113/acp-2017-1113-supplement.pdf</t>
  </si>
  <si>
    <t>Average residue yield lost (ton/ha) under each category of land degradation</t>
  </si>
  <si>
    <t>Total amount of vegetable residue production that is lost due to land degradation (tons)</t>
  </si>
  <si>
    <t>Total value of of vegetable residue production that is lost due to land degradation (in US$/year)</t>
  </si>
  <si>
    <t>A1.2) Value of non-consumptive uses (this refers to revenue from tourism, recreation, education and research vlaues, etc. obtained from vegetable lands)</t>
  </si>
  <si>
    <t>Revenue per ha from non-consumptive uses of vegetable fields</t>
  </si>
  <si>
    <t>Annual loss of non-consumptive values of vegetable fields due to land degradation (US$/year)</t>
  </si>
  <si>
    <t>Value forgone due to the following only in medium and severly degraded vegetable fields 
(we assume the non-consumptive value lost in intact vegetable fields is zero)</t>
  </si>
  <si>
    <t>Total amount of electric power used for green houses (KWH)</t>
  </si>
  <si>
    <t>Carbon emission from green houses (tons)</t>
  </si>
  <si>
    <t xml:space="preserve">Total carbon released into the atmosphere (tons) due to soil erosion, green houses &amp; field operations under conventional tillage </t>
  </si>
  <si>
    <t>Value of carbon emmitted due to greenhouses (US$)</t>
  </si>
  <si>
    <t xml:space="preserve">https://apps.fas.usda.gov/psdonline/circulars/vegetable.pdf </t>
  </si>
  <si>
    <t xml:space="preserve">Conclusion: Assuming that there is no yield loss in all vegetable fields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the cost of land degradation on vegetable fields in Tunisia is estimated at: </t>
  </si>
  <si>
    <t>metric tons of vegetable and</t>
  </si>
  <si>
    <t>metric tons of vegetable residue. The total value of both vegetable and residue lost is estiamted at:</t>
  </si>
  <si>
    <t>Yellow- Akmal to fill only the cells highlighed in yellow</t>
  </si>
  <si>
    <t>Data which I want Akmal to check and verify</t>
  </si>
  <si>
    <t>Main fruit crops</t>
  </si>
  <si>
    <t>fruit price in 2021 (TD/ton)</t>
  </si>
  <si>
    <t>fruit price in 2010 (TD/ton)</t>
  </si>
  <si>
    <t>Apple</t>
  </si>
  <si>
    <t>Almonds</t>
  </si>
  <si>
    <t>Grenade</t>
  </si>
  <si>
    <t>Total fruit</t>
  </si>
  <si>
    <t xml:space="preserve">Source of data for wheat fruit price: </t>
  </si>
  <si>
    <t>Average fruit yield (ton/ha) by level of land degradation</t>
  </si>
  <si>
    <t>1) Average fruit price in Tunisia (TD/ton) =</t>
  </si>
  <si>
    <t>2) Average fruit residue price in Tunisia (TD/ton) =</t>
  </si>
  <si>
    <t>fruit</t>
  </si>
  <si>
    <t>A1.1) Valuation of the direct use cost of land degradation on fruit fields</t>
  </si>
  <si>
    <t>A.1.1.1.1 fruit fruit</t>
  </si>
  <si>
    <t>Total fruit area (ha)</t>
  </si>
  <si>
    <t>Percentage of fruit area by degree of land degradation ( low degradation, medium degradation, severe degradation)</t>
  </si>
  <si>
    <t>Average fruit yield lost (ton/ha) under each category of land degradation (Assuming the current yield under low LD is the best we can achieve now)</t>
  </si>
  <si>
    <t>Total amount of fruit production that is lost due to land degradation (tons)</t>
  </si>
  <si>
    <t>Total value of of fruit production that is lost due to land degradation (in US$/year)</t>
  </si>
  <si>
    <t>A.1.1.1.2 fruit residue</t>
  </si>
  <si>
    <t>Assumed average residue:fruit ratio of :</t>
  </si>
  <si>
    <t>Total amount of fruit residue production that is lost due to land degradation (tons)</t>
  </si>
  <si>
    <t>Total value of of fruit residue production that is lost due to land degradation (in US$/year)</t>
  </si>
  <si>
    <t>A1.2) Value of non-consumptive uses (this refers to revenue from tourism, recreation, education and research vlaues, etc. obtained from fruit lands)</t>
  </si>
  <si>
    <r>
      <rPr>
        <b/>
        <sz val="11"/>
        <color theme="1"/>
        <rFont val="Calibri"/>
        <family val="2"/>
        <scheme val="minor"/>
      </rPr>
      <t>We did not estimate it or we did not get secondary data on this. So, we assumed it is zero</t>
    </r>
    <r>
      <rPr>
        <b/>
        <sz val="11"/>
        <color rgb="FFFF0000"/>
        <rFont val="Calibri"/>
        <family val="2"/>
        <scheme val="minor"/>
      </rPr>
      <t xml:space="preserve"> (Akmal: if you can find estimates of the total revenue for each province, please try to put below)</t>
    </r>
  </si>
  <si>
    <t>Revenue per ha from non-consumptive uses of fruit fields</t>
  </si>
  <si>
    <t>Annual loss of non-consumptive values of fruit fields due to land degradation (US$/year)</t>
  </si>
  <si>
    <t>Value forgone due to the following only in medium and severly degraded fruit fields 
(we assume the non-consumptive value lost in intact fruit fields is zero)</t>
  </si>
  <si>
    <t xml:space="preserve">https://apps.fas.usda.gov/psdonline/circulars/fruit.pdf </t>
  </si>
  <si>
    <t xml:space="preserve">Conclusion: Assuming that there is no yield loss in all fruit fields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the cost of land degradation on fruit fields in Tunisia is estimated at: </t>
  </si>
  <si>
    <t>metric tons of fruit and</t>
  </si>
  <si>
    <t>metric tons of fruit residue. The total value of both fruit and residue lost is estiamted at:</t>
  </si>
  <si>
    <t>Annual forages price in 2021 (TD/ton)</t>
  </si>
  <si>
    <t>straw price in 2021 (TD/ton)</t>
  </si>
  <si>
    <t>Annual forages price in 2010 (TD/ton)</t>
  </si>
  <si>
    <t>straw price in 2010 (TD/ton)</t>
  </si>
  <si>
    <t>Annual forages</t>
  </si>
  <si>
    <t>Average Annual forages yield (ton/ha) by level of land degradation</t>
  </si>
  <si>
    <t>1) Average Annual forages price in Tunisia (TD/ton) =</t>
  </si>
  <si>
    <t>2) Average Annual forages residue price in Tunisia (TD/ton) =</t>
  </si>
  <si>
    <t>A1.1) Valuation of the direct use cost of land degradation on Annual forages fields</t>
  </si>
  <si>
    <t>A1.1.1 Value of consumption uses (Note: Total consumption value of crop and straw harvested will be used as a proxy to the total cost of land degradation on crop lands for consumptive purposes)</t>
  </si>
  <si>
    <t>A.1.1.1.1 Annual forages Annual forages</t>
  </si>
  <si>
    <t>Total Annual forages area (ha)</t>
  </si>
  <si>
    <t>Percentage of Annual forages area by degree of land degradation ( low degradation, medium degradation, severe degradation)</t>
  </si>
  <si>
    <t>Average Annual forages yield lost (ton/ha) under each category of land degradation (Assuming the current yield under low LD is the best we can achieve now)</t>
  </si>
  <si>
    <t>Total amount of Annual forages production that is lost due to land degradation (tons)</t>
  </si>
  <si>
    <t>Total value of of Annual forages production that is lost due to land degradation (in US$/year)</t>
  </si>
  <si>
    <t>A.1.1.1.2 Annual forages straw</t>
  </si>
  <si>
    <t>Assumed average straw:Annual forages ratio of :</t>
  </si>
  <si>
    <t>https://www.semanticscholar.org/paper/Differences-in-Annual forages%2Fstraw-ratio%2C-protein-content-Konvalina-Stehno/c8920241b02879926ffb06363c1fe2306dde4d96/figure/4</t>
  </si>
  <si>
    <t>https://www.researchgate.net/publication/317051989_A_Spatially_Explicit_Optimization_Model_for_Agricultural_straw-Based_Power_Plant_Site_Selection_A_Case_Study_in_Hubei_Province_China/figures?lo=1</t>
  </si>
  <si>
    <t>Average straw yield lost (ton/ha) under each category of land degradation</t>
  </si>
  <si>
    <t>Total amount of Annual forages straw production that is lost due to land degradation (tons)</t>
  </si>
  <si>
    <t>Total value of of Annual forages straw production that is lost due to land degradation (in US$/year)</t>
  </si>
  <si>
    <t>A1.2) Value of non-consumptive uses (this refers to revenue from tourism, recreation, education and research vlaues, etc. obtained from Annual forages lands)</t>
  </si>
  <si>
    <t>Revenue per ha from non-consumptive uses of Annual forages fields</t>
  </si>
  <si>
    <t>Annual loss of non-consumptive values of Annual forages fields due to land degradation (US$/year)</t>
  </si>
  <si>
    <t>Value forgone due to the following only in medium and severly degraded Annual forages fields 
(we assume the non-consumptive value lost in intact Annual forages fields is zero)</t>
  </si>
  <si>
    <t xml:space="preserve">https://apps.fas.usda.gov/psdonline/circulars/Annual forages.pdf </t>
  </si>
  <si>
    <t xml:space="preserve">Conclusion: Assuming that there is no yield loss in all Annual forages fields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the cost of land degradation on Annual forages fields in Tunisia is estimated at: </t>
  </si>
  <si>
    <t>metric tons of Annual forages and</t>
  </si>
  <si>
    <t>metric tons of Annual forages straw. The total value of both Annual forages and straw lost is estiamted at:</t>
  </si>
  <si>
    <t>Average alfalfa yield (ton/ha) by level of land degradation</t>
  </si>
  <si>
    <t>Note for Annabi: for alfalfa please please provide the total production in terms of total alfalfa (alfalfa and seeds)</t>
  </si>
  <si>
    <t>Total alfalfa production (ton)</t>
  </si>
  <si>
    <t>alfalfa price in 2021 (TD/ton)</t>
  </si>
  <si>
    <t>stock price in 2021 (TD/ton)</t>
  </si>
  <si>
    <t>alfalfa price in 2010 (TD/ton)</t>
  </si>
  <si>
    <t>stock price in 1990 (TD/ton)</t>
  </si>
  <si>
    <t>Alfalfa</t>
  </si>
  <si>
    <t>Price for 2021 obtained from</t>
  </si>
  <si>
    <t>https://www.selinawamucii.com/insights/prices/Tunisia/alfalfa/#:~:text=Tunisia%20alfalfa%20wholesale%20price&amp;text=The%20price%20in%20Tunisia%20Sum,1709.35%20in%20Samarkand%20and%20Tashkent.</t>
  </si>
  <si>
    <t>1) Average alfalfa price in Tunisia (TD/ton) =</t>
  </si>
  <si>
    <t>2) Average alfalfa residue price in Tunisia (TD/ton) =</t>
  </si>
  <si>
    <t>A1.1) Valuation of the direct use cost of land degradation on alfalfa fields</t>
  </si>
  <si>
    <t>A1.1.1 Value of consumption uses (Note: Total consumption value of crop and stock harvested will be used as a proxy to the total cost of land degradation on crop lands for consumptive purposes)</t>
  </si>
  <si>
    <t>A.1.1.1.1 alfalfa alfalfa</t>
  </si>
  <si>
    <t>Total alfalfa area (ha)</t>
  </si>
  <si>
    <t>Percentage of alfalfa area by degree of land degradation ( low degradation, medium degradation, severe degradation)</t>
  </si>
  <si>
    <t>Average alfalfa yield lost (ton/ha) under each category of land degradation (Assuming the current yield under low LD is the best we can achieve now)</t>
  </si>
  <si>
    <t>Total amount of alfalfa production that is lost due to land degradation (tons)</t>
  </si>
  <si>
    <t>Total value of of alfalfa production that is lost due to land degradation (in US$/year)</t>
  </si>
  <si>
    <t>A.1.1.1.2 alfalfa stock</t>
  </si>
  <si>
    <t>Assumed average stock:alfalfa ratio of :</t>
  </si>
  <si>
    <t>https://www.semanticscholar.org/paper/Differences-in-alfalfa%2Fstock-ratio%2C-protein-content-Konvalina-Stehno/c8920241b02879926ffb06363c1fe2306dde4d96/figure/4</t>
  </si>
  <si>
    <t>https://www.researchgate.net/publication/317051989_A_Spatially_Explicit_Optimization_Model_for_Agricultural_stock-Based_Power_Plant_Site_Selection_A_Case_Study_in_Hubei_Province_China/figures?lo=1</t>
  </si>
  <si>
    <t>Average stock yield lost (ton/ha) under each category of land degradation</t>
  </si>
  <si>
    <t>Total amount of alfalfa stock production that is lost due to land degradation (tons)</t>
  </si>
  <si>
    <t>Total value of of alfalfa stock production that is lost due to land degradation (in US$/year)</t>
  </si>
  <si>
    <t>A1.2) Value of non-consumptive uses (this refers to revenue from tourism, recreation, education and research vlaues, etc. obtained from alfalfa lands)</t>
  </si>
  <si>
    <t>Revenue per ha from non-consumptive uses of alfalfa fields</t>
  </si>
  <si>
    <t>Annual loss of non-consumptive values of alfalfa fields due to land degradation (US$/year)</t>
  </si>
  <si>
    <t>Value forgone due to the following only in medium and severly degraded alfalfa fields 
(we assume the non-consumptive value lost in intact alfalfa fields is zero)</t>
  </si>
  <si>
    <t xml:space="preserve">Conclusion: Assuming that there is no yield loss in all alfalfa fields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the cost of land degradation on alfalfa fields in Tunisia is estimated at: </t>
  </si>
  <si>
    <t>metric tons of alfalfa and</t>
  </si>
  <si>
    <t>metric tons of alfalfa stock. The total value of both alfalfa and stock lost is estiamted at:</t>
  </si>
  <si>
    <t>Quantity (tons) of diesel used for field work and other farm activities under conventional tillage</t>
  </si>
  <si>
    <t>Quantity (tons) carbon emitted during field work and other farm activities under conventional tillage</t>
  </si>
  <si>
    <t>Cost ($) of carbon emitted during field work and other farm activities under conventional tillage</t>
  </si>
  <si>
    <t>Cultivated forages</t>
  </si>
  <si>
    <t>Other-crops</t>
  </si>
  <si>
    <t>Total for all biomes</t>
  </si>
  <si>
    <t>Total area</t>
  </si>
  <si>
    <t>Количество дизельного топлива (тн), которое в настоящее время используется для обработки почвы и других операций</t>
  </si>
  <si>
    <t>Boshoqli don ekinlari</t>
  </si>
  <si>
    <t>Dukkakli ekinlar</t>
  </si>
  <si>
    <t>Paxta</t>
  </si>
  <si>
    <t>Kartoshka</t>
  </si>
  <si>
    <t>Sabzovotlar</t>
  </si>
  <si>
    <t>Mevalar</t>
  </si>
  <si>
    <t>Karakalpakstan</t>
  </si>
  <si>
    <t xml:space="preserve">Andijan </t>
  </si>
  <si>
    <t xml:space="preserve">Bukhara </t>
  </si>
  <si>
    <t xml:space="preserve">Jizzakh </t>
  </si>
  <si>
    <t xml:space="preserve">Qashqadaryo </t>
  </si>
  <si>
    <t xml:space="preserve">Navoiy </t>
  </si>
  <si>
    <t xml:space="preserve">Namangan </t>
  </si>
  <si>
    <t xml:space="preserve">Samarqand </t>
  </si>
  <si>
    <t xml:space="preserve">Surxondaryo </t>
  </si>
  <si>
    <t xml:space="preserve">Sirdaryo </t>
  </si>
  <si>
    <t xml:space="preserve">Tashkent </t>
  </si>
  <si>
    <t xml:space="preserve">Fergana </t>
  </si>
  <si>
    <t xml:space="preserve">Xorazm </t>
  </si>
  <si>
    <t xml:space="preserve">Note: </t>
  </si>
  <si>
    <t>1 liter of diesel=</t>
  </si>
  <si>
    <t>Price of carbon ($/ton)=</t>
  </si>
  <si>
    <r>
      <t>Price of CO</t>
    </r>
    <r>
      <rPr>
        <b/>
        <vertAlign val="subscript"/>
        <sz val="11"/>
        <color theme="1"/>
        <rFont val="Calibri"/>
        <family val="2"/>
        <scheme val="minor"/>
      </rPr>
      <t>2</t>
    </r>
    <r>
      <rPr>
        <b/>
        <sz val="11"/>
        <color theme="1"/>
        <rFont val="Calibri"/>
        <family val="2"/>
        <scheme val="minor"/>
      </rPr>
      <t xml:space="preserve"> ($/ton) =</t>
    </r>
  </si>
  <si>
    <t>1 ton of diesel =</t>
  </si>
  <si>
    <t>barrel</t>
  </si>
  <si>
    <t>Total diesel (in barrels) =</t>
  </si>
  <si>
    <t>Количество теплиц</t>
  </si>
  <si>
    <t>Number of greenhouses</t>
  </si>
  <si>
    <t>Площадь под теплицами</t>
  </si>
  <si>
    <t>Greenhouses area (ha)</t>
  </si>
  <si>
    <t>Застеклённые</t>
  </si>
  <si>
    <t>Glazed (ha)</t>
  </si>
  <si>
    <t>под плёночные</t>
  </si>
  <si>
    <t>Greenhouses under the film (ha)</t>
  </si>
  <si>
    <t>на почве</t>
  </si>
  <si>
    <t>on the ground (soil)</t>
  </si>
  <si>
    <t>гидропоника</t>
  </si>
  <si>
    <t>Hydroponics (ha)</t>
  </si>
  <si>
    <t>Greenhouse type</t>
  </si>
  <si>
    <t>Glazed greenhouses</t>
  </si>
  <si>
    <t>Greenhouses under the film</t>
  </si>
  <si>
    <t>Greenhouses on the ground</t>
  </si>
  <si>
    <t>Greenhouses hydroponics</t>
  </si>
  <si>
    <t>Type of 1350 green houses not known</t>
  </si>
  <si>
    <t>Energy per ha/year (KWH)</t>
  </si>
  <si>
    <t>Total energy use gigawats</t>
  </si>
  <si>
    <t>Share of fruits</t>
  </si>
  <si>
    <t>Share of vegetables</t>
  </si>
  <si>
    <t>Share of other crops</t>
  </si>
  <si>
    <t>Total energy use KWH</t>
  </si>
  <si>
    <t>Total carbon emmitted (tons)=</t>
  </si>
  <si>
    <t>Share of energy used in green houses (%)</t>
  </si>
  <si>
    <t>Value of carbon emitted from green houses (US$)</t>
  </si>
  <si>
    <t>Area share in total national vegetable area (%)</t>
  </si>
  <si>
    <t>Total energy used in green houses (KWH)</t>
  </si>
  <si>
    <t>Area share in total national fruit area (%)</t>
  </si>
  <si>
    <t>Total energy (KWH) in greenhouses</t>
  </si>
  <si>
    <t>Total Carbon emmission from greenhouses (ton)</t>
  </si>
  <si>
    <t>Unts</t>
  </si>
  <si>
    <t>Item</t>
  </si>
  <si>
    <t>Quantity</t>
  </si>
  <si>
    <t>Jules</t>
  </si>
  <si>
    <t xml:space="preserve">https://www.ocean.washington.edu/courses/envir215/energynumbers.pdf </t>
  </si>
  <si>
    <t>Gasoline</t>
  </si>
  <si>
    <t>Gallon</t>
  </si>
  <si>
    <t>Liters</t>
  </si>
  <si>
    <t>Liter</t>
  </si>
  <si>
    <t>Electricity</t>
  </si>
  <si>
    <t>KWH</t>
  </si>
  <si>
    <t>Energy from</t>
  </si>
  <si>
    <t>1 litter of diesel =</t>
  </si>
  <si>
    <t>KWH of electricity</t>
  </si>
  <si>
    <t xml:space="preserve">1 liter of diesel weighs </t>
  </si>
  <si>
    <t>grams</t>
  </si>
  <si>
    <t xml:space="preserve">https://ecoscore.be/en/info/ecoscore/co2#:~:text=1%20liter%20of%20diesel%20weighs,of%20CO2%2Fliter%20diesel. </t>
  </si>
  <si>
    <t xml:space="preserve">Diesel consist of </t>
  </si>
  <si>
    <t>of carbon</t>
  </si>
  <si>
    <t>Therefore, 1 liter of diesel=</t>
  </si>
  <si>
    <t>1 KWH of electricity emits</t>
  </si>
  <si>
    <t>ton of carbon</t>
  </si>
  <si>
    <t>Summary of annual costs of land degradation on all crop lands in Tunisia (in US$ and as % of GDP)</t>
  </si>
  <si>
    <t>Crop type</t>
  </si>
  <si>
    <t>Cost (US$/year) of land degradation in the form of loss of:</t>
  </si>
  <si>
    <t>Annual-forages</t>
  </si>
  <si>
    <t>Share of each in total loss (%)</t>
  </si>
  <si>
    <t>Cost (US$/year) of land degradation by crop type:</t>
  </si>
  <si>
    <t>Provincial Total</t>
  </si>
  <si>
    <t>Share of each crop in total crop loss (%)</t>
  </si>
  <si>
    <t>Summary of annual production losses due to land degradation on all crop lands in Tunisia (tons)</t>
  </si>
  <si>
    <t>Total annual production losses (tons) due to land degradation by crop type:</t>
  </si>
  <si>
    <t>As % of total national loss</t>
  </si>
  <si>
    <t>Loss in ton per ha of crop land</t>
  </si>
  <si>
    <t>Rank in absolute volume</t>
  </si>
  <si>
    <t>Rank in loss per unit area</t>
  </si>
  <si>
    <t>As % of total provincial production (%)</t>
  </si>
  <si>
    <t>Crop loss in ton per ha of land</t>
  </si>
  <si>
    <t>Total imports=</t>
  </si>
  <si>
    <t>As% of total imports</t>
  </si>
  <si>
    <t>Main Hay in pastoral areas</t>
  </si>
  <si>
    <t>Hay</t>
  </si>
  <si>
    <t>Total Hay in pastoral areas</t>
  </si>
  <si>
    <t>1) Average Hay in pastoral areas price in Tunisia (TD/ton) =</t>
  </si>
  <si>
    <t>2) Average Hay in pastoral areas residue price in Tunisia (TD/ton) =</t>
  </si>
  <si>
    <t>A1.1) Valuation of the direct use cost of land degradation on Hay in pastoral areas fields</t>
  </si>
  <si>
    <t>A.1.1.1.1 Hay in pastoral areas Hay in pastoral areas</t>
  </si>
  <si>
    <t>Total Hay in pastoral areas area (ha)</t>
  </si>
  <si>
    <t>Percentage of Hay in pastoral areas area by degree of land degradation ( low degradation, medium degradation, severe degradation)</t>
  </si>
  <si>
    <t>Average Hay in pastoral areas yield lost (ton/ha) under each category of land degradation (Assuming the current yield under low LD is the best we can achieve now)</t>
  </si>
  <si>
    <t>Total amount of Hay in pastoral areas production that is lost due to land degradation (tons)</t>
  </si>
  <si>
    <t>Total value of of Hay in pastoral areas production that is lost due to land degradation (in US$/year)</t>
  </si>
  <si>
    <t>A.1.1.1.2 Hay in pastoral areas Straw</t>
  </si>
  <si>
    <t>Assumed average straw:Hay in pastoral areas ratio of :</t>
  </si>
  <si>
    <t>https://www.semanticscholar.org/paper/Differences-in-Hay in pastoral areas%2Fstraw-ratio%2C-protein-content-Konvalina-Stehno/c8920241b02879926ffb06363c1fe2306dde4d96/figure/4</t>
  </si>
  <si>
    <t>Total amount of Hay in pastoral areas straw production that is lost due to land degradation (tons)</t>
  </si>
  <si>
    <t>Total value of of Hay in pastoral areas straw production that is lost due to land degradation (in US$/year)</t>
  </si>
  <si>
    <t>A1.2) Value of non-consumptive uses (this refers to revenue from tourism, recreation, education and research vlaues, etc. obtained from Hay in pastoral areas lands)</t>
  </si>
  <si>
    <t>Revenue per ha from non-consumptive uses of Hay in pastoral areas fields</t>
  </si>
  <si>
    <t>Annual loss of non-consumptive values of Hay in pastoral areas fields due to land degradation (US$/year)</t>
  </si>
  <si>
    <t>Value forgone due to the following only in medium and severly degraded Hay in pastoral areas fields 
(we assume the non-consumptive value lost in intact Hay in pastoral areas fields is zero)</t>
  </si>
  <si>
    <t xml:space="preserve">Conclusion: Assuming that there is no yield loss in all cereal fields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the cost of land degradation on Cereal fields in Tunisia is estimated at: </t>
  </si>
  <si>
    <t>metric tons of hay and forage and</t>
  </si>
  <si>
    <t>metric tons of straw. The total value of both grain and straw lost is estiamted at:</t>
  </si>
  <si>
    <t>Main Other-crops</t>
  </si>
  <si>
    <t>Total Other-crops</t>
  </si>
  <si>
    <t>Average Other-crops yield (ton/ha) by level of land degradation</t>
  </si>
  <si>
    <t>1) Average other-crops price in Tunisia (TD/ton) =</t>
  </si>
  <si>
    <t>2) Average other-crops residue price in Tunisia (TD/ton) =</t>
  </si>
  <si>
    <t>A1.1) Valuation of the direct use cost of land degradation on Other-crops fields</t>
  </si>
  <si>
    <t>A.1.1.1.1 Other-crops Other-crops</t>
  </si>
  <si>
    <t>Total Other-crops area (ha)</t>
  </si>
  <si>
    <t>Percentage of Other-crops area by degree of land degradation ( low degradation, medium degradation, severe degradation)</t>
  </si>
  <si>
    <t>Average Other-crops yield lost (ton/ha) under each category of land degradation (Assuming the current yield under low LD is the best we can achieve now)</t>
  </si>
  <si>
    <t>Total amount of Other-crops production that is lost due to land degradation (tons)</t>
  </si>
  <si>
    <t>Total value of of Other-crops production that is lost due to land degradation (in US$/year)</t>
  </si>
  <si>
    <t>A.1.1.1.2 Other-crops Straw</t>
  </si>
  <si>
    <t>Assumed average straw:Other-crops ratio of :</t>
  </si>
  <si>
    <t>https://www.semanticscholar.org/paper/Differences-in-Other-crops%2Fstraw-ratio%2C-protein-content-Konvalina-Stehno/c8920241b02879926ffb06363c1fe2306dde4d96/figure/4</t>
  </si>
  <si>
    <t>Total amount of Other-crops straw production that is lost due to land degradation (tons)</t>
  </si>
  <si>
    <t>Total value of of Other-crops straw production that is lost due to land degradation (in US$/year)</t>
  </si>
  <si>
    <t>A1.2) Value of non-consumptive uses (this refers to revenue from tourism, recreation, education and research vlaues, etc. obtained from Other-crops lands)</t>
  </si>
  <si>
    <t>Revenue per ha from non-consumptive uses of Other-crops fields</t>
  </si>
  <si>
    <t>Annual loss of non-consumptive values of Other-crops fields due to land degradation (US$/year)</t>
  </si>
  <si>
    <t>Value forgone due to the following only in medium and severly degraded Other-crops fields 
(we assume the non-consumptive value lost in intact Other-crops fields is zero)</t>
  </si>
  <si>
    <t>Estimation of the total annual cost of land degradation in permanent pastures</t>
  </si>
  <si>
    <t>Definition: In this analysis, permanent pastures are defined as crop areas cultivated by farmers on their farm lands.</t>
  </si>
  <si>
    <t>Land degradation in permanent pastures is defined as the reduction in the soil's productive ability due to various factors as soil errosion (both water and wind), salinity, sodicity, etc.</t>
  </si>
  <si>
    <t>1) Average price of hay in Tunisia (US$/ton) =</t>
  </si>
  <si>
    <t>2) Average price of hay in Tunisia (US$/ton) =</t>
  </si>
  <si>
    <t>pasture</t>
  </si>
  <si>
    <t>Annual average nominal price increase (US$/ton) =</t>
  </si>
  <si>
    <t>Annual average real price increase (US$/ton) =</t>
  </si>
  <si>
    <t>A1.1) Valuation of the direct use cost of land degradation on pasture fields</t>
  </si>
  <si>
    <t>A1.1.1 Value of consumption uses (Note: Total consumption value of crop and residue harvested will be used as a proxy to the total cost of land degradation on permanent pastures for consumptive purposes)</t>
  </si>
  <si>
    <t>A.1.1.1.1 pasture</t>
  </si>
  <si>
    <t>Total pasture area (ha)</t>
  </si>
  <si>
    <t>Percentage of pasture area by degree of land degradation ( low degradation, medium degradation, severe degradation)</t>
  </si>
  <si>
    <t>Average pasture yield lost (ton/ha) under each category of land degradation</t>
  </si>
  <si>
    <t>Total amount of pasture production that is lost due to land degradation (tons)</t>
  </si>
  <si>
    <t>Total value of hay production that is lost due to erosion (in US$/year)</t>
  </si>
  <si>
    <t>As % of national</t>
  </si>
  <si>
    <t>Rank (total loss)</t>
  </si>
  <si>
    <t>Rank (loss per unit area)</t>
  </si>
  <si>
    <t>A.1.1.1.2 pasture Straw</t>
  </si>
  <si>
    <t>We used average  straw:pasture ratio of :</t>
  </si>
  <si>
    <t>https://www.semanticscholar.org/paper/Differences-in-pasture%2Fstraw-ratio%2C-protein-content-Konvalina-Stehno/c8920241b02879926ffb06363c1fe2306dde4d96/figure/4</t>
  </si>
  <si>
    <t>Total amount of pasture straw production that is lost due to land degradation (tons)</t>
  </si>
  <si>
    <t>Total value of of pasture straw production that is lost due to land degradation (in US$/year)</t>
  </si>
  <si>
    <r>
      <t>A1.2) Value of non-consumptive uses (this refers to revenue from tourism, recreation, education and research vlaues including jungle cruises, wildlife photography, trekking, research and education, etc.</t>
    </r>
    <r>
      <rPr>
        <b/>
        <sz val="11"/>
        <color rgb="FFFF0000"/>
        <rFont val="Calibri"/>
        <family val="2"/>
        <scheme val="minor"/>
      </rPr>
      <t xml:space="preserve"> in pasture areas</t>
    </r>
    <r>
      <rPr>
        <b/>
        <sz val="11"/>
        <color theme="1"/>
        <rFont val="Calibri"/>
        <family val="2"/>
        <scheme val="minor"/>
      </rPr>
      <t>)</t>
    </r>
  </si>
  <si>
    <t>If we can't get these figures from secondary data, we assume them to be zero</t>
  </si>
  <si>
    <t>Revenue per ha from non-consumptive uses of pasture fields</t>
  </si>
  <si>
    <t>Annual loss of non-consumptive values of pasture fields due to land degradation (US$/year)</t>
  </si>
  <si>
    <t>Weigh of soil  (ton/ha)</t>
  </si>
  <si>
    <t>Wuepper, D., Borrelli, P. &amp; Finger, R. Countries and the global rate of soil erosion. Nat Sustain (2021) doi:10.1038/s41893-019-0438-4</t>
  </si>
  <si>
    <t>Value forgone due to the following only in medium and severly degraded pasture fields 
(we assume the non-consumptive value lost in intact pasture fields is zero)</t>
  </si>
  <si>
    <r>
      <t>Gas (carbon dioxide/oxygen) exchange, carbon storage &amp; climate stabilization (</t>
    </r>
    <r>
      <rPr>
        <i/>
        <sz val="11"/>
        <color rgb="FFFF0000"/>
        <rFont val="Arial"/>
        <family val="2"/>
      </rPr>
      <t>here we focus only on carbon loss). This is estimated based on
% of humus that is lost</t>
    </r>
  </si>
  <si>
    <t>As % of total national</t>
  </si>
  <si>
    <t>In barrels of diesel equivalent =</t>
  </si>
  <si>
    <t>Conversion factor =</t>
  </si>
  <si>
    <t>Option, existence, and bequest values calcuated as the difference between value people expect by keeping it for future and its current value (TD/year)
Here, we assume that yields will remain the same over time (no technological advances)</t>
  </si>
  <si>
    <r>
      <t xml:space="preserve">Data on Pastures: Source </t>
    </r>
    <r>
      <rPr>
        <b/>
        <sz val="11"/>
        <color rgb="FFFF0000"/>
        <rFont val="Calibri"/>
        <family val="2"/>
        <scheme val="minor"/>
      </rPr>
      <t>XXXXX</t>
    </r>
  </si>
  <si>
    <t>Yield that can be obtained from undegraded land (ton/ha)=</t>
  </si>
  <si>
    <t>Total dry mass production (tons)</t>
  </si>
  <si>
    <t>Yield (ton/ha)</t>
  </si>
  <si>
    <t>Proportion of dry mass that can be grazed</t>
  </si>
  <si>
    <t>% grazed</t>
  </si>
  <si>
    <t>Amount grazed (ton)</t>
  </si>
  <si>
    <t>% share in total yield</t>
  </si>
  <si>
    <t>Conversion factor as %</t>
  </si>
  <si>
    <t>Average grazed (ton/ha)</t>
  </si>
  <si>
    <t>Moderate</t>
  </si>
  <si>
    <t>Average Yield (ton/ha)</t>
  </si>
  <si>
    <t>Average drymass production (ton/ha)</t>
  </si>
  <si>
    <t>Total dry mass that can be grazed</t>
  </si>
  <si>
    <t>Total production lost due to degradation (ton/ha)</t>
  </si>
  <si>
    <t>Summary of costs of land degradation on permanent pastures in Tunisia (US$/year) and as % of GDP</t>
  </si>
  <si>
    <t>World price of pasture (FOB)</t>
  </si>
  <si>
    <t>Bushels in a ton</t>
  </si>
  <si>
    <t>Price per bushel</t>
  </si>
  <si>
    <t xml:space="preserve">Conclusion: Assuming that there is no yield loss in the 10% of pasture fields in DRS which are classifed as least degraded and assuming only a 10% reduction in the average yield loss for moderately degraded fields relative to those with low degradation and another 10% for those severely degraded fields relative to those moderately degraded fields in the same province, land degradation on pasture fields is costing Tunisia: estimated at: </t>
  </si>
  <si>
    <t>metric tons of pasture (mostly pasture) and</t>
  </si>
  <si>
    <t>metric tons of pasture (mostly pasture) straw both of which are estiamted at</t>
  </si>
  <si>
    <t>Summary of annual costs of land degradation on all rangelands in Tunisia (in US$ and as % of GDP)</t>
  </si>
  <si>
    <t>Agrosylvopastoral areas</t>
  </si>
  <si>
    <t>Summary of annual costs of land degradation on rangelands in Tunisia (in US$ and as % of GDP)</t>
  </si>
  <si>
    <t>Summary of annual production losses due to land degradation on rangelands in Tunisia (tons)</t>
  </si>
  <si>
    <t>Every tone of carbon in wood is equivalent to =</t>
  </si>
  <si>
    <t>tons of CO2</t>
  </si>
  <si>
    <t>Loss of forests as percentage of tree cover for 2020 =</t>
  </si>
  <si>
    <t>Share of Carbon in total dry wood weight (%)=</t>
  </si>
  <si>
    <t>Source=</t>
  </si>
  <si>
    <t>https://forestlearning.edu.au/images/resources/How%20carbon%20is%20stored%20in%20trees%20and%20wood%20products.pdf</t>
  </si>
  <si>
    <t>Share of fire (43%) and fuel wood (7% assumed) in total forest loss =</t>
  </si>
  <si>
    <t>From 2001 to 2022, Tunisia lost 23.0 kha of tree cover from fires and 9.98 kha from all other drivers of loss. </t>
  </si>
  <si>
    <t>Total amount of wood lost (ton)</t>
  </si>
  <si>
    <t>value of wooddy biomass lost (US$)</t>
  </si>
  <si>
    <t>Total carbon emmitted</t>
  </si>
  <si>
    <t>Value of carbon emmitted (US$)</t>
  </si>
  <si>
    <t>Total cost of deforestation (US$)</t>
  </si>
  <si>
    <t xml:space="preserve">Total amount </t>
  </si>
  <si>
    <t>Source: my own calculation using the data obtained from the above source</t>
  </si>
  <si>
    <t>Estimation of the total annual cost of deforestation</t>
  </si>
  <si>
    <t>Exchange rate  in 2021 (1US$)=</t>
  </si>
  <si>
    <t>Tunisia TD</t>
  </si>
  <si>
    <t>Definition: In this analysis, forests are defined as natural and cultivated forests excluding agro-forestery such as fruit orchards.</t>
  </si>
  <si>
    <r>
      <t xml:space="preserve">Deforestation includes: </t>
    </r>
    <r>
      <rPr>
        <sz val="11"/>
        <color theme="1"/>
        <rFont val="Calibri"/>
        <family val="2"/>
        <scheme val="minor"/>
      </rPr>
      <t>logging, natural or human induced forest fires, collecting non-timber forest products and wood for fuel, construction or other uses, producing charcoal, forest products consumed (browsed) by animals, forest cleared for agricultural cultivation or for establishing settlements, factories, etc.</t>
    </r>
  </si>
  <si>
    <t>1) Average price of forest products in Tunisia (US$/ton) =</t>
  </si>
  <si>
    <t>Annual discount factor=</t>
  </si>
  <si>
    <t>from 5 to 30</t>
  </si>
  <si>
    <t>A1.1) Valuation of the direct use cost of deforestation</t>
  </si>
  <si>
    <r>
      <t>A1. Value of consumption uses (</t>
    </r>
    <r>
      <rPr>
        <b/>
        <sz val="11"/>
        <color rgb="FFFF0000"/>
        <rFont val="Calibri"/>
        <family val="2"/>
        <scheme val="minor"/>
      </rPr>
      <t>Note: Total consumption value of biomass removed will be used as a proxy to the total cost of deforestation for consumptive purposes</t>
    </r>
    <r>
      <rPr>
        <b/>
        <sz val="11"/>
        <color theme="1"/>
        <rFont val="Calibri"/>
        <family val="2"/>
        <scheme val="minor"/>
      </rPr>
      <t>)</t>
    </r>
  </si>
  <si>
    <t>Total forest and shrubs area (ha)</t>
  </si>
  <si>
    <r>
      <rPr>
        <b/>
        <sz val="11"/>
        <color rgb="FFFF0000"/>
        <rFont val="Calibri"/>
        <family val="2"/>
        <scheme val="minor"/>
      </rPr>
      <t>Percentage</t>
    </r>
    <r>
      <rPr>
        <b/>
        <sz val="11"/>
        <color theme="1"/>
        <rFont val="Calibri"/>
        <family val="2"/>
        <scheme val="minor"/>
      </rPr>
      <t xml:space="preserve"> of forest area by deforestation level (sever deforestation, modest deforestation, intact or low deforestation)</t>
    </r>
  </si>
  <si>
    <r>
      <rPr>
        <b/>
        <sz val="11"/>
        <color rgb="FFFF0000"/>
        <rFont val="Calibri"/>
        <family val="2"/>
        <scheme val="minor"/>
      </rPr>
      <t>Total value</t>
    </r>
    <r>
      <rPr>
        <b/>
        <sz val="11"/>
        <color theme="1"/>
        <rFont val="Calibri"/>
        <family val="2"/>
        <scheme val="minor"/>
      </rPr>
      <t xml:space="preserve"> of woody biomass that is lost due to land degradation (in US$/year)</t>
    </r>
  </si>
  <si>
    <t>Loss (ton/ha)</t>
  </si>
  <si>
    <t>As % of total loss</t>
  </si>
  <si>
    <t>As % of total provincial forest stock</t>
  </si>
  <si>
    <t>Low (or intact)</t>
  </si>
  <si>
    <r>
      <t>A1.2) Value of non-consumptive uses (</t>
    </r>
    <r>
      <rPr>
        <b/>
        <sz val="11"/>
        <color rgb="FFFF0000"/>
        <rFont val="Calibri"/>
        <family val="2"/>
        <scheme val="minor"/>
      </rPr>
      <t>this refers to revenue from tourism, recreation, education and research vlaues including jungle cruises, wildlife photography, trekking, research and education, etc. in forests</t>
    </r>
    <r>
      <rPr>
        <b/>
        <sz val="11"/>
        <color theme="1"/>
        <rFont val="Calibri"/>
        <family val="2"/>
        <scheme val="minor"/>
      </rPr>
      <t>)</t>
    </r>
  </si>
  <si>
    <t>Cost of land degradation due to the direct use value of forests as % of GDP =</t>
  </si>
  <si>
    <t>Annabi: Here, please focus only on revenue from recreation and turism</t>
  </si>
  <si>
    <t>Percentage share of each category of the level of deforestation in total revenue (%)</t>
  </si>
  <si>
    <t>Revenue per ha from non-consumptive uses</t>
  </si>
  <si>
    <r>
      <t xml:space="preserve">Annual loss of </t>
    </r>
    <r>
      <rPr>
        <b/>
        <sz val="11"/>
        <color rgb="FFFF0000"/>
        <rFont val="Calibri"/>
        <family val="2"/>
        <scheme val="minor"/>
      </rPr>
      <t>non-</t>
    </r>
    <r>
      <rPr>
        <b/>
        <sz val="11"/>
        <color theme="1"/>
        <rFont val="Calibri"/>
        <family val="2"/>
        <scheme val="minor"/>
      </rPr>
      <t>consumptive value due to deforestation (</t>
    </r>
    <r>
      <rPr>
        <b/>
        <sz val="11"/>
        <color rgb="FF00B050"/>
        <rFont val="Calibri"/>
        <family val="2"/>
        <scheme val="minor"/>
      </rPr>
      <t>US$</t>
    </r>
    <r>
      <rPr>
        <b/>
        <sz val="11"/>
        <color theme="1"/>
        <rFont val="Calibri"/>
        <family val="2"/>
        <scheme val="minor"/>
      </rPr>
      <t>/year)</t>
    </r>
  </si>
  <si>
    <t>Low deforestation or intact</t>
  </si>
  <si>
    <t>Note: Annabi to find licence fee for hunting (below are examples from Tunisia)</t>
  </si>
  <si>
    <t>Name of wild animal</t>
  </si>
  <si>
    <r>
      <t xml:space="preserve">Licence fee collected in </t>
    </r>
    <r>
      <rPr>
        <b/>
        <sz val="11"/>
        <color rgb="FFFF0000"/>
        <rFont val="Calibri"/>
        <family val="2"/>
        <scheme val="minor"/>
      </rPr>
      <t>2021</t>
    </r>
  </si>
  <si>
    <t>ZZZ</t>
  </si>
  <si>
    <t>BBB</t>
  </si>
  <si>
    <t>CCC</t>
  </si>
  <si>
    <t>Pamir-Argali</t>
  </si>
  <si>
    <t>Markhor</t>
  </si>
  <si>
    <t>Other animals</t>
  </si>
  <si>
    <t>Source = XXXX</t>
  </si>
  <si>
    <t>Total woody biomass carbon released to the atmosphre due to deforestation (ton)</t>
  </si>
  <si>
    <t>Total carbon released into the atmosphere due to deforestation (tons)</t>
  </si>
  <si>
    <r>
      <t>Option, existence, and bequest values of forests is calcuated as the difference between value people expect by keeping it until next year and its current value (</t>
    </r>
    <r>
      <rPr>
        <b/>
        <i/>
        <sz val="11"/>
        <color rgb="FF00B050"/>
        <rFont val="Arial"/>
        <family val="2"/>
      </rPr>
      <t>US$</t>
    </r>
    <r>
      <rPr>
        <i/>
        <sz val="11"/>
        <color rgb="FF000000"/>
        <rFont val="Arial"/>
        <family val="2"/>
      </rPr>
      <t>/year)</t>
    </r>
  </si>
  <si>
    <t>% of GDP</t>
  </si>
  <si>
    <t>Summary of costs of Deforestation in Tunisia (US$/year)</t>
  </si>
  <si>
    <t>In TD/year</t>
  </si>
  <si>
    <t>Note: Annabi to fill the missing figures (highlighed in red)</t>
  </si>
  <si>
    <r>
      <t xml:space="preserve">Every year, an average of </t>
    </r>
    <r>
      <rPr>
        <sz val="11"/>
        <color rgb="FFFF0000"/>
        <rFont val="Calibri"/>
        <family val="2"/>
        <scheme val="minor"/>
      </rPr>
      <t>XXX</t>
    </r>
    <r>
      <rPr>
        <sz val="11"/>
        <color theme="1"/>
        <rFont val="Calibri"/>
        <family val="2"/>
        <charset val="204"/>
        <scheme val="minor"/>
      </rPr>
      <t xml:space="preserve"> m</t>
    </r>
    <r>
      <rPr>
        <vertAlign val="superscript"/>
        <sz val="11"/>
        <color theme="1"/>
        <rFont val="Calibri"/>
        <family val="2"/>
        <charset val="204"/>
        <scheme val="minor"/>
      </rPr>
      <t>3</t>
    </r>
    <r>
      <rPr>
        <sz val="11"/>
        <color theme="1"/>
        <rFont val="Calibri"/>
        <family val="2"/>
        <charset val="204"/>
        <scheme val="minor"/>
      </rPr>
      <t xml:space="preserve"> of firewood is harvested in a planned manner and about XXX m3 is harvested illegally. Thus, an average of YYY m</t>
    </r>
    <r>
      <rPr>
        <vertAlign val="superscript"/>
        <sz val="11"/>
        <color theme="1"/>
        <rFont val="Calibri"/>
        <family val="2"/>
        <charset val="204"/>
        <scheme val="minor"/>
      </rPr>
      <t>3</t>
    </r>
    <r>
      <rPr>
        <sz val="11"/>
        <color theme="1"/>
        <rFont val="Calibri"/>
        <family val="2"/>
        <charset val="204"/>
        <scheme val="minor"/>
      </rPr>
      <t xml:space="preserve"> is withdrawn per year.</t>
    </r>
  </si>
  <si>
    <r>
      <t xml:space="preserve">As a result of illegal logging, about </t>
    </r>
    <r>
      <rPr>
        <sz val="11"/>
        <color rgb="FFFF0000"/>
        <rFont val="Calibri"/>
        <family val="2"/>
      </rPr>
      <t>YYY</t>
    </r>
    <r>
      <rPr>
        <sz val="11"/>
        <color theme="1"/>
        <rFont val="Calibri"/>
        <family val="2"/>
        <charset val="204"/>
      </rPr>
      <t xml:space="preserve"> m</t>
    </r>
    <r>
      <rPr>
        <vertAlign val="superscript"/>
        <sz val="11"/>
        <color theme="1"/>
        <rFont val="Calibri"/>
        <family val="2"/>
      </rPr>
      <t>3</t>
    </r>
    <r>
      <rPr>
        <sz val="11"/>
        <color theme="1"/>
        <rFont val="Calibri"/>
        <family val="2"/>
        <charset val="204"/>
      </rPr>
      <t xml:space="preserve"> of wood is harvested annually </t>
    </r>
  </si>
  <si>
    <t>Deforestation level</t>
  </si>
  <si>
    <r>
      <rPr>
        <sz val="11"/>
        <color rgb="FFFF0000"/>
        <rFont val="Calibri"/>
        <family val="2"/>
      </rPr>
      <t>Assumed</t>
    </r>
    <r>
      <rPr>
        <sz val="11"/>
        <color theme="1"/>
        <rFont val="Calibri"/>
        <family val="2"/>
        <charset val="204"/>
      </rPr>
      <t xml:space="preserve"> annual percentage reduction of forests</t>
    </r>
  </si>
  <si>
    <t>Medium</t>
  </si>
  <si>
    <t>As a result of cost-accounting activities, the government of the Republic of Tunisia has received an average of  
TD from  the sale of forest products in recent  years. Provincial breakdown is as follows:</t>
  </si>
  <si>
    <t>Revenue from sales of forest products (TD)</t>
  </si>
  <si>
    <t>Breeds such as poplar, willow, plane tree, grapes, oleaster and TDe others are grown in the nurseries by rooting cuttings. The growing period is 1 year, less often 2 years.</t>
  </si>
  <si>
    <t>Annual total official demand for fuel wood in Tunisia in tons is =</t>
  </si>
  <si>
    <r>
      <t>Estimates of annual unofficial demand (m</t>
    </r>
    <r>
      <rPr>
        <vertAlign val="superscript"/>
        <sz val="11"/>
        <color theme="1"/>
        <rFont val="Calibri"/>
        <family val="2"/>
        <scheme val="minor"/>
      </rPr>
      <t>3</t>
    </r>
    <r>
      <rPr>
        <sz val="11"/>
        <color theme="1"/>
        <rFont val="Calibri"/>
        <family val="2"/>
        <scheme val="minor"/>
      </rPr>
      <t>)=</t>
    </r>
  </si>
  <si>
    <r>
      <t xml:space="preserve">The State Committee annually harvests </t>
    </r>
    <r>
      <rPr>
        <sz val="11"/>
        <color rgb="FFFF0000"/>
        <rFont val="Calibri"/>
        <family val="2"/>
        <scheme val="minor"/>
      </rPr>
      <t xml:space="preserve">TTT cubic metres </t>
    </r>
    <r>
      <rPr>
        <sz val="11"/>
        <color theme="1"/>
        <rFont val="Calibri"/>
        <family val="2"/>
        <scheme val="minor"/>
      </rPr>
      <t>of timber to meet the needs of various institutions, primarily for use as fuelwood.</t>
    </r>
  </si>
  <si>
    <t>The State Committee annually harvests SSSS cubic metres of industrial round wood at price of NNN TD = U$MMM per ton (in 2021)</t>
  </si>
  <si>
    <t>Table 2-3. Forest volume and above-ground biomass by region</t>
  </si>
  <si>
    <t>http://www.fao.org/3/y1997e/y1997e07.htm</t>
  </si>
  <si>
    <t>Region</t>
  </si>
  <si>
    <t>Forest area</t>
  </si>
  <si>
    <t>Volume</t>
  </si>
  <si>
    <t>Biomass</t>
  </si>
  <si>
    <t>by area</t>
  </si>
  <si>
    <t>total</t>
  </si>
  <si>
    <t>Conversion factor (m3 to ton)</t>
  </si>
  <si>
    <t>million ha</t>
  </si>
  <si>
    <r>
      <t>m</t>
    </r>
    <r>
      <rPr>
        <b/>
        <i/>
        <vertAlign val="superscript"/>
        <sz val="8"/>
        <color theme="1"/>
        <rFont val="Arial"/>
        <family val="2"/>
      </rPr>
      <t>3</t>
    </r>
    <r>
      <rPr>
        <b/>
        <i/>
        <sz val="10"/>
        <color theme="1"/>
        <rFont val="Arial"/>
        <family val="2"/>
      </rPr>
      <t>/ha</t>
    </r>
  </si>
  <si>
    <r>
      <t>Gm</t>
    </r>
    <r>
      <rPr>
        <b/>
        <i/>
        <vertAlign val="superscript"/>
        <sz val="8"/>
        <color theme="1"/>
        <rFont val="Arial"/>
        <family val="2"/>
      </rPr>
      <t>3</t>
    </r>
  </si>
  <si>
    <t>t/ha</t>
  </si>
  <si>
    <t>Gt</t>
  </si>
  <si>
    <t>Africa</t>
  </si>
  <si>
    <t>Asia</t>
  </si>
  <si>
    <t>Oceania</t>
  </si>
  <si>
    <t>Europe</t>
  </si>
  <si>
    <t>1 039</t>
  </si>
  <si>
    <t>North and Central America</t>
  </si>
  <si>
    <t>South America</t>
  </si>
  <si>
    <t>3 869</t>
  </si>
  <si>
    <r>
      <t>Source</t>
    </r>
    <r>
      <rPr>
        <sz val="9"/>
        <color rgb="FF000000"/>
        <rFont val="Arial"/>
        <family val="2"/>
      </rPr>
      <t>. Appendix 3, Table 7.</t>
    </r>
  </si>
  <si>
    <t>Figure 2-1. Above-ground woody biomass by country (tonnes/ha)</t>
  </si>
  <si>
    <t>http://www.fao.org/forestry/8962-033da6f6c7864a34f23f2fd7b4bf196e5.pdf</t>
  </si>
  <si>
    <t>Wood prices estimated as average prices for 1999-2003 where the price of fuel wood  was 15 TD per m3. The value was calculated, using the exchange rate of 2003, which was 1USD= 3.00 TD.</t>
  </si>
  <si>
    <t>Therefore, the price of fuelwood in TD/per ton is=</t>
  </si>
  <si>
    <t>Current 2021 marktet price (US$/ton)</t>
  </si>
  <si>
    <t>Therefore, the price of fuelwood in TD/per m3 is=</t>
  </si>
  <si>
    <t>Source: Current market price from Annabi</t>
  </si>
  <si>
    <t xml:space="preserve">https://unece.org/fileadmin/DAM/timber/docs/dp/dp-45.pdf </t>
  </si>
  <si>
    <t>Current 2021 marktet price (US$/m3)</t>
  </si>
  <si>
    <t>Conversion from cubic meters to tons</t>
  </si>
  <si>
    <t>https://www.vcalc.com/equation/?uuid=bb93cdbc-b57a-11e5-9770-bc764e2038f2</t>
  </si>
  <si>
    <t>Data on densities of different trees</t>
  </si>
  <si>
    <t>https://cedarstripkayak.wordpress.com/lumber-selection/162-2/</t>
  </si>
  <si>
    <t>Main tree types</t>
  </si>
  <si>
    <t>Area in thousand in Tunisia (ha)</t>
  </si>
  <si>
    <r>
      <t>Density (1000kg/m</t>
    </r>
    <r>
      <rPr>
        <b/>
        <vertAlign val="superscript"/>
        <sz val="11"/>
        <color theme="1"/>
        <rFont val="Calibri"/>
        <family val="2"/>
        <scheme val="minor"/>
      </rPr>
      <t>3</t>
    </r>
    <r>
      <rPr>
        <b/>
        <sz val="11"/>
        <color theme="1"/>
        <rFont val="Calibri"/>
        <family val="2"/>
        <scheme val="minor"/>
      </rPr>
      <t>)</t>
    </r>
  </si>
  <si>
    <r>
      <t>Weight (ton) per m</t>
    </r>
    <r>
      <rPr>
        <vertAlign val="superscript"/>
        <sz val="11"/>
        <color theme="1"/>
        <rFont val="Calibri"/>
        <family val="2"/>
        <scheme val="minor"/>
      </rPr>
      <t>3</t>
    </r>
    <r>
      <rPr>
        <sz val="11"/>
        <color theme="1"/>
        <rFont val="Calibri"/>
        <family val="2"/>
        <scheme val="minor"/>
      </rPr>
      <t xml:space="preserve"> (Volume=Mass x Density)</t>
    </r>
  </si>
  <si>
    <t>Share of Carbon in total dry wood weight (%)</t>
  </si>
  <si>
    <t>Juniper</t>
  </si>
  <si>
    <t xml:space="preserve">Walnut </t>
  </si>
  <si>
    <t>Pistachio</t>
  </si>
  <si>
    <t>Other</t>
  </si>
  <si>
    <t>Total/average</t>
  </si>
  <si>
    <t>Source</t>
  </si>
  <si>
    <t>https://www.wood-database.com/pistachio/</t>
  </si>
  <si>
    <r>
      <t>Value of 1 M</t>
    </r>
    <r>
      <rPr>
        <b/>
        <vertAlign val="superscript"/>
        <sz val="11"/>
        <color theme="1"/>
        <rFont val="Calibri"/>
        <family val="2"/>
        <scheme val="minor"/>
      </rPr>
      <t>3</t>
    </r>
    <r>
      <rPr>
        <b/>
        <sz val="11"/>
        <color theme="1"/>
        <rFont val="Calibri"/>
        <family val="2"/>
        <scheme val="minor"/>
      </rPr>
      <t xml:space="preserve"> of water in US$=</t>
    </r>
  </si>
  <si>
    <r>
      <t>Annually allocated amount of surface water or abstracted ground water for irrigation (million M</t>
    </r>
    <r>
      <rPr>
        <b/>
        <vertAlign val="superscript"/>
        <sz val="11"/>
        <color theme="1"/>
        <rFont val="Calibri"/>
        <family val="2"/>
        <scheme val="minor"/>
      </rPr>
      <t>3</t>
    </r>
    <r>
      <rPr>
        <b/>
        <sz val="11"/>
        <color theme="1"/>
        <rFont val="Calibri"/>
        <family val="2"/>
        <scheme val="minor"/>
      </rPr>
      <t>) by source:</t>
    </r>
  </si>
  <si>
    <t>Share of delivered water (%)</t>
  </si>
  <si>
    <r>
      <t>Annually delivered to the field (million M</t>
    </r>
    <r>
      <rPr>
        <b/>
        <vertAlign val="superscript"/>
        <sz val="11"/>
        <color theme="1"/>
        <rFont val="Calibri"/>
        <family val="2"/>
        <scheme val="minor"/>
      </rPr>
      <t>3</t>
    </r>
    <r>
      <rPr>
        <b/>
        <sz val="11"/>
        <color theme="1"/>
        <rFont val="Calibri"/>
        <family val="2"/>
        <scheme val="minor"/>
      </rPr>
      <t>) by source:</t>
    </r>
  </si>
  <si>
    <r>
      <t>Amount of water utilized by crops (million M</t>
    </r>
    <r>
      <rPr>
        <b/>
        <vertAlign val="superscript"/>
        <sz val="11"/>
        <color theme="1"/>
        <rFont val="Calibri"/>
        <family val="2"/>
        <scheme val="minor"/>
      </rPr>
      <t>3</t>
    </r>
    <r>
      <rPr>
        <b/>
        <sz val="11"/>
        <color theme="1"/>
        <rFont val="Calibri"/>
        <family val="2"/>
        <scheme val="minor"/>
      </rPr>
      <t>) by source:</t>
    </r>
  </si>
  <si>
    <t>Annually lost water on the field (million M3) by source:</t>
  </si>
  <si>
    <r>
      <t>Annually lost water (million M</t>
    </r>
    <r>
      <rPr>
        <b/>
        <vertAlign val="superscript"/>
        <sz val="11"/>
        <color theme="1"/>
        <rFont val="Calibri"/>
        <family val="2"/>
        <scheme val="minor"/>
      </rPr>
      <t>3</t>
    </r>
    <r>
      <rPr>
        <b/>
        <sz val="11"/>
        <color theme="1"/>
        <rFont val="Calibri"/>
        <family val="2"/>
        <scheme val="minor"/>
      </rPr>
      <t>) due to:</t>
    </r>
  </si>
  <si>
    <t>% loss</t>
  </si>
  <si>
    <r>
      <t>Amount of irrigation water (thousand M</t>
    </r>
    <r>
      <rPr>
        <b/>
        <vertAlign val="superscript"/>
        <sz val="14"/>
        <color theme="1"/>
        <rFont val="Calibri"/>
        <family val="2"/>
        <scheme val="minor"/>
      </rPr>
      <t>3</t>
    </r>
    <r>
      <rPr>
        <b/>
        <sz val="14"/>
        <color theme="1"/>
        <rFont val="Calibri"/>
        <family val="2"/>
        <scheme val="minor"/>
      </rPr>
      <t>) annually contaminated due to leaching of chemical inputs in agriculture:</t>
    </r>
  </si>
  <si>
    <t>Surface water resources</t>
  </si>
  <si>
    <t>Ground water resources</t>
  </si>
  <si>
    <t>Sotrage and conveyance loss: Surface water (%)</t>
  </si>
  <si>
    <t>Delivered to the field from surface water</t>
  </si>
  <si>
    <t>Percentage of ground water delivered</t>
  </si>
  <si>
    <t>Crop water requirement (million m3)</t>
  </si>
  <si>
    <t>Loss as % of total supply</t>
  </si>
  <si>
    <t>Conveyance losses</t>
  </si>
  <si>
    <t>Surface</t>
  </si>
  <si>
    <t>Ground</t>
  </si>
  <si>
    <t>% share</t>
  </si>
  <si>
    <r>
      <t>Amount of water (thousand M</t>
    </r>
    <r>
      <rPr>
        <b/>
        <vertAlign val="superscript"/>
        <sz val="16"/>
        <color theme="1"/>
        <rFont val="Calibri"/>
        <family val="2"/>
        <scheme val="minor"/>
      </rPr>
      <t>3</t>
    </r>
    <r>
      <rPr>
        <b/>
        <sz val="16"/>
        <color theme="1"/>
        <rFont val="Calibri"/>
        <family val="2"/>
        <scheme val="minor"/>
      </rPr>
      <t>) annually lost due to surface runoff from:</t>
    </r>
  </si>
  <si>
    <t>Conveyance</t>
  </si>
  <si>
    <t>On the field</t>
  </si>
  <si>
    <t>Surface run off</t>
  </si>
  <si>
    <r>
      <t>In the entire Khorezm region, irrigation pumps consume approximately </t>
    </r>
    <r>
      <rPr>
        <b/>
        <sz val="11"/>
        <color rgb="FF202124"/>
        <rFont val="Arial"/>
        <family val="2"/>
      </rPr>
      <t>80 million kWH annually</t>
    </r>
    <r>
      <rPr>
        <sz val="11"/>
        <color rgb="FF202124"/>
        <rFont val="Arial"/>
        <family val="2"/>
      </rPr>
      <t>, which equals more than 49,000 tons of CO2 Emissions.</t>
    </r>
  </si>
  <si>
    <t>Toal energy used for pumping in KWH</t>
  </si>
  <si>
    <t>Total carbon emmitted due to pumping (tons)</t>
  </si>
  <si>
    <t>Cost of carbon that is being emitted due to pumping (US$)</t>
  </si>
  <si>
    <t>Energy prevented from being lost (KWH) due to interventions:</t>
  </si>
  <si>
    <t>Total carbon that can be prevented from being emmitted by using energy efficient pumps (tons)</t>
  </si>
  <si>
    <t>Value of carbon that is prevented from being emitted due to pumping (US$)</t>
  </si>
  <si>
    <t>GEF and UNDP (2011)</t>
  </si>
  <si>
    <r>
      <t>Average electricity use of water (KWH/M</t>
    </r>
    <r>
      <rPr>
        <vertAlign val="superscript"/>
        <sz val="11"/>
        <color theme="1"/>
        <rFont val="Calibri"/>
        <family val="2"/>
        <scheme val="minor"/>
      </rPr>
      <t>3</t>
    </r>
    <r>
      <rPr>
        <sz val="11"/>
        <color theme="1"/>
        <rFont val="Calibri"/>
        <family val="2"/>
        <scheme val="minor"/>
      </rPr>
      <t>) =</t>
    </r>
  </si>
  <si>
    <t>Calculated based on data obtained from Uzbekistan Study</t>
  </si>
  <si>
    <t>Assumed percentage of energy that can be saved by using energy efficient pumps including solar pumps =</t>
  </si>
  <si>
    <t>Water saving that can be realized due to the implementation of the water technologies (%)</t>
  </si>
  <si>
    <t xml:space="preserve">Value of water lost due to inaction (US$) </t>
  </si>
  <si>
    <t>Value of water lost</t>
  </si>
  <si>
    <t>Value of carbon emitted due to pumping (US$)</t>
  </si>
  <si>
    <t>Total cost related to irriation water (US$)</t>
  </si>
  <si>
    <t>Storage and conveyance loss (US$)</t>
  </si>
  <si>
    <t>Field Level losses (US$)</t>
  </si>
  <si>
    <t>Surface runoff (US$)</t>
  </si>
  <si>
    <t>Total (US$)</t>
  </si>
  <si>
    <t>Total amount of irrigation water applied in wheat fields in one season (m3/ha)</t>
  </si>
  <si>
    <t>Average number of irrigations in wheat fields of Tunisia =</t>
  </si>
  <si>
    <t>Average amount of water used in one irrigation (M3) =</t>
  </si>
  <si>
    <t>Additional yield obtained due to one additional irrigation (ton/ha) =</t>
  </si>
  <si>
    <t>Marginal yield of one irrigation (kg/m3/ha)</t>
  </si>
  <si>
    <t>Final report  of the 3rd phase of the Arab Food Security Project (Tunisian section) where it says: water use efficiency does not exceed 0.9 kg/m3 in irrigated areas, while the potential at research plots is greater than 1.6 kg/m3.  Therefore, we took slightly lower efficiency level than the highest value farmers are obtaining from irrigation.</t>
  </si>
  <si>
    <t>Price of wheat in Tunisia (TD/kg)=</t>
  </si>
  <si>
    <t>The retail price range for Tunisia wheat is between US$ 0.77 and US$ 0.96 per kilogram</t>
  </si>
  <si>
    <t>Value of yield lost due to loss of 1 m3 of water (TD/ha)=</t>
  </si>
  <si>
    <t>Value of yield lost due to loss of 1 m3 of water (US$/ha)=</t>
  </si>
  <si>
    <t>Conversion factor from Carbon to Carbondioxide=</t>
  </si>
  <si>
    <t xml:space="preserve">https://www.epa.gov/energy/greenhouse-gas-equivalencies-calculator#:~:text=Carbon%20is%20often%20used%20as,carbon%20dioxide%2C%20multiply%20by%203.67. </t>
  </si>
  <si>
    <t>Total Carbon Emmission from soil erosion (ton/year)</t>
  </si>
  <si>
    <r>
      <t>Total CO</t>
    </r>
    <r>
      <rPr>
        <b/>
        <vertAlign val="subscript"/>
        <sz val="11"/>
        <color theme="1"/>
        <rFont val="Calibri"/>
        <family val="2"/>
        <scheme val="minor"/>
      </rPr>
      <t>2</t>
    </r>
  </si>
  <si>
    <t>All crops</t>
  </si>
  <si>
    <t>Total soil erosion (ton/year)</t>
  </si>
  <si>
    <t>No</t>
  </si>
  <si>
    <t xml:space="preserve">Carbon emission (tons) from: </t>
  </si>
  <si>
    <t>Water pumps</t>
  </si>
  <si>
    <t>Soil errosion</t>
  </si>
  <si>
    <t>Forest biomass burning</t>
  </si>
  <si>
    <t>Tillage &amp; other farm operations</t>
  </si>
  <si>
    <t>Greenhouses</t>
  </si>
  <si>
    <t>Value ($)</t>
  </si>
  <si>
    <t>Price of C per ton</t>
  </si>
  <si>
    <t>Price of Co2 per ton =</t>
  </si>
  <si>
    <t xml:space="preserve">https://www.climatelinks.org/sites/default/files/asset/document/2019_USAID_Tunisia%20Factsheet.pdf </t>
  </si>
  <si>
    <t xml:space="preserve">Note: Estimated emission of CO2 in Tunisia in 2019 was 3.45 ton/capita (WB, 2020). The population of Tunisia in 2020 was 34.6 million. This implies that the total CO2 emission in Tunisia in 2020 was about 120.3 million tons. This implies that, the </t>
  </si>
  <si>
    <t xml:space="preserve">https://data.worldbank.org/indicator/EN.ATM.CO2E.PC?locations=UZ </t>
  </si>
  <si>
    <t>Estimation of the total annual cost of land degradation in abundoned crop lands</t>
  </si>
  <si>
    <t>Total carbon released to the atmosphere (ton per ha) based on estimated erosion rate</t>
  </si>
  <si>
    <t>Percentage share of severely degraded lands in Tunisia=</t>
  </si>
  <si>
    <t>Total arable land affected by errosion and flooding that is left fallow to regenerate itself (ha)=</t>
  </si>
  <si>
    <t>Total volume of crop lost from abandoned lands (tons)=</t>
  </si>
  <si>
    <t>Total volume of crop residue lost from abandoned lands (tons)=</t>
  </si>
  <si>
    <t>Total value of production lost from abandoned lands (US$)=</t>
  </si>
  <si>
    <t>Total value of production lost from abandoned lands (TD)=</t>
  </si>
  <si>
    <t>Total value of production lost from lands abundoned due to erosion and flooding (As % of GDP)=</t>
  </si>
  <si>
    <t xml:space="preserve">Citation: </t>
  </si>
  <si>
    <t>UN - United Nations. 2020: ENVIRONMENTAL PERFORMANCE REVIEWS. Tunisia. Third Reviews. UNITED NATIONS, Geneva.
 https://unece.org/environment-policy/publications/3rd-environmental-performance-review-Tunisia</t>
  </si>
  <si>
    <t>https://unece.org/environment-policy/publications/3rd-environmental-performance-review-Tunisia</t>
  </si>
  <si>
    <t>On page 178, this report states:</t>
  </si>
  <si>
    <t xml:space="preserve">According to a comprehensive 2016 assessment by the World Bank and others, PM pollution causes approximately 19,000 premature deaths in Tunisia and costs the economy more than $800 million annual in terms of total welfare losses (1.24 per cent GDP equivalent). Total forgone labour output is US$17 million. </t>
  </si>
  <si>
    <t>Total cost of health problems induced by environmental problems as % of GDP:</t>
  </si>
  <si>
    <t>In Tunisia, the annual damage cost of environmental degradation in 1999 was estimated at 1.5 –2.7 percent of GDP with a mean estimate of 2.1 percent of GDP, or close to US$440 million per year. The cost of inadequate potable water, sanitation and hygiene is assessed at 0.5-0.7 percent of GDP, followed by air pollution at 0.4-0.8  percent of GDP.</t>
  </si>
  <si>
    <t>Assumed share of land-degradation and emmissions from agriculture in total health problems related to environmental degradation:</t>
  </si>
  <si>
    <t>Cost of land-degradation-induced health problems (US$/year)=</t>
  </si>
  <si>
    <t>Cost of land-degradation-induced health problems only in severely degraded lands(US$/year)=</t>
  </si>
  <si>
    <t>Cost of land-degradation-induced health problems as % of GDP=</t>
  </si>
  <si>
    <t>On page 31, the report states</t>
  </si>
  <si>
    <t>Chapter 10 Human health and the environment Climate change impacts are already being experienced in Tunisia in the form of increasing heatwaves, floods and mudslides. Health impacts from these events include increased illnesses and deaths from water-borne and other infections, as well as cardiovascular and respiratory diseases. Additionally, there is damage to the health care infrastructure, and in the longer term there is a risk of increasing malnutrition as food security is affected by increasing extreme weather events. A National Climate Change Health Adaptation Plan is currently being developed by the Ministry of Health, spearheaded by a national Steering Committee. However, health is not routinely incorporated into mainstream climate change plans.</t>
  </si>
  <si>
    <t>Estimation of the total annual cost of damages on transport, irrigation, and other infrastructure caused by land degradation</t>
  </si>
  <si>
    <t>Exchange rate (1US$)=</t>
  </si>
  <si>
    <t>GDB in TD</t>
  </si>
  <si>
    <t>GDP in US$</t>
  </si>
  <si>
    <t>A) Cost of repair/replacemnt of transportation infrastructure damaged by land degradation (mainly due to erosion and flooding)</t>
  </si>
  <si>
    <t>Infrastructure type</t>
  </si>
  <si>
    <r>
      <t xml:space="preserve">Total distance in the country (km) </t>
    </r>
    <r>
      <rPr>
        <b/>
        <sz val="11"/>
        <color rgb="FFFF0000"/>
        <rFont val="Calibri"/>
        <family val="2"/>
        <scheme val="minor"/>
      </rPr>
      <t>including bridges</t>
    </r>
  </si>
  <si>
    <r>
      <t xml:space="preserve">Total distance that is needed to be repaired (km) </t>
    </r>
    <r>
      <rPr>
        <b/>
        <i/>
        <sz val="11"/>
        <color theme="1"/>
        <rFont val="Calibri"/>
        <family val="2"/>
        <charset val="204"/>
        <scheme val="minor"/>
      </rPr>
      <t>(as of 01/12/2022)</t>
    </r>
  </si>
  <si>
    <r>
      <rPr>
        <b/>
        <sz val="11"/>
        <color rgb="FFFF0000"/>
        <rFont val="Calibri"/>
        <family val="2"/>
        <scheme val="minor"/>
      </rPr>
      <t>Percentage</t>
    </r>
    <r>
      <rPr>
        <b/>
        <sz val="11"/>
        <color theme="1"/>
        <rFont val="Calibri"/>
        <family val="2"/>
        <scheme val="minor"/>
      </rPr>
      <t xml:space="preserve"> of infrastructure affected by land degradation </t>
    </r>
    <r>
      <rPr>
        <b/>
        <sz val="11"/>
        <color rgb="FFFF0000"/>
        <rFont val="Calibri"/>
        <family val="2"/>
        <scheme val="minor"/>
      </rPr>
      <t>in a typical year</t>
    </r>
  </si>
  <si>
    <r>
      <rPr>
        <b/>
        <sz val="11"/>
        <color rgb="FFFF0000"/>
        <rFont val="Calibri"/>
        <family val="2"/>
        <scheme val="minor"/>
      </rPr>
      <t>Total</t>
    </r>
    <r>
      <rPr>
        <b/>
        <sz val="11"/>
        <color theme="1"/>
        <rFont val="Calibri"/>
        <family val="2"/>
        <scheme val="minor"/>
      </rPr>
      <t xml:space="preserve"> damage by land degradation (km) </t>
    </r>
    <r>
      <rPr>
        <b/>
        <sz val="11"/>
        <color rgb="FFFF0000"/>
        <rFont val="Calibri"/>
        <family val="2"/>
        <scheme val="minor"/>
      </rPr>
      <t>in a typical year</t>
    </r>
  </si>
  <si>
    <t>Average cost of repair or reconstruction (TD/km)</t>
  </si>
  <si>
    <t>Total annual cost of damage caused by land degradation (TD) in a typical year</t>
  </si>
  <si>
    <t>Paved Roads</t>
  </si>
  <si>
    <t>Non-paved Roads</t>
  </si>
  <si>
    <t>Local (secondary) roads</t>
  </si>
  <si>
    <t>Assumptions:</t>
  </si>
  <si>
    <t xml:space="preserve">Cost of reparing rail road is assumed to be </t>
  </si>
  <si>
    <t>RR</t>
  </si>
  <si>
    <t>% of the cost of repairing paved roads</t>
  </si>
  <si>
    <t xml:space="preserve">Cost of reparing airport runway is assumed to be </t>
  </si>
  <si>
    <t>TT</t>
  </si>
  <si>
    <r>
      <rPr>
        <b/>
        <sz val="11"/>
        <color rgb="FFFF0000"/>
        <rFont val="Calibri"/>
        <family val="2"/>
        <scheme val="minor"/>
      </rPr>
      <t>Total/average</t>
    </r>
    <r>
      <rPr>
        <b/>
        <sz val="11"/>
        <color theme="1"/>
        <rFont val="Calibri"/>
        <family val="2"/>
        <scheme val="minor"/>
      </rPr>
      <t xml:space="preserve"> cost of damage to transportation infrastructure</t>
    </r>
  </si>
  <si>
    <t>Share of transportation, storage, and communication in total GDP =</t>
  </si>
  <si>
    <t>The share of GDP generated by the transport, storage and communications sector was about 12 percent in Tunisia</t>
  </si>
  <si>
    <t>Share of transportation in total transportation, storage, and communication GDP =</t>
  </si>
  <si>
    <t xml:space="preserve">B) Forgone economic and social benefits due to transportation infrastructure damaged or hampered by factors related to land degradation (mainly due to interruptions of road, rail and air transportation and associated mechanical damage and repair cost due to errosion, flood, and dust storms originating from Tunisia) </t>
  </si>
  <si>
    <t>Value added of Autotransport services (2021)</t>
  </si>
  <si>
    <t xml:space="preserve">Value created in a day </t>
  </si>
  <si>
    <t>Value added of Autotransport services in TD/km (2021)</t>
  </si>
  <si>
    <t>Total distance in the country (km)</t>
  </si>
  <si>
    <r>
      <t xml:space="preserve">Average number of days </t>
    </r>
    <r>
      <rPr>
        <b/>
        <sz val="11"/>
        <color rgb="FF000000"/>
        <rFont val="Calibri"/>
        <family val="2"/>
        <scheme val="minor"/>
      </rPr>
      <t>infrastructure affected by land degradation stays unrepaired</t>
    </r>
    <r>
      <rPr>
        <b/>
        <sz val="11"/>
        <color rgb="FFFF0000"/>
        <rFont val="Calibri"/>
        <family val="2"/>
        <scheme val="minor"/>
      </rPr>
      <t xml:space="preserve"> (days/year)</t>
    </r>
  </si>
  <si>
    <t>Average economic benefits lost due to infrastructure affected by land degradation (TD/day/km)</t>
  </si>
  <si>
    <t>Total benefits lost due to delay or interruption of transportation (TD/year)</t>
  </si>
  <si>
    <t>Assumptions</t>
  </si>
  <si>
    <t>mln TD</t>
  </si>
  <si>
    <t>mln USD</t>
  </si>
  <si>
    <t>mln TD/day/km</t>
  </si>
  <si>
    <r>
      <t xml:space="preserve">- daily VA of autotransport would be increased by </t>
    </r>
    <r>
      <rPr>
        <b/>
        <sz val="11"/>
        <color theme="1"/>
        <rFont val="Calibri"/>
        <family val="2"/>
        <charset val="204"/>
        <scheme val="minor"/>
      </rPr>
      <t>10 %</t>
    </r>
    <r>
      <rPr>
        <sz val="11"/>
        <color theme="1"/>
        <rFont val="Calibri"/>
        <family val="2"/>
        <scheme val="minor"/>
      </rPr>
      <t xml:space="preserve"> if the roads a repaired </t>
    </r>
  </si>
  <si>
    <r>
      <t>- daily VA of autotransport would be increased by</t>
    </r>
    <r>
      <rPr>
        <b/>
        <sz val="11"/>
        <color theme="1"/>
        <rFont val="Calibri"/>
        <family val="2"/>
        <charset val="204"/>
        <scheme val="minor"/>
      </rPr>
      <t xml:space="preserve"> 5 %</t>
    </r>
    <r>
      <rPr>
        <sz val="11"/>
        <color theme="1"/>
        <rFont val="Calibri"/>
        <family val="2"/>
        <scheme val="minor"/>
      </rPr>
      <t xml:space="preserve"> if the roads a repaired </t>
    </r>
  </si>
  <si>
    <t>Other roads</t>
  </si>
  <si>
    <r>
      <t>- daily VA of autotransport would be increased by</t>
    </r>
    <r>
      <rPr>
        <b/>
        <sz val="11"/>
        <color theme="1"/>
        <rFont val="Calibri"/>
        <family val="2"/>
        <charset val="204"/>
        <scheme val="minor"/>
      </rPr>
      <t xml:space="preserve"> 2 %</t>
    </r>
    <r>
      <rPr>
        <sz val="11"/>
        <color theme="1"/>
        <rFont val="Calibri"/>
        <family val="2"/>
        <scheme val="minor"/>
      </rPr>
      <t xml:space="preserve"> if the roads a repaired </t>
    </r>
  </si>
  <si>
    <t>Summary of repair/reconstruction costs and economic benefits forgone due to road, rail and runway damages cuased by land degradation in Tunisia (TD/year)</t>
  </si>
  <si>
    <t>Cost of repair of road, rail &amp; airport runway damages (TD/year)</t>
  </si>
  <si>
    <t>Value of forgone services due to damage on road, rail &amp; airport runwasy cased by land degradation (TD/year)</t>
  </si>
  <si>
    <t>Total cost of damage on road, rail &amp; airport runwasy cased by land degradation (TD/year)</t>
  </si>
  <si>
    <r>
      <t xml:space="preserve">Total cost of damage on road, rail &amp; airport runwasy cased by land degradation </t>
    </r>
    <r>
      <rPr>
        <b/>
        <sz val="11"/>
        <color rgb="FFFF0000"/>
        <rFont val="Calibri"/>
        <family val="2"/>
        <scheme val="minor"/>
      </rPr>
      <t>(US$/year)</t>
    </r>
  </si>
  <si>
    <t>Cost of repair of road, rail &amp; airport runway damages (US$/year)</t>
  </si>
  <si>
    <t>Value of forgone services due to damage on road, rail &amp; airport runwasy cased by land degradation(US$/year)</t>
  </si>
  <si>
    <t>Total cost of damage on road, rail &amp; airport runwasy cased by land degradation (US$/year)</t>
  </si>
  <si>
    <t>Total cost of damage on road, rail &amp; airport runways cased by land degradation (US$/year)</t>
  </si>
  <si>
    <t>Estimation of the total annual cost of damages on other infrastructure caused by land degradation</t>
  </si>
  <si>
    <t>A) Cost of repair/replacemnt</t>
  </si>
  <si>
    <t>Total length of canals in the country (km)</t>
  </si>
  <si>
    <r>
      <t>Damaged/destroyed in</t>
    </r>
    <r>
      <rPr>
        <b/>
        <sz val="11"/>
        <color rgb="FFFF0000"/>
        <rFont val="Calibri"/>
        <family val="2"/>
        <scheme val="minor"/>
      </rPr>
      <t xml:space="preserve"> a typical year, km</t>
    </r>
  </si>
  <si>
    <r>
      <rPr>
        <b/>
        <sz val="11"/>
        <color rgb="FFFF0000"/>
        <rFont val="Calibri"/>
        <family val="2"/>
        <scheme val="minor"/>
      </rPr>
      <t>Percentage</t>
    </r>
    <r>
      <rPr>
        <b/>
        <sz val="11"/>
        <color theme="1"/>
        <rFont val="Calibri"/>
        <family val="2"/>
        <scheme val="minor"/>
      </rPr>
      <t xml:space="preserve"> of other infrastructure damaged by land degradation (flood/errosion)</t>
    </r>
  </si>
  <si>
    <r>
      <t xml:space="preserve">Total number of other infrastructure damaged by land degradation </t>
    </r>
    <r>
      <rPr>
        <b/>
        <sz val="11"/>
        <color rgb="FFFF0000"/>
        <rFont val="Calibri"/>
        <family val="2"/>
        <scheme val="minor"/>
      </rPr>
      <t>in a typical year</t>
    </r>
  </si>
  <si>
    <t>Annual cost of repair or reconstruction (TD/per km)</t>
  </si>
  <si>
    <t>Total cost of damage on other infrastructure caused by land degradation (TD) in a typical year</t>
  </si>
  <si>
    <t>Irrigation canals</t>
  </si>
  <si>
    <t xml:space="preserve">B) Forgone economic and social benefits due to other infrastructure damaged by land degradation (mainly due to interruptions of services and affected livelihoods) </t>
  </si>
  <si>
    <r>
      <t xml:space="preserve">Average number of days </t>
    </r>
    <r>
      <rPr>
        <b/>
        <sz val="11"/>
        <color rgb="FF000000"/>
        <rFont val="Calibri"/>
        <family val="2"/>
        <scheme val="minor"/>
      </rPr>
      <t>infrastructure affected by land degradation stays unrepaired</t>
    </r>
    <r>
      <rPr>
        <b/>
        <sz val="11"/>
        <color rgb="FFFF0000"/>
        <rFont val="Calibri"/>
        <family val="2"/>
        <scheme val="minor"/>
      </rPr>
      <t xml:space="preserve"> in a typical year (days/year)</t>
    </r>
  </si>
  <si>
    <t>Average economic benefits lost due to infrastructure affected by land degradation (TD/day)</t>
  </si>
  <si>
    <t>Total benefits lost due to delay or interruption of transportation in a typical year (TD/year)</t>
  </si>
  <si>
    <t>Summary of repair/reconstruction costs and economic benefits forgone due to damages on other infrastructure cuased by land degradation in Tunisia (TD/year)</t>
  </si>
  <si>
    <t>Cost of repair of other infrastrucutre damaged by land degradation in a typical year (TD/year)</t>
  </si>
  <si>
    <t>Value of forgone services due to damage on other infrastructure cased by land degradation in a typical yaer (TD/year)</t>
  </si>
  <si>
    <t>Total cost of damages on other infrastructure cased by land degradation in a typical year (TD/year)</t>
  </si>
  <si>
    <r>
      <t xml:space="preserve">Total cost of damages on other infrastructure cased by land degradation </t>
    </r>
    <r>
      <rPr>
        <b/>
        <sz val="11"/>
        <color rgb="FFFF0000"/>
        <rFont val="Calibri"/>
        <family val="2"/>
        <scheme val="minor"/>
      </rPr>
      <t>in a typical year (US$/year)</t>
    </r>
  </si>
  <si>
    <t>Summary of repair/reconstruction costs and economic benefits forgone due to damages on transportation and other infrastructure cuased by land degradation in Tunisia (TD/year)</t>
  </si>
  <si>
    <t>Cost of repair of transportation and other infrastrucutre damaged by land degradation in a typical year (TD/year)</t>
  </si>
  <si>
    <t>Value of forgone services due to damage on transportation and other infrastructure cased by land degradation in a typical year (TD/year)</t>
  </si>
  <si>
    <t>Total cost of damages on transportation and other infrastructure cased by land degradation in a typical year (TD/year)</t>
  </si>
  <si>
    <r>
      <t>Total cost of damages on transportation and other infrastructure cased by land degradation</t>
    </r>
    <r>
      <rPr>
        <b/>
        <sz val="11"/>
        <color rgb="FFFF0000"/>
        <rFont val="Calibri"/>
        <family val="2"/>
        <scheme val="minor"/>
      </rPr>
      <t xml:space="preserve"> in a typical year (US$/year)</t>
    </r>
  </si>
  <si>
    <t>Table: Summary of costs of land degradation in Tunisia</t>
  </si>
  <si>
    <t>Type of Value</t>
  </si>
  <si>
    <t>In all crop lands</t>
  </si>
  <si>
    <t>In natural forests</t>
  </si>
  <si>
    <t>In natural pastures</t>
  </si>
  <si>
    <t>Water</t>
  </si>
  <si>
    <t>In abandoned crop lands</t>
  </si>
  <si>
    <t>Infrastructure damage and economic losses induced by extreme-weather and emergency</t>
  </si>
  <si>
    <t>In the form of health problems</t>
  </si>
  <si>
    <t>1. Use value</t>
  </si>
  <si>
    <t>1.1 Direct use value</t>
  </si>
  <si>
    <t>1.2 Indirect use value</t>
  </si>
  <si>
    <t>2. Non-use value (sand and dust storms)</t>
  </si>
  <si>
    <t xml:space="preserve">Total </t>
  </si>
  <si>
    <t>As a % of GDP</t>
  </si>
  <si>
    <t>Total (US$/year)</t>
  </si>
  <si>
    <t>2. Non-use value</t>
  </si>
  <si>
    <t>Estimated (Yes/No)</t>
  </si>
  <si>
    <t>In the form of land slides</t>
  </si>
  <si>
    <t>In the form of infrastructure damage</t>
  </si>
  <si>
    <t>1.1.1 Consumptive use value</t>
  </si>
  <si>
    <t>Yes</t>
  </si>
  <si>
    <t>1.1.2 Non-consumptive use value</t>
  </si>
  <si>
    <t>1.2.1 Watershed &amp; soil protection &amp; 
          nutrient recycling</t>
  </si>
  <si>
    <t>1.2.2 Gas (carbon dioxide &amp; oxygen)           exchange, carbon storage &amp; 
          climate stabilization</t>
  </si>
  <si>
    <t>Yes (carbon storage)</t>
  </si>
  <si>
    <t>1.2.3 Habitat and protection of 
          biodiversity and species</t>
  </si>
  <si>
    <t>1.2.4 Aesthetic, cultural and 
          spiritual values</t>
  </si>
  <si>
    <t>2.1 Option values</t>
  </si>
  <si>
    <t>2.2 Existence values</t>
  </si>
  <si>
    <t>2.3 Bequest values</t>
  </si>
  <si>
    <t>Ecosystem services not valued in this study</t>
  </si>
  <si>
    <t>Reason</t>
  </si>
  <si>
    <t>Requires indepth study</t>
  </si>
  <si>
    <t>Needs survey (choice experiment)</t>
  </si>
  <si>
    <t>Average forest biomass yield lost (ton/ha) under each category of land degradation</t>
  </si>
  <si>
    <t>Total amount of forest biomass production that is lost due to land degradation (tons)</t>
  </si>
  <si>
    <t>Average percent carbon content of soils (%)</t>
  </si>
  <si>
    <t>Soil errosion in abandoned lands (tons)</t>
  </si>
  <si>
    <t>As % of sectoral GDP</t>
  </si>
  <si>
    <t>Contribution of the sector to GDP (US$)</t>
  </si>
  <si>
    <t>Contribution of the sector to GDP (%)</t>
  </si>
  <si>
    <t>Loss on the field</t>
  </si>
  <si>
    <t>In Rangelands</t>
  </si>
  <si>
    <t>% share in total cost of LD</t>
  </si>
  <si>
    <t>Cost of land degradation per year (US$):</t>
  </si>
  <si>
    <t>Cost of land degradation per year (in US$) :</t>
  </si>
  <si>
    <r>
      <t>From </t>
    </r>
    <r>
      <rPr>
        <sz val="10"/>
        <color rgb="FF555555"/>
        <rFont val="Arial"/>
        <family val="2"/>
      </rPr>
      <t>2001 to 2022, Tunisia lost 45 ha of tree cover, equivalent to a 18% decrease in tree cover since 2000.</t>
    </r>
  </si>
  <si>
    <t>Share of each type of value (%)</t>
  </si>
  <si>
    <t>Annual agricultural value added in Tunisia (US$)</t>
  </si>
  <si>
    <r>
      <t>CO</t>
    </r>
    <r>
      <rPr>
        <b/>
        <vertAlign val="subscript"/>
        <sz val="11"/>
        <color theme="1"/>
        <rFont val="Calibri"/>
        <family val="2"/>
        <scheme val="minor"/>
      </rPr>
      <t xml:space="preserve">2 </t>
    </r>
    <r>
      <rPr>
        <b/>
        <sz val="11"/>
        <color theme="1"/>
        <rFont val="Calibri"/>
        <family val="2"/>
        <scheme val="minor"/>
      </rPr>
      <t>per ha</t>
    </r>
  </si>
  <si>
    <t>% share in national erosion</t>
  </si>
  <si>
    <t>Area weighted average erosion rate (ton/ha)</t>
  </si>
  <si>
    <t>Rank (in total erosion)</t>
  </si>
  <si>
    <t>Rank (in erosion rate)</t>
  </si>
  <si>
    <t>Average all biomes</t>
  </si>
  <si>
    <t>Erosion (ton/ha)</t>
  </si>
  <si>
    <t>Share of the 5 Southern provinces in total rangeland area (%) =</t>
  </si>
  <si>
    <t>In abandoned crop and rangelands</t>
  </si>
  <si>
    <t>Cereal (%)</t>
  </si>
  <si>
    <t>Rangeland (%)</t>
  </si>
  <si>
    <t>Olive (%)</t>
  </si>
  <si>
    <t>Cereal</t>
  </si>
  <si>
    <t>Rangeland</t>
  </si>
  <si>
    <t>Yield (t/ha)</t>
  </si>
  <si>
    <t>Average forage yield in rangelands</t>
  </si>
  <si>
    <t>Average realizable yield potential (%)</t>
  </si>
  <si>
    <t>Average realizable yield potential (t/ha)</t>
  </si>
  <si>
    <t>Data on abandoned lands (Obtained from the data Annabi provided)</t>
  </si>
  <si>
    <t>Olives</t>
  </si>
  <si>
    <t>Average cereal, rangeland, and olive yield that could have been produced in the abandoned lands (ton/ha)=</t>
  </si>
  <si>
    <t>Percentage of current national average yield that can be produced in abandoned lands (%)</t>
  </si>
  <si>
    <t>Yeld that could be obtained in these abundoned lands if they were sustainably used as % of national average</t>
  </si>
  <si>
    <t>1) Average price of grain in Tunisia (US$/ton) =</t>
  </si>
  <si>
    <t>2) Average price residue in Tunisia (US$/ton) =</t>
  </si>
  <si>
    <t>Average residue yield that could have been produced in the abandoned lands  (ton/ha)=</t>
  </si>
  <si>
    <t>As% of total supply</t>
  </si>
  <si>
    <t>Total supply incl. precipitation (thousand m3)</t>
  </si>
  <si>
    <t>As % of irrigation supply</t>
  </si>
  <si>
    <t>Total loss incl. surface run off (thousand m3)</t>
  </si>
  <si>
    <r>
      <t>Total irrigation water supply (thousand M</t>
    </r>
    <r>
      <rPr>
        <b/>
        <vertAlign val="superscript"/>
        <sz val="9"/>
        <color theme="1"/>
        <rFont val="Calibri"/>
        <family val="2"/>
        <scheme val="minor"/>
      </rPr>
      <t>3</t>
    </r>
    <r>
      <rPr>
        <b/>
        <sz val="9"/>
        <color theme="1"/>
        <rFont val="Calibri"/>
        <family val="2"/>
        <scheme val="minor"/>
      </rPr>
      <t>)</t>
    </r>
  </si>
  <si>
    <t>Annual forest loss as % of total volume of forest biomass on the ground =</t>
  </si>
  <si>
    <r>
      <rPr>
        <b/>
        <sz val="11"/>
        <color rgb="FFFF0000"/>
        <rFont val="Calibri"/>
        <family val="2"/>
        <scheme val="minor"/>
      </rPr>
      <t>Abeyou</t>
    </r>
    <r>
      <rPr>
        <sz val="11"/>
        <color theme="1"/>
        <rFont val="Calibri"/>
        <family val="2"/>
        <scheme val="minor"/>
      </rPr>
      <t>: would you kindly please fill in only the cells highlighted in yellow? Please don't touch the purple cells which are formulas that will calculate automatically. Thank you</t>
    </r>
  </si>
  <si>
    <t>Total weight of soil stock=</t>
  </si>
  <si>
    <t>Soil loss rate (ton/ha)</t>
  </si>
  <si>
    <t>Average soil erosion (ton/ha)</t>
  </si>
  <si>
    <t>The data on LD classes were obtained from Annabi</t>
  </si>
  <si>
    <r>
      <rPr>
        <b/>
        <sz val="11"/>
        <color rgb="FFFF0000"/>
        <rFont val="Calibri"/>
        <family val="2"/>
        <scheme val="minor"/>
      </rPr>
      <t xml:space="preserve">Unused </t>
    </r>
    <r>
      <rPr>
        <b/>
        <sz val="11"/>
        <color theme="1"/>
        <rFont val="Calibri"/>
        <family val="2"/>
        <charset val="204"/>
        <scheme val="minor"/>
      </rPr>
      <t>agriculutral lands due to land degradation (ha)</t>
    </r>
  </si>
  <si>
    <t>Precipitation (million m3)</t>
  </si>
  <si>
    <t>Data I got from Annabi showed that, average energy consumption in greenhouses in KWH per ha are: 
204,000 for Gebes, Gebeli, and Tozeur; and 
8542 for all other provinces where there are green houses</t>
  </si>
  <si>
    <r>
      <rPr>
        <b/>
        <sz val="11"/>
        <color rgb="FFFF0000"/>
        <rFont val="Calibri"/>
        <family val="2"/>
        <scheme val="minor"/>
      </rPr>
      <t>Total volume</t>
    </r>
    <r>
      <rPr>
        <b/>
        <sz val="11"/>
        <color theme="1"/>
        <rFont val="Calibri"/>
        <family val="2"/>
        <scheme val="minor"/>
      </rPr>
      <t xml:space="preserve"> of woody biomass lost due to land degradation and deforestation (tons)</t>
    </r>
  </si>
  <si>
    <t>As % of total</t>
  </si>
  <si>
    <t>Share of rangelands</t>
  </si>
  <si>
    <t>Yield figures are for 2021</t>
  </si>
  <si>
    <t>Prices-and-exchange-rates</t>
  </si>
  <si>
    <t>Area&amp;production data</t>
  </si>
  <si>
    <t>Yield-data</t>
  </si>
  <si>
    <t>Area-by-degradation-level</t>
  </si>
  <si>
    <t>Yield-by-degradation-level</t>
  </si>
  <si>
    <t>Soil-errosion-by-degradn-level</t>
  </si>
  <si>
    <t>Name of responsible person for collecting</t>
  </si>
  <si>
    <t>Links to source of data</t>
  </si>
  <si>
    <t>Email address of the person who provided the data</t>
  </si>
  <si>
    <t>Ground water</t>
  </si>
  <si>
    <t>Surface water</t>
  </si>
  <si>
    <t>Diesel for farm operations</t>
  </si>
  <si>
    <t>Electricity for greenhouses</t>
  </si>
  <si>
    <t>Data (please add more rows to include other data collected)</t>
  </si>
  <si>
    <t>Here</t>
  </si>
  <si>
    <t>Area and production figures are for 2021</t>
  </si>
  <si>
    <r>
      <t xml:space="preserve">Total area (ha)
Note that these figures should be only </t>
    </r>
    <r>
      <rPr>
        <b/>
        <sz val="11"/>
        <color rgb="FF00B050"/>
        <rFont val="Calibri"/>
        <family val="2"/>
        <scheme val="minor"/>
      </rPr>
      <t>for one season (no double counting for lands which are cultivated multiple times in a year)</t>
    </r>
  </si>
  <si>
    <r>
      <t xml:space="preserve">Total production (tons)
Note that these figures should be only </t>
    </r>
    <r>
      <rPr>
        <b/>
        <sz val="11"/>
        <color rgb="FF00B050"/>
        <rFont val="Calibri"/>
        <family val="2"/>
        <scheme val="minor"/>
      </rPr>
      <t>for one season (no double counting for lands which are cultivated multiple times in a year)</t>
    </r>
  </si>
  <si>
    <t>Percentage of irrigated areas (%)</t>
  </si>
  <si>
    <t>Agricultural lands for food and forage production</t>
  </si>
  <si>
    <t>Desert</t>
  </si>
  <si>
    <t>Settlment (cities)</t>
  </si>
  <si>
    <t>Water bodies</t>
  </si>
  <si>
    <t>Other lands (settlement, etc.)</t>
  </si>
  <si>
    <t>Cultivated forage crops</t>
  </si>
  <si>
    <t>Pastoralist areas (Arid and hyper arid rangeland)</t>
  </si>
  <si>
    <t>Prairies (landscapes dominated by herbaceous plants, especially grasses; trees are either absent or only widely scattered on the landscapes)</t>
  </si>
  <si>
    <t>Sylvo-pastoralist areas</t>
  </si>
  <si>
    <t>Annaul Food Crops</t>
  </si>
  <si>
    <t>Perennial food crops</t>
  </si>
  <si>
    <t>Cultivated perennial forage crops</t>
  </si>
  <si>
    <t>Pastures</t>
  </si>
  <si>
    <t>Perennial Food Crops</t>
  </si>
  <si>
    <t>Urban (%)</t>
  </si>
  <si>
    <t>Rural (%)</t>
  </si>
  <si>
    <t>Durum Wheat</t>
  </si>
  <si>
    <t>Soft Wheat</t>
  </si>
  <si>
    <t>Triticale</t>
  </si>
  <si>
    <t>faba bean (large seed)</t>
  </si>
  <si>
    <t>faba bean (small seed)</t>
  </si>
  <si>
    <t>pea</t>
  </si>
  <si>
    <t>chickpea</t>
  </si>
  <si>
    <t>Other legumes</t>
  </si>
  <si>
    <t>seasonal tomato</t>
  </si>
  <si>
    <t>early season tomato</t>
  </si>
  <si>
    <t>late season tomato</t>
  </si>
  <si>
    <t>seasonal potato</t>
  </si>
  <si>
    <t>late season potato</t>
  </si>
  <si>
    <t>early season potato</t>
  </si>
  <si>
    <t>seasonal pepper</t>
  </si>
  <si>
    <t>late season pepper</t>
  </si>
  <si>
    <t>squash</t>
  </si>
  <si>
    <t>cuccumber</t>
  </si>
  <si>
    <t>carrots</t>
  </si>
  <si>
    <t>artichoke</t>
  </si>
  <si>
    <t>garlic</t>
  </si>
  <si>
    <t>brocoli</t>
  </si>
  <si>
    <t>turnip</t>
  </si>
  <si>
    <t>fennel</t>
  </si>
  <si>
    <t>other on field</t>
  </si>
  <si>
    <t>water melon</t>
  </si>
  <si>
    <t>melon</t>
  </si>
  <si>
    <t xml:space="preserve">Grenade </t>
  </si>
  <si>
    <t>Fig</t>
  </si>
  <si>
    <t>Oranges</t>
  </si>
  <si>
    <t>Plum</t>
  </si>
  <si>
    <t>strawberry</t>
  </si>
  <si>
    <t>oats</t>
  </si>
  <si>
    <t>forage corn</t>
  </si>
  <si>
    <t>fodder sorghum</t>
  </si>
  <si>
    <t>Permanent pastures and hay meadows</t>
  </si>
  <si>
    <t>leaves vegetables</t>
  </si>
  <si>
    <t>Permanent pastures and hay meadows (ton)</t>
  </si>
  <si>
    <t>Shrubs (ton)</t>
  </si>
  <si>
    <t>Forest (ton)</t>
  </si>
  <si>
    <t>% of total area</t>
  </si>
  <si>
    <t>Total forest and shrub harvest (tons)</t>
  </si>
  <si>
    <t>Total forest and shrub stock (tons)</t>
  </si>
  <si>
    <t>Annual cut rate net of afforestation (%) =</t>
  </si>
  <si>
    <t>Cabbage and other leafy vegetables</t>
  </si>
  <si>
    <t>Oat</t>
  </si>
  <si>
    <t>Harvest index and conversion from crop yield to residue or stalk yield</t>
  </si>
  <si>
    <t xml:space="preserve">Please provide definition for low, moderate, and severe land degraation based on your classification? </t>
  </si>
  <si>
    <t xml:space="preserve">Please fill in only the cells highlighted with yellow. </t>
  </si>
  <si>
    <r>
      <t xml:space="preserve">Please </t>
    </r>
    <r>
      <rPr>
        <b/>
        <sz val="16"/>
        <color rgb="FFFF0000"/>
        <rFont val="Calibri"/>
        <family val="2"/>
        <scheme val="minor"/>
      </rPr>
      <t>DO NOT</t>
    </r>
    <r>
      <rPr>
        <b/>
        <sz val="16"/>
        <color theme="1"/>
        <rFont val="Calibri"/>
        <family val="2"/>
        <scheme val="minor"/>
      </rPr>
      <t xml:space="preserve">  touch the cells highlighted in purple as they contain formulas.</t>
    </r>
  </si>
  <si>
    <t>In each workbook:</t>
  </si>
  <si>
    <t>Please don't touch the green cells as they are for information/checking accuracy of our calculation</t>
  </si>
  <si>
    <t>Pleae fill in the blue colored cells via simulation (using the solver tool in Excel - instructins are provided on how to do the optimization)</t>
  </si>
  <si>
    <t>For each of the rows below, use the "Solver" tool in Excel to determine the values in columns W, X, and Y through optimization by forcing the values in column AF to come to 0 conditional on columns AD and AE being also 0.</t>
  </si>
  <si>
    <t>Production</t>
  </si>
  <si>
    <t>Others (olives)</t>
  </si>
  <si>
    <t>Cells with this color contain data that needs to be verified by the user</t>
  </si>
  <si>
    <t>Galon to liter conversion factor=</t>
  </si>
  <si>
    <t>The total value of both grain and straw lost is estiamted at:</t>
  </si>
  <si>
    <t>Data sources and contact persons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</si>
</sst>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quot;$&quot;#,##0_);[Red]\(&quot;$&quot;#,##0\)"/>
    <numFmt numFmtId="165" formatCode="&quot;$&quot;#,##0.00_);[Red]\(&quot;$&quot;#,##0.00\)"/>
    <numFmt numFmtId="166" formatCode="_(* #,##0.00_);_(* \(#,##0.00\);_(* &quot;-&quot;??_);_(@_)"/>
    <numFmt numFmtId="167" formatCode="_(* #,##0_);_(* \(#,##0\);_(* &quot;-&quot;??_);_(@_)"/>
    <numFmt numFmtId="168" formatCode="0.0%"/>
    <numFmt numFmtId="169" formatCode="0.0000"/>
    <numFmt numFmtId="170" formatCode="_(* #,##0.000_);_(* \(#,##0.000\);_(* &quot;-&quot;??_);_(@_)"/>
    <numFmt numFmtId="171" formatCode="0.00000"/>
    <numFmt numFmtId="172" formatCode="0.000"/>
    <numFmt numFmtId="173" formatCode="0.0000%"/>
    <numFmt numFmtId="174" formatCode="0.000%"/>
    <numFmt numFmtId="175" formatCode="_(* #,##0.0000_);_(* \(#,##0.0000\);_(* &quot;-&quot;??_);_(@_)"/>
    <numFmt numFmtId="176" formatCode="0.0"/>
    <numFmt numFmtId="177" formatCode="0.00000%"/>
    <numFmt numFmtId="178" formatCode="_(* #,##0.000000_);_(* \(#,##0.000000\);_(* &quot;-&quot;??_);_(@_)"/>
    <numFmt numFmtId="179" formatCode="_-* #,##0.00_-;\-* #,##0.00_-;_-* &quot;-&quot;??_-;_-@"/>
    <numFmt numFmtId="180" formatCode="0.000000"/>
    <numFmt numFmtId="181" formatCode="_(* #,##0.0_);_(* \(#,##0.0\);_(* &quot;-&quot;??_);_(@_)"/>
  </numFmts>
  <fonts count="86"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b/>
      <sz val="14"/>
      <color theme="1"/>
      <name val="Calibri"/>
      <family val="2"/>
      <scheme val="minor"/>
    </font>
    <font>
      <i/>
      <sz val="11"/>
      <color rgb="FF000000"/>
      <name val="Arial"/>
      <family val="2"/>
    </font>
    <font>
      <b/>
      <sz val="16"/>
      <color theme="1"/>
      <name val="Calibri"/>
      <family val="2"/>
      <scheme val="minor"/>
    </font>
    <font>
      <sz val="14"/>
      <color rgb="FF000000"/>
      <name val="Arial"/>
      <family val="2"/>
    </font>
    <font>
      <u/>
      <sz val="11"/>
      <color theme="10"/>
      <name val="Calibri"/>
      <family val="2"/>
      <scheme val="minor"/>
    </font>
    <font>
      <b/>
      <sz val="7"/>
      <color rgb="FF444444"/>
      <name val="Times New Roman"/>
      <family val="1"/>
    </font>
    <font>
      <b/>
      <sz val="11"/>
      <color rgb="FF00B050"/>
      <name val="Calibri"/>
      <family val="2"/>
      <scheme val="minor"/>
    </font>
    <font>
      <sz val="11"/>
      <color rgb="FFFF0000"/>
      <name val="Calibri"/>
      <family val="2"/>
      <scheme val="minor"/>
    </font>
    <font>
      <i/>
      <sz val="11"/>
      <color rgb="FFFF0000"/>
      <name val="Arial"/>
      <family val="2"/>
    </font>
    <font>
      <b/>
      <sz val="12"/>
      <color theme="1"/>
      <name val="Calibri"/>
      <family val="2"/>
      <scheme val="minor"/>
    </font>
    <font>
      <b/>
      <vertAlign val="superscript"/>
      <sz val="11"/>
      <color theme="1"/>
      <name val="Calibri"/>
      <family val="2"/>
      <scheme val="minor"/>
    </font>
    <font>
      <b/>
      <vertAlign val="subscript"/>
      <sz val="11"/>
      <color theme="1"/>
      <name val="Calibri"/>
      <family val="2"/>
      <scheme val="minor"/>
    </font>
    <font>
      <i/>
      <sz val="11"/>
      <color theme="1"/>
      <name val="Calibri"/>
      <family val="2"/>
      <scheme val="minor"/>
    </font>
    <font>
      <sz val="11"/>
      <color rgb="FF000000"/>
      <name val="Calibri"/>
      <family val="2"/>
      <scheme val="minor"/>
    </font>
    <font>
      <b/>
      <sz val="11"/>
      <color theme="1"/>
      <name val="Calibri"/>
      <family val="2"/>
      <charset val="204"/>
      <scheme val="minor"/>
    </font>
    <font>
      <b/>
      <i/>
      <sz val="11"/>
      <color rgb="FF00B050"/>
      <name val="Arial"/>
      <family val="2"/>
    </font>
    <font>
      <b/>
      <u/>
      <sz val="11"/>
      <color theme="1"/>
      <name val="Calibri"/>
      <family val="2"/>
      <charset val="204"/>
      <scheme val="minor"/>
    </font>
    <font>
      <sz val="11"/>
      <color theme="1"/>
      <name val="Calibri"/>
      <family val="2"/>
      <charset val="204"/>
      <scheme val="minor"/>
    </font>
    <font>
      <vertAlign val="superscript"/>
      <sz val="11"/>
      <color theme="1"/>
      <name val="Calibri"/>
      <family val="2"/>
      <charset val="204"/>
      <scheme val="minor"/>
    </font>
    <font>
      <sz val="11"/>
      <color theme="1"/>
      <name val="Calibri"/>
      <family val="2"/>
      <charset val="204"/>
    </font>
    <font>
      <vertAlign val="superscript"/>
      <sz val="11"/>
      <color theme="1"/>
      <name val="Calibri"/>
      <family val="2"/>
    </font>
    <font>
      <sz val="11"/>
      <color rgb="FFFF0000"/>
      <name val="Calibri"/>
      <family val="2"/>
    </font>
    <font>
      <sz val="11"/>
      <color theme="1"/>
      <name val="Calibri"/>
      <family val="2"/>
    </font>
    <font>
      <vertAlign val="superscript"/>
      <sz val="11"/>
      <color theme="1"/>
      <name val="Calibri"/>
      <family val="2"/>
      <scheme val="minor"/>
    </font>
    <font>
      <b/>
      <sz val="9"/>
      <color rgb="FF000000"/>
      <name val="Arial"/>
      <family val="2"/>
    </font>
    <font>
      <b/>
      <sz val="10"/>
      <color theme="1"/>
      <name val="Arial"/>
      <family val="2"/>
    </font>
    <font>
      <b/>
      <i/>
      <sz val="10"/>
      <color theme="1"/>
      <name val="Arial"/>
      <family val="2"/>
    </font>
    <font>
      <b/>
      <i/>
      <vertAlign val="superscript"/>
      <sz val="8"/>
      <color theme="1"/>
      <name val="Arial"/>
      <family val="2"/>
    </font>
    <font>
      <sz val="10"/>
      <color theme="1"/>
      <name val="Arial"/>
      <family val="2"/>
    </font>
    <font>
      <i/>
      <sz val="9"/>
      <color rgb="FF000000"/>
      <name val="Arial"/>
      <family val="2"/>
    </font>
    <font>
      <sz val="9"/>
      <color rgb="FF000000"/>
      <name val="Arial"/>
      <family val="2"/>
    </font>
    <font>
      <b/>
      <sz val="11"/>
      <color rgb="FF000000"/>
      <name val="Calibri"/>
      <family val="2"/>
      <scheme val="minor"/>
    </font>
    <font>
      <b/>
      <sz val="12"/>
      <color rgb="FF000000"/>
      <name val="Calibri"/>
      <family val="2"/>
      <scheme val="minor"/>
    </font>
    <font>
      <b/>
      <sz val="11"/>
      <name val="Calibri"/>
      <family val="2"/>
      <scheme val="minor"/>
    </font>
    <font>
      <sz val="11"/>
      <name val="Calibri"/>
      <family val="2"/>
      <scheme val="minor"/>
    </font>
    <font>
      <sz val="12"/>
      <color rgb="FFFF0000"/>
      <name val="Calibri"/>
      <family val="2"/>
      <scheme val="minor"/>
    </font>
    <font>
      <b/>
      <sz val="11"/>
      <color theme="1"/>
      <name val="Calibri"/>
      <family val="2"/>
    </font>
    <font>
      <sz val="10"/>
      <color rgb="FFFF0000"/>
      <name val="Arial"/>
      <family val="2"/>
    </font>
    <font>
      <b/>
      <sz val="16"/>
      <color rgb="FF2D2D2D"/>
      <name val="Roboto"/>
    </font>
    <font>
      <sz val="10.5"/>
      <color rgb="FF202122"/>
      <name val="Arial"/>
      <family val="2"/>
    </font>
    <font>
      <sz val="10.5"/>
      <color rgb="FF0645AD"/>
      <name val="Arial"/>
      <family val="2"/>
    </font>
    <font>
      <sz val="10.5"/>
      <color rgb="FFFF0000"/>
      <name val="Arial"/>
      <family val="2"/>
    </font>
    <font>
      <b/>
      <sz val="10.5"/>
      <color rgb="FFFF0000"/>
      <name val="Arial"/>
      <family val="2"/>
    </font>
    <font>
      <sz val="10.5"/>
      <color rgb="FF202124"/>
      <name val="Arial"/>
      <family val="2"/>
    </font>
    <font>
      <b/>
      <sz val="10.5"/>
      <color rgb="FF202124"/>
      <name val="Arial"/>
      <family val="2"/>
    </font>
    <font>
      <i/>
      <sz val="11"/>
      <color theme="1"/>
      <name val="Arial"/>
      <family val="2"/>
    </font>
    <font>
      <sz val="8"/>
      <name val="Calibri"/>
      <family val="2"/>
      <scheme val="minor"/>
    </font>
    <font>
      <b/>
      <sz val="9"/>
      <color rgb="FF444444"/>
      <name val="Times New Roman"/>
      <family val="1"/>
    </font>
    <font>
      <b/>
      <sz val="9"/>
      <color indexed="81"/>
      <name val="Tahoma"/>
      <family val="2"/>
      <charset val="204"/>
    </font>
    <font>
      <sz val="9"/>
      <color indexed="81"/>
      <name val="Tahoma"/>
      <family val="2"/>
      <charset val="204"/>
    </font>
    <font>
      <b/>
      <sz val="8"/>
      <color rgb="FF202124"/>
      <name val="Arial"/>
      <family val="2"/>
    </font>
    <font>
      <b/>
      <i/>
      <sz val="11"/>
      <color theme="1"/>
      <name val="Calibri"/>
      <family val="2"/>
      <charset val="204"/>
      <scheme val="minor"/>
    </font>
    <font>
      <i/>
      <sz val="11"/>
      <color theme="1"/>
      <name val="Calibri"/>
      <family val="2"/>
      <charset val="204"/>
      <scheme val="minor"/>
    </font>
    <font>
      <b/>
      <vertAlign val="superscript"/>
      <sz val="14"/>
      <color theme="1"/>
      <name val="Calibri"/>
      <family val="2"/>
      <scheme val="minor"/>
    </font>
    <font>
      <b/>
      <vertAlign val="superscript"/>
      <sz val="16"/>
      <color theme="1"/>
      <name val="Calibri"/>
      <family val="2"/>
      <scheme val="minor"/>
    </font>
    <font>
      <sz val="11"/>
      <color rgb="FF202124"/>
      <name val="Arial"/>
      <family val="2"/>
    </font>
    <font>
      <b/>
      <sz val="11"/>
      <color rgb="FF202124"/>
      <name val="Arial"/>
      <family val="2"/>
    </font>
    <font>
      <sz val="11"/>
      <color rgb="FFFF0000"/>
      <name val="Calibri"/>
      <family val="2"/>
      <charset val="204"/>
      <scheme val="minor"/>
    </font>
    <font>
      <sz val="11"/>
      <color rgb="FF002060"/>
      <name val="Calibri"/>
      <family val="2"/>
      <charset val="204"/>
      <scheme val="minor"/>
    </font>
    <font>
      <sz val="14"/>
      <color theme="1"/>
      <name val="Calibri"/>
      <family val="2"/>
      <scheme val="minor"/>
    </font>
    <font>
      <b/>
      <u/>
      <sz val="11"/>
      <color theme="10"/>
      <name val="Calibri"/>
      <family val="2"/>
      <scheme val="minor"/>
    </font>
    <font>
      <b/>
      <sz val="16"/>
      <color rgb="FF000000"/>
      <name val="Arial Nova"/>
      <family val="2"/>
    </font>
    <font>
      <b/>
      <sz val="14"/>
      <color rgb="FF000000"/>
      <name val="Arial Nova"/>
      <family val="2"/>
    </font>
    <font>
      <b/>
      <sz val="12"/>
      <color rgb="FF000000"/>
      <name val="Arial Nova"/>
      <family val="2"/>
    </font>
    <font>
      <b/>
      <sz val="18"/>
      <color theme="1"/>
      <name val="Calibri"/>
      <family val="2"/>
      <scheme val="minor"/>
    </font>
    <font>
      <u/>
      <sz val="11"/>
      <color rgb="FF0000FF"/>
      <name val="Calibri"/>
      <family val="2"/>
    </font>
    <font>
      <sz val="12"/>
      <color rgb="FF202124"/>
      <name val="Arial"/>
      <family val="2"/>
    </font>
    <font>
      <b/>
      <u/>
      <sz val="14"/>
      <color theme="10"/>
      <name val="Calibri"/>
      <family val="2"/>
      <scheme val="minor"/>
    </font>
    <font>
      <sz val="11"/>
      <color rgb="FF000000"/>
      <name val="Calibri"/>
      <family val="2"/>
    </font>
    <font>
      <sz val="12"/>
      <color theme="1"/>
      <name val="Aptos"/>
      <family val="2"/>
    </font>
    <font>
      <b/>
      <sz val="12"/>
      <color theme="1"/>
      <name val="Aptos"/>
      <family val="2"/>
    </font>
    <font>
      <b/>
      <sz val="11"/>
      <color theme="1"/>
      <name val="Times New Roman"/>
      <family val="1"/>
    </font>
    <font>
      <b/>
      <sz val="11"/>
      <color rgb="FF000000"/>
      <name val="Arial"/>
      <family val="2"/>
    </font>
    <font>
      <b/>
      <i/>
      <sz val="11"/>
      <color theme="1"/>
      <name val="Calibri"/>
      <family val="2"/>
      <scheme val="minor"/>
    </font>
    <font>
      <sz val="10"/>
      <color rgb="FF555555"/>
      <name val="Arial"/>
      <family val="2"/>
    </font>
    <font>
      <b/>
      <sz val="9"/>
      <color theme="1"/>
      <name val="Calibri"/>
      <family val="2"/>
      <scheme val="minor"/>
    </font>
    <font>
      <b/>
      <vertAlign val="superscript"/>
      <sz val="9"/>
      <color theme="1"/>
      <name val="Calibri"/>
      <family val="2"/>
      <scheme val="minor"/>
    </font>
    <font>
      <b/>
      <sz val="16"/>
      <color rgb="FFFF0000"/>
      <name val="Calibri"/>
      <family val="2"/>
      <scheme val="minor"/>
    </font>
    <font>
      <b/>
      <sz val="11"/>
      <color rgb="FF000000"/>
      <name val="Calibri"/>
      <family val="2"/>
    </font>
    <font>
      <sz val="9"/>
      <color theme="1"/>
      <name val="Arial"/>
      <family val="2"/>
    </font>
    <font>
      <u/>
      <sz val="11"/>
      <color theme="1"/>
      <name val="Calibri"/>
      <family val="2"/>
      <scheme val="minor"/>
    </font>
    <font>
      <b/>
      <sz val="22"/>
      <color theme="1"/>
      <name val="Calibri"/>
      <family val="2"/>
      <scheme val="minor"/>
    </font>
  </fonts>
  <fills count="22">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9999FF"/>
        <bgColor indexed="64"/>
      </patternFill>
    </fill>
    <fill>
      <patternFill patternType="solid">
        <fgColor rgb="FF00B050"/>
        <bgColor indexed="64"/>
      </patternFill>
    </fill>
    <fill>
      <patternFill patternType="solid">
        <fgColor theme="5" tint="0.39997558519241921"/>
        <bgColor indexed="64"/>
      </patternFill>
    </fill>
    <fill>
      <patternFill patternType="solid">
        <fgColor rgb="FFFFC000"/>
        <bgColor indexed="64"/>
      </patternFill>
    </fill>
    <fill>
      <patternFill patternType="solid">
        <fgColor theme="5"/>
        <bgColor indexed="64"/>
      </patternFill>
    </fill>
    <fill>
      <patternFill patternType="solid">
        <fgColor rgb="FF00B0F0"/>
        <bgColor indexed="64"/>
      </patternFill>
    </fill>
    <fill>
      <patternFill patternType="solid">
        <fgColor rgb="FFFF0000"/>
        <bgColor indexed="64"/>
      </patternFill>
    </fill>
    <fill>
      <patternFill patternType="solid">
        <fgColor rgb="FFE6E6E6"/>
        <bgColor rgb="FF000000"/>
      </patternFill>
    </fill>
    <fill>
      <patternFill patternType="solid">
        <fgColor theme="9" tint="0.39997558519241921"/>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FFFF00"/>
        <bgColor rgb="FFFF0000"/>
      </patternFill>
    </fill>
    <fill>
      <patternFill patternType="solid">
        <fgColor rgb="FF9999FF"/>
        <bgColor rgb="FF9999FF"/>
      </patternFill>
    </fill>
    <fill>
      <patternFill patternType="solid">
        <fgColor rgb="FFFFFF00"/>
        <bgColor rgb="FF9999FF"/>
      </patternFill>
    </fill>
    <fill>
      <patternFill patternType="solid">
        <fgColor rgb="FF9999FF"/>
        <bgColor rgb="FFFF0000"/>
      </patternFill>
    </fill>
    <fill>
      <patternFill patternType="solid">
        <fgColor theme="0"/>
        <bgColor indexed="64"/>
      </patternFill>
    </fill>
    <fill>
      <patternFill patternType="solid">
        <fgColor theme="0"/>
        <bgColor rgb="FFFF9900"/>
      </patternFill>
    </fill>
  </fills>
  <borders count="76">
    <border>
      <left/>
      <right/>
      <top/>
      <bottom/>
      <diagonal/>
    </border>
    <border>
      <left style="thin">
        <color indexed="64"/>
      </left>
      <right style="thin">
        <color indexed="64"/>
      </right>
      <top style="thin">
        <color indexed="64"/>
      </top>
      <bottom style="thin">
        <color indexed="64"/>
      </bottom>
      <diagonal/>
    </border>
    <border>
      <left/>
      <right/>
      <top/>
      <bottom style="medium">
        <color rgb="FFE6E6E6"/>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style="medium">
        <color rgb="FF999999"/>
      </left>
      <right style="medium">
        <color rgb="FF999999"/>
      </right>
      <top style="medium">
        <color rgb="FF999999"/>
      </top>
      <bottom style="thick">
        <color rgb="FF666666"/>
      </bottom>
      <diagonal/>
    </border>
    <border>
      <left/>
      <right style="medium">
        <color rgb="FF999999"/>
      </right>
      <top style="medium">
        <color rgb="FF999999"/>
      </top>
      <bottom style="thick">
        <color rgb="FF666666"/>
      </bottom>
      <diagonal/>
    </border>
    <border>
      <left style="medium">
        <color rgb="FF999999"/>
      </left>
      <right style="medium">
        <color rgb="FF999999"/>
      </right>
      <top style="thick">
        <color rgb="FF666666"/>
      </top>
      <bottom/>
      <diagonal/>
    </border>
    <border>
      <left style="medium">
        <color rgb="FF999999"/>
      </left>
      <right style="medium">
        <color rgb="FF999999"/>
      </right>
      <top/>
      <bottom style="medium">
        <color rgb="FF999999"/>
      </bottom>
      <diagonal/>
    </border>
    <border>
      <left/>
      <right style="medium">
        <color rgb="FF999999"/>
      </right>
      <top/>
      <bottom style="medium">
        <color rgb="FF999999"/>
      </bottom>
      <diagonal/>
    </border>
    <border>
      <left style="medium">
        <color rgb="FF999999"/>
      </left>
      <right style="medium">
        <color rgb="FF999999"/>
      </right>
      <top/>
      <bottom/>
      <diagonal/>
    </border>
    <border>
      <left style="medium">
        <color rgb="FF999999"/>
      </left>
      <right style="medium">
        <color rgb="FF999999"/>
      </right>
      <top/>
      <bottom style="thick">
        <color rgb="FF666666"/>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rgb="FF000000"/>
      </bottom>
      <diagonal/>
    </border>
    <border>
      <left style="thin">
        <color indexed="64"/>
      </left>
      <right/>
      <top style="thin">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style="thin">
        <color rgb="FF000000"/>
      </bottom>
      <diagonal/>
    </border>
  </borders>
  <cellStyleXfs count="6">
    <xf numFmtId="0" fontId="0" fillId="0" borderId="0"/>
    <xf numFmtId="9" fontId="1" fillId="0" borderId="0" applyFont="0" applyFill="0" applyBorder="0" applyAlignment="0" applyProtection="0"/>
    <xf numFmtId="0" fontId="8" fillId="0" borderId="0" applyNumberFormat="0" applyFill="0" applyBorder="0" applyAlignment="0" applyProtection="0"/>
    <xf numFmtId="166" fontId="1" fillId="0" borderId="0" applyFont="0" applyFill="0" applyBorder="0" applyAlignment="0" applyProtection="0"/>
    <xf numFmtId="0" fontId="21" fillId="0" borderId="0"/>
    <xf numFmtId="0" fontId="1" fillId="0" borderId="0"/>
  </cellStyleXfs>
  <cellXfs count="923">
    <xf numFmtId="0" fontId="0" fillId="0" borderId="0" xfId="0"/>
    <xf numFmtId="0" fontId="2" fillId="0" borderId="0" xfId="0" applyFont="1"/>
    <xf numFmtId="0" fontId="0" fillId="0" borderId="0" xfId="0" applyAlignment="1">
      <alignment wrapText="1"/>
    </xf>
    <xf numFmtId="0" fontId="2" fillId="0" borderId="0" xfId="0" applyFont="1" applyAlignment="1">
      <alignment horizontal="left"/>
    </xf>
    <xf numFmtId="0" fontId="0" fillId="2" borderId="0" xfId="0" applyFill="1"/>
    <xf numFmtId="0" fontId="2" fillId="2" borderId="0" xfId="0" applyFont="1" applyFill="1"/>
    <xf numFmtId="0" fontId="0" fillId="3" borderId="0" xfId="0" applyFill="1"/>
    <xf numFmtId="0" fontId="2" fillId="3" borderId="0" xfId="0" applyFont="1" applyFill="1" applyAlignment="1">
      <alignment horizontal="left"/>
    </xf>
    <xf numFmtId="0" fontId="2" fillId="2" borderId="0" xfId="0" applyFont="1" applyFill="1" applyAlignment="1">
      <alignment horizontal="left"/>
    </xf>
    <xf numFmtId="0" fontId="0" fillId="4" borderId="0" xfId="0" applyFill="1"/>
    <xf numFmtId="0" fontId="2" fillId="4" borderId="0" xfId="0" applyFont="1" applyFill="1"/>
    <xf numFmtId="0" fontId="5" fillId="0" borderId="0" xfId="0" applyFont="1" applyAlignment="1">
      <alignment wrapText="1"/>
    </xf>
    <xf numFmtId="0" fontId="4" fillId="0" borderId="0" xfId="0" applyFont="1"/>
    <xf numFmtId="0" fontId="0" fillId="0" borderId="1" xfId="0" applyBorder="1"/>
    <xf numFmtId="0" fontId="0" fillId="4" borderId="1" xfId="0" applyFill="1" applyBorder="1"/>
    <xf numFmtId="0" fontId="2" fillId="0" borderId="1" xfId="0" applyFont="1" applyBorder="1"/>
    <xf numFmtId="0" fontId="2" fillId="0" borderId="1" xfId="0" applyFont="1" applyBorder="1" applyAlignment="1">
      <alignment wrapText="1"/>
    </xf>
    <xf numFmtId="0" fontId="2" fillId="0" borderId="0" xfId="0" applyFont="1" applyAlignment="1">
      <alignment horizontal="center"/>
    </xf>
    <xf numFmtId="0" fontId="2" fillId="0" borderId="0" xfId="0" applyFont="1" applyAlignment="1">
      <alignment horizontal="left" wrapText="1"/>
    </xf>
    <xf numFmtId="0" fontId="7" fillId="0" borderId="0" xfId="0" applyFont="1"/>
    <xf numFmtId="0" fontId="8" fillId="0" borderId="0" xfId="2"/>
    <xf numFmtId="0" fontId="0" fillId="0" borderId="0" xfId="0" applyAlignment="1">
      <alignment horizontal="center"/>
    </xf>
    <xf numFmtId="0" fontId="2" fillId="0" borderId="0" xfId="0" applyFont="1" applyAlignment="1">
      <alignment horizontal="center" wrapText="1"/>
    </xf>
    <xf numFmtId="166" fontId="2" fillId="4" borderId="0" xfId="3" applyFont="1" applyFill="1"/>
    <xf numFmtId="167" fontId="2" fillId="4" borderId="0" xfId="3" applyNumberFormat="1" applyFont="1" applyFill="1"/>
    <xf numFmtId="9" fontId="0" fillId="4" borderId="0" xfId="1" applyFont="1" applyFill="1"/>
    <xf numFmtId="166" fontId="2" fillId="4" borderId="0" xfId="0" applyNumberFormat="1" applyFont="1" applyFill="1"/>
    <xf numFmtId="168" fontId="2" fillId="4" borderId="0" xfId="1" applyNumberFormat="1" applyFont="1" applyFill="1"/>
    <xf numFmtId="166" fontId="3" fillId="4" borderId="0" xfId="0" applyNumberFormat="1" applyFont="1" applyFill="1"/>
    <xf numFmtId="0" fontId="2" fillId="5" borderId="0" xfId="0" applyFont="1" applyFill="1"/>
    <xf numFmtId="10" fontId="0" fillId="0" borderId="0" xfId="1" applyNumberFormat="1" applyFont="1"/>
    <xf numFmtId="0" fontId="0" fillId="6" borderId="0" xfId="0" applyFill="1"/>
    <xf numFmtId="0" fontId="2" fillId="6" borderId="0" xfId="0" applyFont="1" applyFill="1"/>
    <xf numFmtId="2" fontId="0" fillId="0" borderId="0" xfId="1" applyNumberFormat="1" applyFont="1" applyFill="1"/>
    <xf numFmtId="2" fontId="2" fillId="0" borderId="0" xfId="1" applyNumberFormat="1" applyFont="1" applyFill="1"/>
    <xf numFmtId="166" fontId="2" fillId="0" borderId="0" xfId="0" applyNumberFormat="1" applyFont="1"/>
    <xf numFmtId="167" fontId="0" fillId="4" borderId="0" xfId="0" applyNumberFormat="1" applyFill="1"/>
    <xf numFmtId="9" fontId="2" fillId="4" borderId="0" xfId="1" applyFont="1" applyFill="1"/>
    <xf numFmtId="167" fontId="2" fillId="4" borderId="0" xfId="0" applyNumberFormat="1" applyFont="1" applyFill="1"/>
    <xf numFmtId="166" fontId="2" fillId="5" borderId="0" xfId="3" applyFont="1" applyFill="1"/>
    <xf numFmtId="167" fontId="2" fillId="2" borderId="0" xfId="0" applyNumberFormat="1" applyFont="1" applyFill="1" applyAlignment="1">
      <alignment horizontal="center" wrapText="1"/>
    </xf>
    <xf numFmtId="167" fontId="2" fillId="0" borderId="0" xfId="3" applyNumberFormat="1" applyFont="1"/>
    <xf numFmtId="10" fontId="2" fillId="4" borderId="1" xfId="1" applyNumberFormat="1" applyFont="1" applyFill="1" applyBorder="1"/>
    <xf numFmtId="167" fontId="0" fillId="4" borderId="1" xfId="0" applyNumberFormat="1" applyFill="1" applyBorder="1"/>
    <xf numFmtId="0" fontId="2" fillId="0" borderId="0" xfId="0" applyFont="1" applyAlignment="1">
      <alignment wrapText="1"/>
    </xf>
    <xf numFmtId="166" fontId="1" fillId="4" borderId="0" xfId="3" applyFont="1" applyFill="1"/>
    <xf numFmtId="167" fontId="2" fillId="4" borderId="1" xfId="0" applyNumberFormat="1" applyFont="1" applyFill="1" applyBorder="1"/>
    <xf numFmtId="0" fontId="2" fillId="4" borderId="1" xfId="0" applyFont="1" applyFill="1" applyBorder="1"/>
    <xf numFmtId="167" fontId="2" fillId="4" borderId="1" xfId="3" applyNumberFormat="1" applyFont="1" applyFill="1" applyBorder="1"/>
    <xf numFmtId="9" fontId="0" fillId="0" borderId="0" xfId="0" applyNumberFormat="1"/>
    <xf numFmtId="169" fontId="0" fillId="0" borderId="0" xfId="0" applyNumberFormat="1"/>
    <xf numFmtId="10" fontId="2" fillId="4" borderId="0" xfId="1" applyNumberFormat="1" applyFont="1" applyFill="1"/>
    <xf numFmtId="2" fontId="0" fillId="0" borderId="0" xfId="0" applyNumberFormat="1"/>
    <xf numFmtId="172" fontId="0" fillId="0" borderId="0" xfId="0" applyNumberFormat="1"/>
    <xf numFmtId="0" fontId="2" fillId="2" borderId="0" xfId="0" applyFont="1" applyFill="1" applyAlignment="1">
      <alignment horizontal="center"/>
    </xf>
    <xf numFmtId="167" fontId="2" fillId="6" borderId="0" xfId="3" applyNumberFormat="1" applyFont="1" applyFill="1"/>
    <xf numFmtId="10" fontId="2" fillId="6" borderId="0" xfId="0" applyNumberFormat="1" applyFont="1" applyFill="1"/>
    <xf numFmtId="2" fontId="2" fillId="2" borderId="0" xfId="0" applyNumberFormat="1" applyFont="1" applyFill="1"/>
    <xf numFmtId="0" fontId="4" fillId="0" borderId="0" xfId="0" applyFont="1" applyAlignment="1">
      <alignment horizontal="left"/>
    </xf>
    <xf numFmtId="0" fontId="3" fillId="0" borderId="0" xfId="0" applyFont="1"/>
    <xf numFmtId="9" fontId="2" fillId="0" borderId="0" xfId="0" applyNumberFormat="1" applyFont="1"/>
    <xf numFmtId="10" fontId="2" fillId="4" borderId="0" xfId="1" applyNumberFormat="1" applyFont="1" applyFill="1" applyBorder="1"/>
    <xf numFmtId="0" fontId="2" fillId="3" borderId="0" xfId="0" applyFont="1" applyFill="1"/>
    <xf numFmtId="173" fontId="0" fillId="0" borderId="0" xfId="0" applyNumberFormat="1"/>
    <xf numFmtId="2" fontId="0" fillId="2" borderId="0" xfId="1" applyNumberFormat="1" applyFont="1" applyFill="1"/>
    <xf numFmtId="2" fontId="0" fillId="4" borderId="0" xfId="1" applyNumberFormat="1" applyFont="1" applyFill="1"/>
    <xf numFmtId="2" fontId="0" fillId="2" borderId="0" xfId="0" applyNumberFormat="1" applyFill="1"/>
    <xf numFmtId="167" fontId="0" fillId="4" borderId="0" xfId="3" applyNumberFormat="1" applyFont="1" applyFill="1"/>
    <xf numFmtId="10" fontId="2" fillId="0" borderId="0" xfId="1" applyNumberFormat="1" applyFont="1"/>
    <xf numFmtId="166" fontId="0" fillId="4" borderId="0" xfId="3" applyFont="1" applyFill="1"/>
    <xf numFmtId="167" fontId="2" fillId="0" borderId="0" xfId="0" applyNumberFormat="1" applyFont="1"/>
    <xf numFmtId="2" fontId="2" fillId="4" borderId="0" xfId="1" applyNumberFormat="1" applyFont="1" applyFill="1"/>
    <xf numFmtId="168" fontId="2" fillId="0" borderId="0" xfId="0" applyNumberFormat="1" applyFont="1"/>
    <xf numFmtId="0" fontId="2" fillId="0" borderId="0" xfId="0" applyFont="1" applyAlignment="1">
      <alignment horizontal="right"/>
    </xf>
    <xf numFmtId="173" fontId="2" fillId="0" borderId="0" xfId="0" applyNumberFormat="1" applyFont="1" applyAlignment="1">
      <alignment horizontal="center"/>
    </xf>
    <xf numFmtId="166" fontId="0" fillId="2" borderId="0" xfId="3" applyFont="1" applyFill="1"/>
    <xf numFmtId="166" fontId="0" fillId="0" borderId="0" xfId="0" applyNumberFormat="1"/>
    <xf numFmtId="174" fontId="0" fillId="0" borderId="0" xfId="1" applyNumberFormat="1" applyFont="1"/>
    <xf numFmtId="170" fontId="2" fillId="4" borderId="0" xfId="3" applyNumberFormat="1" applyFont="1" applyFill="1"/>
    <xf numFmtId="9" fontId="0" fillId="0" borderId="0" xfId="1" applyFont="1" applyFill="1"/>
    <xf numFmtId="2" fontId="2" fillId="0" borderId="0" xfId="0" applyNumberFormat="1" applyFont="1" applyAlignment="1">
      <alignment horizontal="center"/>
    </xf>
    <xf numFmtId="169" fontId="2" fillId="4" borderId="0" xfId="0" applyNumberFormat="1" applyFont="1" applyFill="1"/>
    <xf numFmtId="172" fontId="2" fillId="0" borderId="0" xfId="0" applyNumberFormat="1" applyFont="1"/>
    <xf numFmtId="172" fontId="11" fillId="0" borderId="0" xfId="0" applyNumberFormat="1" applyFont="1"/>
    <xf numFmtId="166" fontId="2" fillId="0" borderId="0" xfId="3" applyFont="1"/>
    <xf numFmtId="0" fontId="2" fillId="0" borderId="1" xfId="0" applyFont="1" applyBorder="1" applyAlignment="1">
      <alignment horizontal="center" wrapText="1"/>
    </xf>
    <xf numFmtId="0" fontId="13" fillId="0" borderId="0" xfId="0" applyFont="1" applyAlignment="1">
      <alignment horizontal="left" wrapText="1"/>
    </xf>
    <xf numFmtId="0" fontId="2" fillId="0" borderId="1" xfId="0" applyFont="1" applyBorder="1" applyAlignment="1">
      <alignment horizontal="center"/>
    </xf>
    <xf numFmtId="0" fontId="6" fillId="0" borderId="0" xfId="0" applyFont="1"/>
    <xf numFmtId="0" fontId="2" fillId="0" borderId="1" xfId="0" applyFont="1" applyBorder="1" applyAlignment="1">
      <alignment horizontal="left" indent="1"/>
    </xf>
    <xf numFmtId="0" fontId="0" fillId="0" borderId="0" xfId="0" applyAlignment="1">
      <alignment horizontal="left" indent="1"/>
    </xf>
    <xf numFmtId="10" fontId="2" fillId="0" borderId="0" xfId="1" applyNumberFormat="1" applyFont="1" applyFill="1" applyBorder="1"/>
    <xf numFmtId="167" fontId="0" fillId="0" borderId="0" xfId="0" applyNumberFormat="1"/>
    <xf numFmtId="169" fontId="2" fillId="2" borderId="0" xfId="0" applyNumberFormat="1" applyFont="1" applyFill="1"/>
    <xf numFmtId="0" fontId="18" fillId="0" borderId="0" xfId="0" applyFont="1"/>
    <xf numFmtId="2" fontId="0" fillId="4" borderId="0" xfId="0" applyNumberFormat="1" applyFill="1"/>
    <xf numFmtId="166" fontId="2" fillId="0" borderId="0" xfId="0" applyNumberFormat="1" applyFont="1" applyAlignment="1">
      <alignment horizontal="center"/>
    </xf>
    <xf numFmtId="167" fontId="0" fillId="4" borderId="1" xfId="3" applyNumberFormat="1" applyFont="1" applyFill="1" applyBorder="1"/>
    <xf numFmtId="0" fontId="20" fillId="0" borderId="0" xfId="0" applyFont="1"/>
    <xf numFmtId="0" fontId="21" fillId="0" borderId="0" xfId="0" applyFont="1" applyAlignment="1">
      <alignment vertical="center"/>
    </xf>
    <xf numFmtId="0" fontId="23" fillId="0" borderId="0" xfId="0" applyFont="1" applyAlignment="1">
      <alignment horizontal="left" vertical="center" wrapText="1"/>
    </xf>
    <xf numFmtId="0" fontId="23" fillId="0" borderId="0" xfId="0" applyFont="1" applyAlignment="1">
      <alignment vertical="center" wrapText="1"/>
    </xf>
    <xf numFmtId="9" fontId="23" fillId="2" borderId="1" xfId="0" applyNumberFormat="1" applyFont="1" applyFill="1" applyBorder="1" applyAlignment="1">
      <alignment horizontal="center" vertical="center" wrapText="1"/>
    </xf>
    <xf numFmtId="0" fontId="23" fillId="0" borderId="0" xfId="0" applyFont="1" applyAlignment="1">
      <alignment horizontal="center" vertical="center" wrapText="1"/>
    </xf>
    <xf numFmtId="10" fontId="23" fillId="2" borderId="1" xfId="0" applyNumberFormat="1" applyFont="1" applyFill="1" applyBorder="1" applyAlignment="1">
      <alignment horizontal="center" vertical="center" wrapText="1"/>
    </xf>
    <xf numFmtId="0" fontId="23" fillId="0" borderId="0" xfId="0" applyFont="1" applyAlignment="1">
      <alignment vertical="center"/>
    </xf>
    <xf numFmtId="175" fontId="0" fillId="0" borderId="0" xfId="0" applyNumberFormat="1"/>
    <xf numFmtId="0" fontId="29" fillId="0" borderId="0" xfId="0" applyFont="1" applyAlignment="1">
      <alignment horizontal="center" vertical="center" wrapText="1"/>
    </xf>
    <xf numFmtId="0" fontId="30" fillId="0" borderId="0" xfId="0" applyFont="1" applyAlignment="1">
      <alignment horizontal="center" vertical="center" wrapText="1"/>
    </xf>
    <xf numFmtId="0" fontId="32" fillId="0" borderId="0" xfId="0" applyFont="1" applyAlignment="1">
      <alignment vertical="center" wrapText="1"/>
    </xf>
    <xf numFmtId="0" fontId="32" fillId="0" borderId="0" xfId="0" applyFont="1" applyAlignment="1">
      <alignment horizontal="right" vertical="center" wrapText="1"/>
    </xf>
    <xf numFmtId="0" fontId="29" fillId="0" borderId="0" xfId="0" applyFont="1" applyAlignment="1">
      <alignment vertical="center" wrapText="1"/>
    </xf>
    <xf numFmtId="0" fontId="29" fillId="0" borderId="0" xfId="0" applyFont="1" applyAlignment="1">
      <alignment horizontal="right" vertical="center" wrapText="1"/>
    </xf>
    <xf numFmtId="0" fontId="33" fillId="0" borderId="0" xfId="0" applyFont="1" applyAlignment="1">
      <alignment horizontal="left" vertical="center" wrapText="1" indent="1"/>
    </xf>
    <xf numFmtId="0" fontId="0" fillId="0" borderId="0" xfId="0" applyAlignment="1">
      <alignment horizontal="center" wrapText="1"/>
    </xf>
    <xf numFmtId="0" fontId="10" fillId="2" borderId="1" xfId="0" applyFont="1" applyFill="1" applyBorder="1" applyAlignment="1">
      <alignment horizontal="center"/>
    </xf>
    <xf numFmtId="167" fontId="0" fillId="3" borderId="6" xfId="3" applyNumberFormat="1" applyFont="1" applyFill="1" applyBorder="1"/>
    <xf numFmtId="0" fontId="0" fillId="2" borderId="1" xfId="0" applyFill="1" applyBorder="1" applyAlignment="1">
      <alignment horizontal="center"/>
    </xf>
    <xf numFmtId="166" fontId="0" fillId="2" borderId="1" xfId="3" applyFont="1" applyFill="1" applyBorder="1"/>
    <xf numFmtId="10" fontId="0" fillId="0" borderId="0" xfId="0" applyNumberFormat="1"/>
    <xf numFmtId="170" fontId="0" fillId="4" borderId="0" xfId="0" applyNumberFormat="1" applyFill="1"/>
    <xf numFmtId="1" fontId="0" fillId="4" borderId="0" xfId="0" applyNumberFormat="1" applyFill="1"/>
    <xf numFmtId="166" fontId="2" fillId="0" borderId="0" xfId="3" applyFont="1" applyFill="1"/>
    <xf numFmtId="168" fontId="2" fillId="4" borderId="0" xfId="0" applyNumberFormat="1" applyFont="1" applyFill="1"/>
    <xf numFmtId="2" fontId="2" fillId="4" borderId="0" xfId="0" applyNumberFormat="1" applyFont="1" applyFill="1"/>
    <xf numFmtId="10" fontId="0" fillId="0" borderId="0" xfId="1" applyNumberFormat="1" applyFont="1" applyFill="1"/>
    <xf numFmtId="9" fontId="2" fillId="0" borderId="0" xfId="1" applyFont="1" applyFill="1"/>
    <xf numFmtId="0" fontId="0" fillId="0" borderId="1" xfId="0" applyBorder="1" applyAlignment="1">
      <alignment horizontal="left" indent="3"/>
    </xf>
    <xf numFmtId="0" fontId="10" fillId="0" borderId="1" xfId="0" applyFont="1" applyBorder="1" applyAlignment="1">
      <alignment horizontal="center"/>
    </xf>
    <xf numFmtId="0" fontId="3" fillId="0" borderId="1" xfId="0" applyFont="1" applyBorder="1" applyAlignment="1">
      <alignment horizontal="center"/>
    </xf>
    <xf numFmtId="0" fontId="0" fillId="0" borderId="1" xfId="0" applyBorder="1" applyAlignment="1">
      <alignment horizontal="left" wrapText="1" indent="3"/>
    </xf>
    <xf numFmtId="0" fontId="10" fillId="0" borderId="1" xfId="0" applyFont="1" applyBorder="1" applyAlignment="1">
      <alignment horizontal="center" wrapText="1"/>
    </xf>
    <xf numFmtId="0" fontId="0" fillId="0" borderId="1" xfId="0" applyBorder="1" applyAlignment="1">
      <alignment horizontal="left" indent="1"/>
    </xf>
    <xf numFmtId="0" fontId="10" fillId="0" borderId="0" xfId="0" applyFont="1" applyAlignment="1">
      <alignment horizontal="center"/>
    </xf>
    <xf numFmtId="0" fontId="3" fillId="0" borderId="0" xfId="0" applyFont="1" applyAlignment="1">
      <alignment horizontal="center"/>
    </xf>
    <xf numFmtId="167" fontId="2" fillId="2" borderId="0" xfId="3" applyNumberFormat="1" applyFont="1" applyFill="1"/>
    <xf numFmtId="0" fontId="2" fillId="7" borderId="0" xfId="0" applyFont="1" applyFill="1"/>
    <xf numFmtId="166" fontId="0" fillId="2" borderId="0" xfId="3" applyFont="1" applyFill="1" applyAlignment="1">
      <alignment wrapText="1"/>
    </xf>
    <xf numFmtId="176" fontId="2" fillId="5" borderId="0" xfId="0" applyNumberFormat="1" applyFont="1" applyFill="1" applyAlignment="1">
      <alignment horizontal="right"/>
    </xf>
    <xf numFmtId="176" fontId="2" fillId="0" borderId="0" xfId="0" applyNumberFormat="1" applyFont="1" applyAlignment="1">
      <alignment horizontal="right"/>
    </xf>
    <xf numFmtId="166" fontId="0" fillId="4" borderId="0" xfId="0" applyNumberFormat="1" applyFill="1"/>
    <xf numFmtId="1" fontId="2" fillId="0" borderId="0" xfId="0" applyNumberFormat="1" applyFont="1"/>
    <xf numFmtId="172" fontId="2" fillId="4" borderId="0" xfId="0" applyNumberFormat="1" applyFont="1" applyFill="1"/>
    <xf numFmtId="0" fontId="0" fillId="0" borderId="14" xfId="0" applyBorder="1"/>
    <xf numFmtId="0" fontId="2" fillId="0" borderId="14" xfId="0" applyFont="1" applyBorder="1"/>
    <xf numFmtId="0" fontId="0" fillId="0" borderId="16" xfId="0" applyBorder="1"/>
    <xf numFmtId="0" fontId="2" fillId="0" borderId="16" xfId="0" applyFont="1" applyBorder="1"/>
    <xf numFmtId="167" fontId="2" fillId="0" borderId="27" xfId="1" applyNumberFormat="1" applyFont="1" applyFill="1" applyBorder="1"/>
    <xf numFmtId="0" fontId="36" fillId="0" borderId="0" xfId="0" applyFont="1"/>
    <xf numFmtId="10" fontId="2" fillId="0" borderId="0" xfId="1" applyNumberFormat="1" applyFont="1" applyAlignment="1">
      <alignment wrapText="1"/>
    </xf>
    <xf numFmtId="10" fontId="2" fillId="4" borderId="15" xfId="1" applyNumberFormat="1" applyFont="1" applyFill="1" applyBorder="1"/>
    <xf numFmtId="10" fontId="0" fillId="4" borderId="17" xfId="1" applyNumberFormat="1" applyFont="1" applyFill="1" applyBorder="1"/>
    <xf numFmtId="10" fontId="2" fillId="4" borderId="30" xfId="1" applyNumberFormat="1" applyFont="1" applyFill="1" applyBorder="1"/>
    <xf numFmtId="0" fontId="2" fillId="0" borderId="22" xfId="0" applyFont="1" applyBorder="1"/>
    <xf numFmtId="167" fontId="0" fillId="0" borderId="0" xfId="3" applyNumberFormat="1" applyFont="1" applyFill="1" applyBorder="1"/>
    <xf numFmtId="0" fontId="37" fillId="0" borderId="1" xfId="0" applyFont="1" applyBorder="1" applyAlignment="1">
      <alignment wrapText="1"/>
    </xf>
    <xf numFmtId="0" fontId="38" fillId="0" borderId="14" xfId="0" applyFont="1" applyBorder="1"/>
    <xf numFmtId="0" fontId="37" fillId="0" borderId="14" xfId="0" applyFont="1" applyBorder="1"/>
    <xf numFmtId="0" fontId="37" fillId="0" borderId="22" xfId="0" applyFont="1" applyBorder="1"/>
    <xf numFmtId="167" fontId="38" fillId="4" borderId="1" xfId="3" applyNumberFormat="1" applyFont="1" applyFill="1" applyBorder="1"/>
    <xf numFmtId="167" fontId="37" fillId="4" borderId="1" xfId="3" applyNumberFormat="1" applyFont="1" applyFill="1" applyBorder="1"/>
    <xf numFmtId="10" fontId="37" fillId="4" borderId="30" xfId="1" applyNumberFormat="1" applyFont="1" applyFill="1" applyBorder="1"/>
    <xf numFmtId="167" fontId="2" fillId="3" borderId="0" xfId="3" applyNumberFormat="1" applyFont="1" applyFill="1" applyBorder="1"/>
    <xf numFmtId="167" fontId="0" fillId="2" borderId="1" xfId="3" applyNumberFormat="1" applyFont="1" applyFill="1" applyBorder="1"/>
    <xf numFmtId="3" fontId="17" fillId="2" borderId="1" xfId="0" applyNumberFormat="1" applyFont="1" applyFill="1" applyBorder="1" applyAlignment="1">
      <alignment vertical="center"/>
    </xf>
    <xf numFmtId="10" fontId="2" fillId="4" borderId="17" xfId="1" applyNumberFormat="1" applyFont="1" applyFill="1" applyBorder="1"/>
    <xf numFmtId="10" fontId="0" fillId="4" borderId="18" xfId="1" applyNumberFormat="1" applyFont="1" applyFill="1" applyBorder="1"/>
    <xf numFmtId="167" fontId="2" fillId="4" borderId="18" xfId="0" applyNumberFormat="1" applyFont="1" applyFill="1" applyBorder="1"/>
    <xf numFmtId="10" fontId="2" fillId="4" borderId="18" xfId="1" applyNumberFormat="1" applyFont="1" applyFill="1" applyBorder="1"/>
    <xf numFmtId="9" fontId="0" fillId="4" borderId="0" xfId="0" applyNumberFormat="1" applyFill="1"/>
    <xf numFmtId="166" fontId="2" fillId="4" borderId="0" xfId="0" applyNumberFormat="1" applyFont="1" applyFill="1" applyAlignment="1">
      <alignment wrapText="1"/>
    </xf>
    <xf numFmtId="10" fontId="2" fillId="4" borderId="0" xfId="1" applyNumberFormat="1" applyFont="1" applyFill="1" applyAlignment="1">
      <alignment wrapText="1"/>
    </xf>
    <xf numFmtId="9" fontId="2" fillId="4" borderId="1" xfId="1" applyFont="1" applyFill="1" applyBorder="1"/>
    <xf numFmtId="167" fontId="35" fillId="4" borderId="1" xfId="0" applyNumberFormat="1" applyFont="1" applyFill="1" applyBorder="1" applyAlignment="1">
      <alignment vertical="center" wrapText="1"/>
    </xf>
    <xf numFmtId="0" fontId="2" fillId="4" borderId="1" xfId="0" applyFont="1" applyFill="1" applyBorder="1" applyAlignment="1">
      <alignment horizontal="center" wrapText="1"/>
    </xf>
    <xf numFmtId="167" fontId="0" fillId="0" borderId="0" xfId="3" applyNumberFormat="1" applyFont="1"/>
    <xf numFmtId="10" fontId="2" fillId="4" borderId="0" xfId="0" applyNumberFormat="1" applyFont="1" applyFill="1"/>
    <xf numFmtId="0" fontId="0" fillId="0" borderId="23" xfId="0" applyBorder="1"/>
    <xf numFmtId="0" fontId="2" fillId="0" borderId="23" xfId="0" applyFont="1" applyBorder="1"/>
    <xf numFmtId="0" fontId="2" fillId="0" borderId="19" xfId="0" applyFont="1" applyBorder="1" applyAlignment="1">
      <alignment horizontal="left"/>
    </xf>
    <xf numFmtId="171" fontId="0" fillId="4" borderId="0" xfId="0" applyNumberFormat="1" applyFill="1"/>
    <xf numFmtId="167" fontId="2" fillId="4" borderId="0" xfId="0" applyNumberFormat="1" applyFont="1" applyFill="1" applyAlignment="1">
      <alignment horizontal="center" wrapText="1"/>
    </xf>
    <xf numFmtId="10" fontId="2" fillId="7" borderId="0" xfId="0" applyNumberFormat="1" applyFont="1" applyFill="1"/>
    <xf numFmtId="0" fontId="2" fillId="7" borderId="0" xfId="0" applyFont="1" applyFill="1" applyAlignment="1">
      <alignment horizontal="left"/>
    </xf>
    <xf numFmtId="169" fontId="0" fillId="4" borderId="0" xfId="0" applyNumberFormat="1" applyFill="1"/>
    <xf numFmtId="172" fontId="0" fillId="4" borderId="0" xfId="0" applyNumberFormat="1" applyFill="1"/>
    <xf numFmtId="164" fontId="0" fillId="0" borderId="0" xfId="0" applyNumberFormat="1"/>
    <xf numFmtId="165" fontId="2" fillId="4" borderId="0" xfId="0" applyNumberFormat="1" applyFont="1" applyFill="1"/>
    <xf numFmtId="165" fontId="0" fillId="4" borderId="0" xfId="0" applyNumberFormat="1" applyFill="1"/>
    <xf numFmtId="9" fontId="2" fillId="0" borderId="0" xfId="1" applyFont="1" applyFill="1" applyBorder="1"/>
    <xf numFmtId="2" fontId="2" fillId="7" borderId="0" xfId="0" applyNumberFormat="1" applyFont="1" applyFill="1" applyAlignment="1">
      <alignment horizontal="center"/>
    </xf>
    <xf numFmtId="0" fontId="0" fillId="7" borderId="0" xfId="0" applyFill="1"/>
    <xf numFmtId="0" fontId="2" fillId="0" borderId="26" xfId="0" applyFont="1" applyBorder="1" applyAlignment="1">
      <alignment horizontal="center"/>
    </xf>
    <xf numFmtId="0" fontId="0" fillId="0" borderId="28" xfId="0" applyBorder="1" applyAlignment="1">
      <alignment horizontal="center"/>
    </xf>
    <xf numFmtId="0" fontId="13" fillId="0" borderId="1" xfId="0" applyFont="1" applyBorder="1" applyAlignment="1">
      <alignment wrapText="1"/>
    </xf>
    <xf numFmtId="0" fontId="13" fillId="0" borderId="1" xfId="0" applyFont="1" applyBorder="1" applyAlignment="1">
      <alignment horizontal="center" wrapText="1"/>
    </xf>
    <xf numFmtId="10" fontId="2" fillId="0" borderId="0" xfId="1" applyNumberFormat="1" applyFont="1" applyFill="1"/>
    <xf numFmtId="166" fontId="2" fillId="7" borderId="0" xfId="3" applyFont="1" applyFill="1" applyAlignment="1">
      <alignment horizontal="center"/>
    </xf>
    <xf numFmtId="0" fontId="13" fillId="4" borderId="1" xfId="0" applyFont="1" applyFill="1" applyBorder="1" applyAlignment="1">
      <alignment wrapText="1"/>
    </xf>
    <xf numFmtId="0" fontId="2" fillId="7" borderId="1" xfId="0" applyFont="1" applyFill="1" applyBorder="1"/>
    <xf numFmtId="0" fontId="2" fillId="4" borderId="0" xfId="1" applyNumberFormat="1" applyFont="1" applyFill="1"/>
    <xf numFmtId="0" fontId="13" fillId="5" borderId="0" xfId="0" applyFont="1" applyFill="1" applyAlignment="1">
      <alignment horizontal="center" wrapText="1"/>
    </xf>
    <xf numFmtId="0" fontId="13" fillId="5" borderId="0" xfId="0" applyFont="1" applyFill="1" applyAlignment="1">
      <alignment wrapText="1"/>
    </xf>
    <xf numFmtId="0" fontId="0" fillId="0" borderId="23" xfId="0" applyBorder="1" applyAlignment="1">
      <alignment horizontal="center"/>
    </xf>
    <xf numFmtId="0" fontId="2" fillId="0" borderId="26" xfId="0" applyFont="1" applyBorder="1" applyAlignment="1">
      <alignment wrapText="1"/>
    </xf>
    <xf numFmtId="10" fontId="2" fillId="0" borderId="6" xfId="1" applyNumberFormat="1" applyFont="1" applyFill="1" applyBorder="1"/>
    <xf numFmtId="9" fontId="0" fillId="4" borderId="1" xfId="1" applyFont="1" applyFill="1" applyBorder="1"/>
    <xf numFmtId="0" fontId="0" fillId="4" borderId="34" xfId="0" applyFill="1" applyBorder="1"/>
    <xf numFmtId="166" fontId="2" fillId="4" borderId="0" xfId="0" applyNumberFormat="1" applyFont="1" applyFill="1" applyAlignment="1">
      <alignment horizontal="center"/>
    </xf>
    <xf numFmtId="0" fontId="2" fillId="0" borderId="35" xfId="0" applyFont="1" applyBorder="1"/>
    <xf numFmtId="0" fontId="2" fillId="0" borderId="1" xfId="0" applyFont="1" applyBorder="1" applyAlignment="1">
      <alignment horizontal="left" wrapText="1"/>
    </xf>
    <xf numFmtId="0" fontId="0" fillId="2" borderId="15" xfId="0" applyFill="1" applyBorder="1"/>
    <xf numFmtId="9" fontId="2" fillId="4" borderId="33" xfId="1" applyFont="1" applyFill="1" applyBorder="1"/>
    <xf numFmtId="0" fontId="0" fillId="5" borderId="0" xfId="0" applyFill="1"/>
    <xf numFmtId="166" fontId="2" fillId="4" borderId="1" xfId="3" applyFont="1" applyFill="1" applyBorder="1"/>
    <xf numFmtId="2" fontId="0" fillId="4" borderId="1" xfId="0" applyNumberFormat="1" applyFill="1" applyBorder="1"/>
    <xf numFmtId="166" fontId="0" fillId="4" borderId="1" xfId="0" applyNumberFormat="1" applyFill="1" applyBorder="1"/>
    <xf numFmtId="166" fontId="2" fillId="5" borderId="0" xfId="0" applyNumberFormat="1" applyFont="1" applyFill="1"/>
    <xf numFmtId="0" fontId="40" fillId="0" borderId="1" xfId="0" applyFont="1" applyBorder="1" applyAlignment="1">
      <alignment horizontal="left" vertical="center" wrapText="1"/>
    </xf>
    <xf numFmtId="0" fontId="26" fillId="0" borderId="1" xfId="0" applyFont="1" applyBorder="1" applyAlignment="1">
      <alignment horizontal="center" vertical="center" wrapText="1"/>
    </xf>
    <xf numFmtId="0" fontId="21" fillId="0" borderId="9" xfId="0" applyFont="1" applyBorder="1" applyAlignment="1">
      <alignment vertical="center"/>
    </xf>
    <xf numFmtId="0" fontId="0" fillId="0" borderId="13" xfId="0" applyBorder="1"/>
    <xf numFmtId="0" fontId="21" fillId="0" borderId="14" xfId="0" applyFont="1" applyBorder="1" applyAlignment="1">
      <alignment vertical="center"/>
    </xf>
    <xf numFmtId="0" fontId="2" fillId="4" borderId="36" xfId="0" applyFont="1" applyFill="1" applyBorder="1"/>
    <xf numFmtId="3" fontId="0" fillId="2" borderId="0" xfId="0" applyNumberFormat="1" applyFill="1"/>
    <xf numFmtId="0" fontId="41" fillId="0" borderId="0" xfId="0" applyFont="1" applyAlignment="1">
      <alignment vertical="center" wrapText="1"/>
    </xf>
    <xf numFmtId="0" fontId="41" fillId="0" borderId="0" xfId="0" applyFont="1" applyAlignment="1">
      <alignment horizontal="right" vertical="center" wrapText="1"/>
    </xf>
    <xf numFmtId="0" fontId="11" fillId="0" borderId="0" xfId="0" applyFont="1"/>
    <xf numFmtId="2" fontId="2" fillId="4" borderId="1" xfId="0" applyNumberFormat="1" applyFont="1" applyFill="1" applyBorder="1" applyAlignment="1">
      <alignment horizontal="center"/>
    </xf>
    <xf numFmtId="169" fontId="2" fillId="4" borderId="1" xfId="0" applyNumberFormat="1" applyFont="1" applyFill="1" applyBorder="1"/>
    <xf numFmtId="168" fontId="2" fillId="4" borderId="1" xfId="1" applyNumberFormat="1" applyFont="1" applyFill="1" applyBorder="1"/>
    <xf numFmtId="168" fontId="1" fillId="4" borderId="0" xfId="1" applyNumberFormat="1" applyFont="1" applyFill="1"/>
    <xf numFmtId="0" fontId="0" fillId="0" borderId="1" xfId="0" applyBorder="1" applyAlignment="1">
      <alignment wrapText="1"/>
    </xf>
    <xf numFmtId="10" fontId="0" fillId="4" borderId="0" xfId="1" applyNumberFormat="1" applyFont="1" applyFill="1"/>
    <xf numFmtId="0" fontId="0" fillId="4" borderId="0" xfId="1" applyNumberFormat="1" applyFont="1" applyFill="1"/>
    <xf numFmtId="169" fontId="2" fillId="4" borderId="0" xfId="0" applyNumberFormat="1" applyFont="1" applyFill="1" applyAlignment="1">
      <alignment horizontal="right"/>
    </xf>
    <xf numFmtId="9" fontId="10" fillId="0" borderId="0" xfId="0" applyNumberFormat="1" applyFont="1" applyAlignment="1">
      <alignment horizontal="right"/>
    </xf>
    <xf numFmtId="0" fontId="0" fillId="4" borderId="1" xfId="0" applyFill="1" applyBorder="1" applyAlignment="1">
      <alignment horizontal="center"/>
    </xf>
    <xf numFmtId="176" fontId="0" fillId="4" borderId="1" xfId="0" applyNumberFormat="1" applyFill="1" applyBorder="1" applyAlignment="1">
      <alignment horizontal="right"/>
    </xf>
    <xf numFmtId="176" fontId="2" fillId="4" borderId="1" xfId="0" applyNumberFormat="1" applyFont="1" applyFill="1" applyBorder="1" applyAlignment="1">
      <alignment horizontal="right"/>
    </xf>
    <xf numFmtId="168" fontId="2" fillId="4" borderId="1" xfId="1" applyNumberFormat="1" applyFont="1" applyFill="1" applyBorder="1" applyAlignment="1">
      <alignment horizontal="center"/>
    </xf>
    <xf numFmtId="9" fontId="2" fillId="4" borderId="1" xfId="1" applyFont="1" applyFill="1" applyBorder="1" applyAlignment="1">
      <alignment horizontal="center"/>
    </xf>
    <xf numFmtId="166" fontId="0" fillId="4" borderId="1" xfId="3" applyFont="1" applyFill="1" applyBorder="1"/>
    <xf numFmtId="0" fontId="2" fillId="4" borderId="0" xfId="0" applyFont="1" applyFill="1" applyAlignment="1">
      <alignment horizontal="center"/>
    </xf>
    <xf numFmtId="3" fontId="3" fillId="0" borderId="0" xfId="0" applyNumberFormat="1" applyFont="1"/>
    <xf numFmtId="0" fontId="39" fillId="0" borderId="0" xfId="0" applyFont="1" applyAlignment="1">
      <alignment horizontal="center"/>
    </xf>
    <xf numFmtId="167" fontId="2" fillId="0" borderId="0" xfId="3" applyNumberFormat="1" applyFont="1" applyFill="1" applyBorder="1"/>
    <xf numFmtId="167" fontId="35" fillId="0" borderId="0" xfId="0" applyNumberFormat="1" applyFont="1" applyAlignment="1">
      <alignment vertical="center" wrapText="1"/>
    </xf>
    <xf numFmtId="167" fontId="2" fillId="5" borderId="0" xfId="3" applyNumberFormat="1" applyFont="1" applyFill="1" applyBorder="1"/>
    <xf numFmtId="167" fontId="35" fillId="5" borderId="6" xfId="0" applyNumberFormat="1" applyFont="1" applyFill="1" applyBorder="1" applyAlignment="1">
      <alignment vertical="center" wrapText="1"/>
    </xf>
    <xf numFmtId="167" fontId="0" fillId="0" borderId="0" xfId="3" applyNumberFormat="1" applyFont="1" applyFill="1"/>
    <xf numFmtId="9" fontId="2" fillId="5" borderId="6" xfId="1" applyFont="1" applyFill="1" applyBorder="1"/>
    <xf numFmtId="167" fontId="2" fillId="5" borderId="0" xfId="0" applyNumberFormat="1" applyFont="1" applyFill="1"/>
    <xf numFmtId="3" fontId="17" fillId="2" borderId="1" xfId="0" applyNumberFormat="1" applyFont="1" applyFill="1" applyBorder="1" applyAlignment="1">
      <alignment vertical="center" wrapText="1"/>
    </xf>
    <xf numFmtId="167" fontId="38" fillId="2" borderId="1" xfId="0" applyNumberFormat="1" applyFont="1" applyFill="1" applyBorder="1" applyAlignment="1">
      <alignment vertical="center" wrapText="1"/>
    </xf>
    <xf numFmtId="10" fontId="0" fillId="2" borderId="1" xfId="1" applyNumberFormat="1" applyFont="1" applyFill="1" applyBorder="1"/>
    <xf numFmtId="10" fontId="0" fillId="2" borderId="1" xfId="1" applyNumberFormat="1" applyFont="1" applyFill="1" applyBorder="1" applyAlignment="1">
      <alignment horizontal="right" vertical="top"/>
    </xf>
    <xf numFmtId="10" fontId="0" fillId="2" borderId="1" xfId="1" applyNumberFormat="1" applyFont="1" applyFill="1" applyBorder="1" applyAlignment="1">
      <alignment horizontal="right" vertical="center"/>
    </xf>
    <xf numFmtId="10" fontId="0" fillId="2" borderId="1" xfId="1" applyNumberFormat="1" applyFont="1" applyFill="1" applyBorder="1" applyAlignment="1">
      <alignment horizontal="right"/>
    </xf>
    <xf numFmtId="0" fontId="42" fillId="0" borderId="0" xfId="0" applyFont="1" applyAlignment="1">
      <alignment vertical="center"/>
    </xf>
    <xf numFmtId="0" fontId="8" fillId="0" borderId="0" xfId="2" applyAlignment="1">
      <alignment vertical="center"/>
    </xf>
    <xf numFmtId="0" fontId="43" fillId="0" borderId="0" xfId="0" applyFont="1" applyAlignment="1">
      <alignment vertical="center"/>
    </xf>
    <xf numFmtId="9" fontId="17" fillId="4" borderId="1" xfId="1" applyFont="1" applyFill="1" applyBorder="1" applyAlignment="1">
      <alignment vertical="center"/>
    </xf>
    <xf numFmtId="9" fontId="17" fillId="4" borderId="1" xfId="1" applyFont="1" applyFill="1" applyBorder="1" applyAlignment="1">
      <alignment vertical="center" wrapText="1"/>
    </xf>
    <xf numFmtId="9" fontId="35" fillId="4" borderId="1" xfId="1" applyFont="1" applyFill="1" applyBorder="1" applyAlignment="1">
      <alignment vertical="center" wrapText="1"/>
    </xf>
    <xf numFmtId="0" fontId="8" fillId="0" borderId="0" xfId="2" applyFill="1"/>
    <xf numFmtId="174" fontId="0" fillId="4" borderId="0" xfId="1" applyNumberFormat="1" applyFont="1" applyFill="1"/>
    <xf numFmtId="0" fontId="21" fillId="0" borderId="0" xfId="0" applyFont="1" applyAlignment="1">
      <alignment vertical="center" wrapText="1"/>
    </xf>
    <xf numFmtId="0" fontId="21" fillId="4" borderId="0" xfId="0" applyFont="1" applyFill="1" applyAlignment="1">
      <alignment vertical="center" wrapText="1"/>
    </xf>
    <xf numFmtId="9" fontId="2" fillId="8" borderId="0" xfId="0" applyNumberFormat="1" applyFont="1" applyFill="1"/>
    <xf numFmtId="10" fontId="0" fillId="2" borderId="1" xfId="1" applyNumberFormat="1" applyFont="1" applyFill="1" applyBorder="1" applyAlignment="1">
      <alignment vertical="center" wrapText="1"/>
    </xf>
    <xf numFmtId="9" fontId="3" fillId="0" borderId="0" xfId="0" applyNumberFormat="1" applyFont="1"/>
    <xf numFmtId="0" fontId="0" fillId="0" borderId="8" xfId="0" applyBorder="1"/>
    <xf numFmtId="167" fontId="0" fillId="2" borderId="8" xfId="3" applyNumberFormat="1" applyFont="1" applyFill="1" applyBorder="1"/>
    <xf numFmtId="167" fontId="17" fillId="4" borderId="8" xfId="0" applyNumberFormat="1" applyFont="1" applyFill="1" applyBorder="1" applyAlignment="1">
      <alignment vertical="center" wrapText="1"/>
    </xf>
    <xf numFmtId="167" fontId="35" fillId="4" borderId="8" xfId="0" applyNumberFormat="1" applyFont="1" applyFill="1" applyBorder="1" applyAlignment="1">
      <alignment vertical="center" wrapText="1"/>
    </xf>
    <xf numFmtId="10" fontId="0" fillId="2" borderId="8" xfId="1" applyNumberFormat="1" applyFont="1" applyFill="1" applyBorder="1"/>
    <xf numFmtId="10" fontId="0" fillId="2" borderId="8" xfId="1" applyNumberFormat="1" applyFont="1" applyFill="1" applyBorder="1" applyAlignment="1">
      <alignment horizontal="right" vertical="top"/>
    </xf>
    <xf numFmtId="10" fontId="0" fillId="2" borderId="8" xfId="1" applyNumberFormat="1" applyFont="1" applyFill="1" applyBorder="1" applyAlignment="1">
      <alignment horizontal="right" vertical="center"/>
    </xf>
    <xf numFmtId="10" fontId="0" fillId="2" borderId="8" xfId="1" applyNumberFormat="1" applyFont="1" applyFill="1" applyBorder="1" applyAlignment="1">
      <alignment vertical="center" wrapText="1"/>
    </xf>
    <xf numFmtId="10" fontId="2" fillId="4" borderId="8" xfId="1" applyNumberFormat="1" applyFont="1" applyFill="1" applyBorder="1" applyAlignment="1">
      <alignment vertical="center" wrapText="1"/>
    </xf>
    <xf numFmtId="9" fontId="0" fillId="2" borderId="8" xfId="0" applyNumberFormat="1" applyFill="1" applyBorder="1"/>
    <xf numFmtId="9" fontId="2" fillId="4" borderId="8" xfId="1" applyFont="1" applyFill="1" applyBorder="1"/>
    <xf numFmtId="0" fontId="2" fillId="0" borderId="39" xfId="0" applyFont="1" applyBorder="1" applyAlignment="1">
      <alignment horizontal="center"/>
    </xf>
    <xf numFmtId="0" fontId="2" fillId="0" borderId="39" xfId="0" applyFont="1" applyBorder="1"/>
    <xf numFmtId="0" fontId="2" fillId="0" borderId="39" xfId="0" applyFont="1" applyBorder="1" applyAlignment="1">
      <alignment wrapText="1"/>
    </xf>
    <xf numFmtId="0" fontId="2" fillId="0" borderId="39" xfId="0" applyFont="1" applyBorder="1" applyAlignment="1">
      <alignment horizontal="center" wrapText="1"/>
    </xf>
    <xf numFmtId="0" fontId="2" fillId="4" borderId="39" xfId="0" applyFont="1" applyFill="1" applyBorder="1" applyAlignment="1">
      <alignment horizontal="center" wrapText="1"/>
    </xf>
    <xf numFmtId="0" fontId="2" fillId="4" borderId="39" xfId="0" applyFont="1" applyFill="1" applyBorder="1"/>
    <xf numFmtId="2" fontId="2" fillId="5" borderId="6" xfId="1" applyNumberFormat="1" applyFont="1" applyFill="1" applyBorder="1"/>
    <xf numFmtId="9" fontId="0" fillId="0" borderId="0" xfId="1" applyFont="1"/>
    <xf numFmtId="166" fontId="17" fillId="4" borderId="8" xfId="0" applyNumberFormat="1" applyFont="1" applyFill="1" applyBorder="1" applyAlignment="1">
      <alignment vertical="center" wrapText="1"/>
    </xf>
    <xf numFmtId="166" fontId="35" fillId="4" borderId="8" xfId="0" applyNumberFormat="1" applyFont="1" applyFill="1" applyBorder="1" applyAlignment="1">
      <alignment vertical="center" wrapText="1"/>
    </xf>
    <xf numFmtId="0" fontId="2" fillId="9" borderId="0" xfId="0" applyFont="1" applyFill="1" applyAlignment="1">
      <alignment horizontal="left"/>
    </xf>
    <xf numFmtId="0" fontId="2" fillId="9" borderId="0" xfId="0" applyFont="1" applyFill="1"/>
    <xf numFmtId="2" fontId="0" fillId="9" borderId="0" xfId="0" applyNumberFormat="1" applyFill="1"/>
    <xf numFmtId="169" fontId="0" fillId="9" borderId="0" xfId="0" applyNumberFormat="1" applyFill="1"/>
    <xf numFmtId="166" fontId="37" fillId="4" borderId="0" xfId="0" applyNumberFormat="1" applyFont="1" applyFill="1"/>
    <xf numFmtId="166" fontId="2" fillId="4" borderId="0" xfId="0" applyNumberFormat="1" applyFont="1" applyFill="1" applyAlignment="1">
      <alignment horizontal="center" wrapText="1"/>
    </xf>
    <xf numFmtId="0" fontId="2" fillId="0" borderId="23" xfId="0" applyFont="1" applyBorder="1" applyAlignment="1">
      <alignment horizontal="center"/>
    </xf>
    <xf numFmtId="0" fontId="0" fillId="0" borderId="6" xfId="0" applyBorder="1"/>
    <xf numFmtId="0" fontId="2" fillId="0" borderId="40" xfId="0" applyFont="1" applyBorder="1" applyAlignment="1">
      <alignment wrapText="1"/>
    </xf>
    <xf numFmtId="10" fontId="2" fillId="4" borderId="41" xfId="1" applyNumberFormat="1" applyFont="1" applyFill="1" applyBorder="1"/>
    <xf numFmtId="10" fontId="35" fillId="4" borderId="1" xfId="1" applyNumberFormat="1" applyFont="1" applyFill="1" applyBorder="1" applyAlignment="1">
      <alignment vertical="center" wrapText="1"/>
    </xf>
    <xf numFmtId="9" fontId="2" fillId="4" borderId="1" xfId="1" applyFont="1" applyFill="1" applyBorder="1" applyAlignment="1">
      <alignment vertical="center" wrapText="1"/>
    </xf>
    <xf numFmtId="3" fontId="0" fillId="2" borderId="1" xfId="0" applyNumberFormat="1" applyFill="1" applyBorder="1"/>
    <xf numFmtId="0" fontId="51" fillId="11" borderId="1" xfId="0" applyFont="1" applyFill="1" applyBorder="1" applyAlignment="1">
      <alignment horizontal="center" vertical="center" wrapText="1"/>
    </xf>
    <xf numFmtId="166" fontId="13" fillId="4" borderId="1" xfId="3" applyFont="1" applyFill="1" applyBorder="1" applyAlignment="1">
      <alignment wrapText="1"/>
    </xf>
    <xf numFmtId="166" fontId="13" fillId="5" borderId="0" xfId="0" applyNumberFormat="1" applyFont="1" applyFill="1" applyAlignment="1">
      <alignment horizontal="center" wrapText="1"/>
    </xf>
    <xf numFmtId="0" fontId="21" fillId="0" borderId="0" xfId="4"/>
    <xf numFmtId="0" fontId="18" fillId="0" borderId="0" xfId="4" applyFont="1"/>
    <xf numFmtId="167" fontId="2" fillId="0" borderId="0" xfId="3" applyNumberFormat="1" applyFont="1" applyFill="1"/>
    <xf numFmtId="166" fontId="2" fillId="4" borderId="3" xfId="3" applyFont="1" applyFill="1" applyBorder="1" applyAlignment="1">
      <alignment horizontal="right"/>
    </xf>
    <xf numFmtId="166" fontId="0" fillId="2" borderId="1" xfId="0" applyNumberFormat="1" applyFill="1" applyBorder="1"/>
    <xf numFmtId="167" fontId="2" fillId="5" borderId="0" xfId="3" applyNumberFormat="1" applyFont="1" applyFill="1"/>
    <xf numFmtId="172" fontId="0" fillId="4" borderId="0" xfId="1" applyNumberFormat="1" applyFont="1" applyFill="1"/>
    <xf numFmtId="2" fontId="2" fillId="4" borderId="1" xfId="0" applyNumberFormat="1" applyFont="1" applyFill="1" applyBorder="1"/>
    <xf numFmtId="2" fontId="0" fillId="2" borderId="1" xfId="0" applyNumberFormat="1" applyFill="1" applyBorder="1"/>
    <xf numFmtId="2" fontId="3" fillId="0" borderId="0" xfId="0" applyNumberFormat="1" applyFont="1"/>
    <xf numFmtId="9" fontId="0" fillId="4" borderId="1" xfId="0" applyNumberFormat="1" applyFill="1" applyBorder="1"/>
    <xf numFmtId="174" fontId="2" fillId="4" borderId="17" xfId="1" applyNumberFormat="1" applyFont="1" applyFill="1" applyBorder="1"/>
    <xf numFmtId="173" fontId="2" fillId="4" borderId="17" xfId="1" applyNumberFormat="1" applyFont="1" applyFill="1" applyBorder="1"/>
    <xf numFmtId="177" fontId="2" fillId="4" borderId="17" xfId="1" applyNumberFormat="1" applyFont="1" applyFill="1" applyBorder="1"/>
    <xf numFmtId="177" fontId="2" fillId="4" borderId="15" xfId="1" applyNumberFormat="1" applyFont="1" applyFill="1" applyBorder="1"/>
    <xf numFmtId="2" fontId="2" fillId="0" borderId="0" xfId="0" applyNumberFormat="1" applyFont="1"/>
    <xf numFmtId="1" fontId="2" fillId="0" borderId="0" xfId="0" applyNumberFormat="1" applyFont="1" applyAlignment="1">
      <alignment horizontal="right"/>
    </xf>
    <xf numFmtId="1" fontId="0" fillId="0" borderId="0" xfId="0" applyNumberFormat="1"/>
    <xf numFmtId="10" fontId="2" fillId="4" borderId="46" xfId="1" applyNumberFormat="1" applyFont="1" applyFill="1" applyBorder="1"/>
    <xf numFmtId="0" fontId="0" fillId="0" borderId="15" xfId="0" applyBorder="1"/>
    <xf numFmtId="0" fontId="2" fillId="0" borderId="35" xfId="0" applyFont="1" applyBorder="1" applyAlignment="1">
      <alignment wrapText="1"/>
    </xf>
    <xf numFmtId="1" fontId="2" fillId="4" borderId="39" xfId="1" applyNumberFormat="1" applyFont="1" applyFill="1" applyBorder="1"/>
    <xf numFmtId="10" fontId="2" fillId="4" borderId="47" xfId="1" applyNumberFormat="1" applyFont="1" applyFill="1" applyBorder="1"/>
    <xf numFmtId="0" fontId="0" fillId="4" borderId="39" xfId="0" applyFill="1" applyBorder="1"/>
    <xf numFmtId="0" fontId="0" fillId="0" borderId="36" xfId="0" applyBorder="1"/>
    <xf numFmtId="0" fontId="2" fillId="0" borderId="48" xfId="0" applyFont="1" applyBorder="1" applyAlignment="1">
      <alignment horizontal="left" wrapText="1"/>
    </xf>
    <xf numFmtId="9" fontId="2" fillId="4" borderId="6" xfId="1" applyFont="1" applyFill="1" applyBorder="1"/>
    <xf numFmtId="175" fontId="3" fillId="4" borderId="0" xfId="0" applyNumberFormat="1" applyFont="1" applyFill="1"/>
    <xf numFmtId="166" fontId="2" fillId="2" borderId="0" xfId="0" applyNumberFormat="1" applyFont="1" applyFill="1"/>
    <xf numFmtId="167" fontId="2" fillId="4" borderId="49" xfId="0" applyNumberFormat="1" applyFont="1" applyFill="1" applyBorder="1"/>
    <xf numFmtId="2" fontId="0" fillId="0" borderId="0" xfId="1" applyNumberFormat="1" applyFont="1"/>
    <xf numFmtId="10" fontId="11" fillId="0" borderId="0" xfId="1" applyNumberFormat="1" applyFont="1"/>
    <xf numFmtId="170" fontId="0" fillId="0" borderId="0" xfId="3" applyNumberFormat="1" applyFont="1"/>
    <xf numFmtId="166" fontId="0" fillId="0" borderId="0" xfId="3" applyFont="1"/>
    <xf numFmtId="172" fontId="2" fillId="5" borderId="0" xfId="0" applyNumberFormat="1" applyFont="1" applyFill="1" applyAlignment="1">
      <alignment horizontal="center"/>
    </xf>
    <xf numFmtId="0" fontId="2" fillId="5" borderId="0" xfId="0" applyFont="1" applyFill="1" applyAlignment="1">
      <alignment horizontal="center"/>
    </xf>
    <xf numFmtId="167" fontId="0" fillId="2" borderId="0" xfId="0" applyNumberFormat="1" applyFill="1"/>
    <xf numFmtId="167" fontId="0" fillId="2" borderId="0" xfId="3" applyNumberFormat="1" applyFont="1" applyFill="1"/>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3" fontId="17" fillId="2" borderId="0" xfId="0" applyNumberFormat="1" applyFont="1" applyFill="1" applyAlignment="1">
      <alignment vertical="center"/>
    </xf>
    <xf numFmtId="167" fontId="0" fillId="4" borderId="0" xfId="3" applyNumberFormat="1" applyFont="1" applyFill="1" applyBorder="1"/>
    <xf numFmtId="167" fontId="2" fillId="4" borderId="0" xfId="3" applyNumberFormat="1" applyFont="1" applyFill="1" applyBorder="1"/>
    <xf numFmtId="0" fontId="18" fillId="0" borderId="1" xfId="0" applyFont="1" applyBorder="1" applyAlignment="1">
      <alignment horizontal="center" vertical="center" wrapText="1"/>
    </xf>
    <xf numFmtId="0" fontId="18" fillId="0" borderId="1" xfId="0" applyFont="1" applyBorder="1"/>
    <xf numFmtId="0" fontId="2" fillId="0" borderId="1" xfId="0" applyFont="1" applyBorder="1" applyAlignment="1">
      <alignment vertical="center"/>
    </xf>
    <xf numFmtId="176" fontId="2" fillId="4" borderId="1" xfId="0" applyNumberFormat="1" applyFont="1" applyFill="1" applyBorder="1" applyAlignment="1">
      <alignment horizontal="center"/>
    </xf>
    <xf numFmtId="1" fontId="2" fillId="4" borderId="1" xfId="0" applyNumberFormat="1" applyFont="1" applyFill="1" applyBorder="1" applyAlignment="1">
      <alignment horizontal="center"/>
    </xf>
    <xf numFmtId="0" fontId="2" fillId="4" borderId="1" xfId="0" applyFont="1" applyFill="1" applyBorder="1" applyAlignment="1">
      <alignment horizontal="center"/>
    </xf>
    <xf numFmtId="176" fontId="0" fillId="4" borderId="1" xfId="0" applyNumberFormat="1" applyFill="1" applyBorder="1" applyAlignment="1">
      <alignment horizontal="center"/>
    </xf>
    <xf numFmtId="1" fontId="0" fillId="2" borderId="1" xfId="0" applyNumberFormat="1" applyFill="1" applyBorder="1" applyAlignment="1">
      <alignment horizontal="center"/>
    </xf>
    <xf numFmtId="166" fontId="2" fillId="4" borderId="1" xfId="3" applyFont="1" applyFill="1" applyBorder="1" applyAlignment="1">
      <alignment horizontal="center"/>
    </xf>
    <xf numFmtId="1" fontId="2" fillId="4" borderId="1" xfId="0" applyNumberFormat="1" applyFont="1" applyFill="1" applyBorder="1" applyAlignment="1">
      <alignment horizontal="right"/>
    </xf>
    <xf numFmtId="167" fontId="2" fillId="0" borderId="0" xfId="0" applyNumberFormat="1" applyFont="1" applyAlignment="1">
      <alignment wrapText="1"/>
    </xf>
    <xf numFmtId="0" fontId="18" fillId="12" borderId="3" xfId="0" applyFont="1" applyFill="1" applyBorder="1" applyAlignment="1">
      <alignment vertical="center" wrapText="1"/>
    </xf>
    <xf numFmtId="0" fontId="2" fillId="0" borderId="1" xfId="0" applyFont="1" applyBorder="1" applyAlignment="1">
      <alignment horizontal="center" vertical="center"/>
    </xf>
    <xf numFmtId="0" fontId="55" fillId="0" borderId="1" xfId="0" applyFont="1" applyBorder="1" applyAlignment="1">
      <alignment horizontal="center"/>
    </xf>
    <xf numFmtId="0" fontId="55" fillId="12" borderId="1" xfId="0" applyFont="1" applyFill="1" applyBorder="1" applyAlignment="1">
      <alignment horizontal="center"/>
    </xf>
    <xf numFmtId="1" fontId="2" fillId="2" borderId="1" xfId="0" applyNumberFormat="1" applyFont="1" applyFill="1" applyBorder="1" applyAlignment="1">
      <alignment horizontal="center"/>
    </xf>
    <xf numFmtId="2" fontId="0" fillId="0" borderId="1" xfId="0" applyNumberFormat="1" applyBorder="1"/>
    <xf numFmtId="3" fontId="0" fillId="0" borderId="0" xfId="0" applyNumberFormat="1"/>
    <xf numFmtId="0" fontId="55" fillId="2" borderId="0" xfId="0" applyFont="1" applyFill="1"/>
    <xf numFmtId="0" fontId="56" fillId="0" borderId="0" xfId="0" applyFont="1"/>
    <xf numFmtId="0" fontId="2" fillId="0" borderId="1" xfId="0" applyFont="1" applyBorder="1" applyAlignment="1">
      <alignment vertical="center" wrapText="1"/>
    </xf>
    <xf numFmtId="167" fontId="0" fillId="4" borderId="1" xfId="3" applyNumberFormat="1" applyFont="1" applyFill="1" applyBorder="1" applyAlignment="1"/>
    <xf numFmtId="167" fontId="2" fillId="4" borderId="1" xfId="3" applyNumberFormat="1" applyFont="1" applyFill="1" applyBorder="1" applyAlignment="1"/>
    <xf numFmtId="0" fontId="0" fillId="0" borderId="0" xfId="0" applyAlignment="1">
      <alignment horizontal="right"/>
    </xf>
    <xf numFmtId="9" fontId="0" fillId="0" borderId="0" xfId="1" applyFont="1" applyFill="1" applyBorder="1"/>
    <xf numFmtId="0" fontId="18" fillId="0" borderId="3" xfId="0" applyFont="1" applyBorder="1" applyAlignment="1">
      <alignment horizontal="center" vertical="center" wrapText="1"/>
    </xf>
    <xf numFmtId="0" fontId="18" fillId="0" borderId="5" xfId="0" applyFont="1" applyBorder="1" applyAlignment="1">
      <alignment horizontal="center" vertical="center" wrapText="1"/>
    </xf>
    <xf numFmtId="9" fontId="0" fillId="2" borderId="1" xfId="1" applyFont="1" applyFill="1" applyBorder="1"/>
    <xf numFmtId="9" fontId="0" fillId="2" borderId="6" xfId="1" applyFont="1" applyFill="1" applyBorder="1"/>
    <xf numFmtId="0" fontId="2" fillId="0" borderId="0" xfId="0" applyFont="1" applyAlignment="1">
      <alignment horizontal="right" indent="1"/>
    </xf>
    <xf numFmtId="2" fontId="2" fillId="4" borderId="7" xfId="0" applyNumberFormat="1" applyFont="1" applyFill="1" applyBorder="1"/>
    <xf numFmtId="166" fontId="0" fillId="4" borderId="0" xfId="3" applyFont="1" applyFill="1" applyBorder="1"/>
    <xf numFmtId="171" fontId="2" fillId="5" borderId="0" xfId="0" applyNumberFormat="1" applyFont="1" applyFill="1"/>
    <xf numFmtId="0" fontId="18" fillId="0" borderId="5" xfId="0" applyFont="1" applyBorder="1" applyAlignment="1">
      <alignment vertical="center" wrapText="1"/>
    </xf>
    <xf numFmtId="166" fontId="0" fillId="0" borderId="1" xfId="3" applyFont="1" applyBorder="1" applyAlignment="1">
      <alignment horizontal="center"/>
    </xf>
    <xf numFmtId="10" fontId="2" fillId="4" borderId="6" xfId="1" applyNumberFormat="1" applyFont="1" applyFill="1" applyBorder="1"/>
    <xf numFmtId="0" fontId="11" fillId="0" borderId="0" xfId="0" applyFont="1" applyAlignment="1">
      <alignment horizontal="left" wrapText="1"/>
    </xf>
    <xf numFmtId="0" fontId="2" fillId="6" borderId="0" xfId="0" applyFont="1" applyFill="1" applyAlignment="1">
      <alignment horizontal="right"/>
    </xf>
    <xf numFmtId="0" fontId="54" fillId="0" borderId="0" xfId="0" applyFont="1"/>
    <xf numFmtId="0" fontId="61" fillId="0" borderId="0" xfId="0" applyFont="1" applyAlignment="1">
      <alignment horizontal="left" indent="1"/>
    </xf>
    <xf numFmtId="0" fontId="62" fillId="0" borderId="0" xfId="0" applyFont="1" applyAlignment="1">
      <alignment horizontal="left" indent="1"/>
    </xf>
    <xf numFmtId="0" fontId="62" fillId="0" borderId="0" xfId="0" applyFont="1"/>
    <xf numFmtId="9" fontId="2" fillId="4" borderId="0" xfId="1" applyFont="1" applyFill="1" applyAlignment="1">
      <alignment horizontal="center" wrapText="1"/>
    </xf>
    <xf numFmtId="0" fontId="0" fillId="0" borderId="1" xfId="0" applyBorder="1" applyAlignment="1">
      <alignment horizontal="center" wrapText="1"/>
    </xf>
    <xf numFmtId="10" fontId="2" fillId="4" borderId="8" xfId="1" applyNumberFormat="1" applyFont="1" applyFill="1" applyBorder="1"/>
    <xf numFmtId="0" fontId="21" fillId="0" borderId="1" xfId="4" applyBorder="1"/>
    <xf numFmtId="0" fontId="0" fillId="0" borderId="1" xfId="0" applyBorder="1" applyAlignment="1">
      <alignment horizontal="left" wrapText="1"/>
    </xf>
    <xf numFmtId="0" fontId="2" fillId="0" borderId="6" xfId="0" applyFont="1" applyBorder="1" applyAlignment="1">
      <alignment horizontal="center" wrapText="1"/>
    </xf>
    <xf numFmtId="166" fontId="2" fillId="4" borderId="6" xfId="3" applyFont="1" applyFill="1" applyBorder="1"/>
    <xf numFmtId="167" fontId="2" fillId="4" borderId="6" xfId="3" applyNumberFormat="1" applyFont="1" applyFill="1" applyBorder="1"/>
    <xf numFmtId="0" fontId="0" fillId="0" borderId="3" xfId="0" applyBorder="1"/>
    <xf numFmtId="10" fontId="2" fillId="0" borderId="49" xfId="1" applyNumberFormat="1" applyFont="1" applyFill="1" applyBorder="1"/>
    <xf numFmtId="166" fontId="35" fillId="4" borderId="1" xfId="0" applyNumberFormat="1" applyFont="1" applyFill="1" applyBorder="1" applyAlignment="1">
      <alignment vertical="center" wrapText="1"/>
    </xf>
    <xf numFmtId="0" fontId="0" fillId="10" borderId="0" xfId="0" applyFill="1"/>
    <xf numFmtId="10" fontId="2" fillId="0" borderId="0" xfId="0" applyNumberFormat="1" applyFont="1"/>
    <xf numFmtId="0" fontId="0" fillId="0" borderId="28" xfId="0" applyBorder="1"/>
    <xf numFmtId="0" fontId="2" fillId="0" borderId="52" xfId="0" applyFont="1" applyBorder="1" applyAlignment="1">
      <alignment horizontal="center" wrapText="1"/>
    </xf>
    <xf numFmtId="0" fontId="2" fillId="0" borderId="53" xfId="0" applyFont="1" applyBorder="1" applyAlignment="1">
      <alignment horizontal="center" wrapText="1"/>
    </xf>
    <xf numFmtId="0" fontId="18" fillId="0" borderId="1" xfId="4" applyFont="1" applyBorder="1" applyAlignment="1">
      <alignment horizontal="center"/>
    </xf>
    <xf numFmtId="2" fontId="21" fillId="4" borderId="1" xfId="4" applyNumberFormat="1" applyFill="1" applyBorder="1"/>
    <xf numFmtId="0" fontId="2" fillId="0" borderId="0" xfId="4" applyFont="1" applyAlignment="1">
      <alignment vertical="center"/>
    </xf>
    <xf numFmtId="0" fontId="2" fillId="0" borderId="0" xfId="4" applyFont="1"/>
    <xf numFmtId="0" fontId="21" fillId="2" borderId="0" xfId="4" applyFill="1"/>
    <xf numFmtId="0" fontId="2" fillId="0" borderId="17" xfId="0" applyFont="1" applyBorder="1"/>
    <xf numFmtId="0" fontId="2" fillId="4" borderId="17" xfId="0" applyFont="1" applyFill="1" applyBorder="1"/>
    <xf numFmtId="0" fontId="2" fillId="4" borderId="18" xfId="0" applyFont="1" applyFill="1" applyBorder="1"/>
    <xf numFmtId="167" fontId="0" fillId="2" borderId="8" xfId="0" applyNumberFormat="1" applyFill="1" applyBorder="1"/>
    <xf numFmtId="0" fontId="2" fillId="2" borderId="0" xfId="0" applyFont="1" applyFill="1" applyAlignment="1">
      <alignment horizontal="center" wrapText="1"/>
    </xf>
    <xf numFmtId="9" fontId="2" fillId="4" borderId="38" xfId="0" applyNumberFormat="1" applyFont="1" applyFill="1" applyBorder="1"/>
    <xf numFmtId="10" fontId="0" fillId="4" borderId="1" xfId="1" applyNumberFormat="1" applyFont="1" applyFill="1" applyBorder="1"/>
    <xf numFmtId="167" fontId="13" fillId="4" borderId="1" xfId="3" applyNumberFormat="1" applyFont="1" applyFill="1" applyBorder="1" applyAlignment="1">
      <alignment wrapText="1"/>
    </xf>
    <xf numFmtId="0" fontId="2" fillId="0" borderId="7" xfId="4" applyFont="1" applyBorder="1" applyAlignment="1">
      <alignment vertical="center" wrapText="1"/>
    </xf>
    <xf numFmtId="0" fontId="2" fillId="0" borderId="0" xfId="4" applyFont="1" applyAlignment="1">
      <alignment horizontal="center"/>
    </xf>
    <xf numFmtId="0" fontId="2" fillId="0" borderId="0" xfId="4" applyFont="1" applyAlignment="1">
      <alignment horizontal="center" vertical="center" wrapText="1"/>
    </xf>
    <xf numFmtId="166" fontId="21" fillId="4" borderId="1" xfId="4" applyNumberFormat="1" applyFill="1" applyBorder="1"/>
    <xf numFmtId="0" fontId="0" fillId="0" borderId="0" xfId="0" applyAlignment="1">
      <alignment vertical="center" wrapText="1"/>
    </xf>
    <xf numFmtId="10" fontId="4" fillId="2" borderId="35" xfId="1" applyNumberFormat="1" applyFont="1" applyFill="1" applyBorder="1" applyAlignment="1">
      <alignment horizontal="center"/>
    </xf>
    <xf numFmtId="10" fontId="4" fillId="2" borderId="14" xfId="1" applyNumberFormat="1" applyFont="1" applyFill="1" applyBorder="1" applyAlignment="1">
      <alignment horizontal="center"/>
    </xf>
    <xf numFmtId="9" fontId="3" fillId="0" borderId="0" xfId="1" applyFont="1"/>
    <xf numFmtId="9" fontId="0" fillId="3" borderId="0" xfId="1" applyFont="1" applyFill="1"/>
    <xf numFmtId="10" fontId="2" fillId="6" borderId="0" xfId="1" applyNumberFormat="1" applyFont="1" applyFill="1"/>
    <xf numFmtId="10" fontId="64" fillId="6" borderId="0" xfId="2" applyNumberFormat="1" applyFont="1" applyFill="1"/>
    <xf numFmtId="2" fontId="0" fillId="0" borderId="0" xfId="0" applyNumberFormat="1" applyAlignment="1">
      <alignment wrapText="1"/>
    </xf>
    <xf numFmtId="0" fontId="65" fillId="0" borderId="57" xfId="0" applyFont="1" applyBorder="1" applyAlignment="1">
      <alignment horizontal="center" vertical="center"/>
    </xf>
    <xf numFmtId="0" fontId="65" fillId="0" borderId="58" xfId="0" applyFont="1" applyBorder="1" applyAlignment="1">
      <alignment horizontal="center" vertical="center" wrapText="1"/>
    </xf>
    <xf numFmtId="0" fontId="65" fillId="0" borderId="57" xfId="0" applyFont="1" applyBorder="1" applyAlignment="1">
      <alignment horizontal="center" vertical="center" wrapText="1"/>
    </xf>
    <xf numFmtId="0" fontId="66" fillId="0" borderId="60" xfId="0" applyFont="1" applyBorder="1" applyAlignment="1">
      <alignment vertical="center"/>
    </xf>
    <xf numFmtId="0" fontId="68" fillId="0" borderId="0" xfId="4" applyFont="1"/>
    <xf numFmtId="170" fontId="2" fillId="0" borderId="0" xfId="3" applyNumberFormat="1" applyFont="1" applyFill="1" applyBorder="1"/>
    <xf numFmtId="2" fontId="2" fillId="0" borderId="0" xfId="1" applyNumberFormat="1" applyFont="1" applyFill="1" applyBorder="1"/>
    <xf numFmtId="0" fontId="2" fillId="0" borderId="0" xfId="3" applyNumberFormat="1" applyFont="1" applyFill="1" applyBorder="1"/>
    <xf numFmtId="0" fontId="9" fillId="0" borderId="2" xfId="0" applyFont="1" applyBorder="1" applyAlignment="1">
      <alignment horizontal="center" vertical="center" wrapText="1"/>
    </xf>
    <xf numFmtId="9" fontId="9" fillId="0" borderId="2" xfId="0" applyNumberFormat="1" applyFont="1" applyBorder="1" applyAlignment="1">
      <alignment horizontal="right" vertical="center" wrapText="1" indent="1"/>
    </xf>
    <xf numFmtId="166" fontId="2" fillId="4" borderId="0" xfId="3" applyFont="1" applyFill="1" applyAlignment="1">
      <alignment horizontal="center"/>
    </xf>
    <xf numFmtId="178" fontId="2" fillId="4" borderId="0" xfId="0" applyNumberFormat="1" applyFont="1" applyFill="1"/>
    <xf numFmtId="0" fontId="2" fillId="0" borderId="6" xfId="0" applyFont="1" applyBorder="1"/>
    <xf numFmtId="0" fontId="0" fillId="0" borderId="0" xfId="0" applyAlignment="1">
      <alignment horizontal="left" wrapText="1"/>
    </xf>
    <xf numFmtId="0" fontId="8" fillId="0" borderId="0" xfId="2" applyFill="1" applyBorder="1"/>
    <xf numFmtId="0" fontId="9" fillId="0" borderId="0" xfId="0" applyFont="1" applyAlignment="1">
      <alignment horizontal="center" vertical="center" wrapText="1"/>
    </xf>
    <xf numFmtId="9" fontId="9" fillId="0" borderId="0" xfId="0" applyNumberFormat="1" applyFont="1" applyAlignment="1">
      <alignment horizontal="right" vertical="center" wrapText="1" indent="1"/>
    </xf>
    <xf numFmtId="2" fontId="0" fillId="0" borderId="0" xfId="1" applyNumberFormat="1" applyFont="1" applyFill="1" applyBorder="1"/>
    <xf numFmtId="0" fontId="0" fillId="3" borderId="0" xfId="0" applyFill="1" applyAlignment="1">
      <alignment horizontal="center" wrapText="1"/>
    </xf>
    <xf numFmtId="167" fontId="17" fillId="4" borderId="1" xfId="0" applyNumberFormat="1" applyFont="1" applyFill="1" applyBorder="1" applyAlignment="1">
      <alignment vertical="center" wrapText="1"/>
    </xf>
    <xf numFmtId="166" fontId="2" fillId="4" borderId="8" xfId="3" applyFont="1" applyFill="1" applyBorder="1"/>
    <xf numFmtId="0" fontId="0" fillId="0" borderId="49" xfId="0" applyBorder="1"/>
    <xf numFmtId="0" fontId="2" fillId="0" borderId="6" xfId="4" applyFont="1" applyBorder="1" applyAlignment="1">
      <alignment vertical="center" wrapText="1"/>
    </xf>
    <xf numFmtId="0" fontId="2" fillId="0" borderId="8" xfId="4" applyFont="1" applyBorder="1" applyAlignment="1">
      <alignment vertical="center" wrapText="1"/>
    </xf>
    <xf numFmtId="166" fontId="13" fillId="5" borderId="0" xfId="3" applyFont="1" applyFill="1" applyAlignment="1">
      <alignment wrapText="1"/>
    </xf>
    <xf numFmtId="0" fontId="40" fillId="0" borderId="0" xfId="0" applyFont="1"/>
    <xf numFmtId="0" fontId="25" fillId="0" borderId="0" xfId="0" applyFont="1"/>
    <xf numFmtId="0" fontId="1" fillId="0" borderId="0" xfId="0" applyFont="1"/>
    <xf numFmtId="0" fontId="69" fillId="0" borderId="0" xfId="0" applyFont="1"/>
    <xf numFmtId="0" fontId="63" fillId="0" borderId="0" xfId="0" applyFont="1" applyAlignment="1">
      <alignment vertical="center" wrapText="1"/>
    </xf>
    <xf numFmtId="0" fontId="70" fillId="0" borderId="0" xfId="0" applyFont="1"/>
    <xf numFmtId="9" fontId="0" fillId="2" borderId="0" xfId="0" applyNumberFormat="1" applyFill="1"/>
    <xf numFmtId="9" fontId="2" fillId="2" borderId="0" xfId="0" applyNumberFormat="1" applyFont="1" applyFill="1"/>
    <xf numFmtId="9" fontId="2" fillId="4" borderId="0" xfId="0" applyNumberFormat="1" applyFont="1" applyFill="1"/>
    <xf numFmtId="0" fontId="2" fillId="0" borderId="24" xfId="0" applyFont="1" applyBorder="1"/>
    <xf numFmtId="0" fontId="2" fillId="0" borderId="21" xfId="0" applyFont="1" applyBorder="1"/>
    <xf numFmtId="0" fontId="2" fillId="0" borderId="25" xfId="0" applyFont="1" applyBorder="1"/>
    <xf numFmtId="167" fontId="0" fillId="4" borderId="8" xfId="0" applyNumberFormat="1" applyFill="1" applyBorder="1"/>
    <xf numFmtId="167" fontId="2" fillId="4" borderId="8" xfId="0" applyNumberFormat="1" applyFont="1" applyFill="1" applyBorder="1"/>
    <xf numFmtId="10" fontId="2" fillId="4" borderId="27" xfId="1" applyNumberFormat="1" applyFont="1" applyFill="1" applyBorder="1"/>
    <xf numFmtId="167" fontId="2" fillId="4" borderId="45" xfId="0" applyNumberFormat="1" applyFont="1" applyFill="1" applyBorder="1"/>
    <xf numFmtId="166" fontId="0" fillId="4" borderId="15" xfId="0" applyNumberFormat="1" applyFill="1" applyBorder="1" applyAlignment="1">
      <alignment horizontal="center"/>
    </xf>
    <xf numFmtId="166" fontId="2" fillId="4" borderId="6" xfId="0" applyNumberFormat="1" applyFont="1" applyFill="1" applyBorder="1"/>
    <xf numFmtId="0" fontId="2" fillId="0" borderId="48" xfId="0" applyFont="1" applyBorder="1"/>
    <xf numFmtId="0" fontId="2" fillId="7" borderId="1" xfId="0" applyFont="1" applyFill="1" applyBorder="1" applyAlignment="1">
      <alignment wrapText="1"/>
    </xf>
    <xf numFmtId="166" fontId="3" fillId="0" borderId="0" xfId="0" applyNumberFormat="1" applyFont="1"/>
    <xf numFmtId="0" fontId="2" fillId="0" borderId="7" xfId="0" applyFont="1" applyBorder="1" applyAlignment="1">
      <alignment horizontal="center" wrapText="1"/>
    </xf>
    <xf numFmtId="0" fontId="59" fillId="0" borderId="0" xfId="0" applyFont="1" applyAlignment="1">
      <alignment horizontal="left" wrapText="1"/>
    </xf>
    <xf numFmtId="0" fontId="2" fillId="0" borderId="8" xfId="0" applyFont="1" applyBorder="1" applyAlignment="1">
      <alignment horizontal="center" wrapText="1"/>
    </xf>
    <xf numFmtId="0" fontId="4" fillId="12" borderId="0" xfId="0" applyFont="1" applyFill="1"/>
    <xf numFmtId="3" fontId="71" fillId="12" borderId="0" xfId="2" applyNumberFormat="1" applyFont="1" applyFill="1"/>
    <xf numFmtId="0" fontId="4" fillId="12" borderId="0" xfId="0" applyFont="1" applyFill="1" applyAlignment="1">
      <alignment horizontal="left"/>
    </xf>
    <xf numFmtId="166" fontId="4" fillId="12" borderId="0" xfId="3" applyFont="1" applyFill="1"/>
    <xf numFmtId="2" fontId="2" fillId="6" borderId="0" xfId="1" applyNumberFormat="1" applyFont="1" applyFill="1"/>
    <xf numFmtId="168" fontId="26" fillId="2" borderId="64" xfId="0" applyNumberFormat="1" applyFont="1" applyFill="1" applyBorder="1" applyAlignment="1">
      <alignment horizontal="center"/>
    </xf>
    <xf numFmtId="9" fontId="26" fillId="2" borderId="64" xfId="0" applyNumberFormat="1" applyFont="1" applyFill="1" applyBorder="1" applyAlignment="1">
      <alignment horizontal="center"/>
    </xf>
    <xf numFmtId="168" fontId="0" fillId="2" borderId="1" xfId="1" applyNumberFormat="1" applyFont="1" applyFill="1" applyBorder="1"/>
    <xf numFmtId="9" fontId="0" fillId="2" borderId="8" xfId="1" applyFont="1" applyFill="1" applyBorder="1"/>
    <xf numFmtId="168" fontId="0" fillId="2" borderId="8" xfId="0" applyNumberFormat="1" applyFill="1" applyBorder="1"/>
    <xf numFmtId="9" fontId="2" fillId="0" borderId="6" xfId="1" applyFont="1" applyFill="1" applyBorder="1"/>
    <xf numFmtId="2" fontId="2" fillId="4" borderId="1" xfId="3" applyNumberFormat="1" applyFont="1" applyFill="1" applyBorder="1"/>
    <xf numFmtId="3" fontId="17" fillId="4" borderId="0" xfId="0" applyNumberFormat="1" applyFont="1" applyFill="1" applyAlignment="1">
      <alignment vertical="center"/>
    </xf>
    <xf numFmtId="10" fontId="0" fillId="5" borderId="18" xfId="1" applyNumberFormat="1" applyFont="1" applyFill="1" applyBorder="1"/>
    <xf numFmtId="167" fontId="2" fillId="5" borderId="27" xfId="1" applyNumberFormat="1" applyFont="1" applyFill="1" applyBorder="1"/>
    <xf numFmtId="0" fontId="0" fillId="13" borderId="1" xfId="0" applyFill="1" applyBorder="1"/>
    <xf numFmtId="0" fontId="0" fillId="13" borderId="0" xfId="0" applyFill="1"/>
    <xf numFmtId="0" fontId="0" fillId="14" borderId="1" xfId="0" applyFill="1" applyBorder="1"/>
    <xf numFmtId="0" fontId="0" fillId="14" borderId="0" xfId="0" applyFill="1"/>
    <xf numFmtId="0" fontId="0" fillId="14" borderId="1" xfId="0" applyFill="1" applyBorder="1" applyAlignment="1">
      <alignment wrapText="1"/>
    </xf>
    <xf numFmtId="0" fontId="0" fillId="15" borderId="1" xfId="0" applyFill="1" applyBorder="1"/>
    <xf numFmtId="0" fontId="0" fillId="15" borderId="0" xfId="0" applyFill="1"/>
    <xf numFmtId="0" fontId="26" fillId="0" borderId="64" xfId="0" applyFont="1" applyBorder="1"/>
    <xf numFmtId="0" fontId="40" fillId="0" borderId="64" xfId="0" applyFont="1" applyBorder="1"/>
    <xf numFmtId="179" fontId="26" fillId="16" borderId="64" xfId="0" applyNumberFormat="1" applyFont="1" applyFill="1" applyBorder="1"/>
    <xf numFmtId="179" fontId="26" fillId="2" borderId="64" xfId="0" applyNumberFormat="1" applyFont="1" applyFill="1" applyBorder="1"/>
    <xf numFmtId="2" fontId="26" fillId="16" borderId="64" xfId="0" applyNumberFormat="1" applyFont="1" applyFill="1" applyBorder="1"/>
    <xf numFmtId="10" fontId="26" fillId="16" borderId="64" xfId="0" applyNumberFormat="1" applyFont="1" applyFill="1" applyBorder="1"/>
    <xf numFmtId="10" fontId="26" fillId="2" borderId="64" xfId="0" applyNumberFormat="1" applyFont="1" applyFill="1" applyBorder="1"/>
    <xf numFmtId="10" fontId="26" fillId="16" borderId="64" xfId="1" applyNumberFormat="1" applyFont="1" applyFill="1" applyBorder="1"/>
    <xf numFmtId="10" fontId="40" fillId="17" borderId="64" xfId="1" applyNumberFormat="1" applyFont="1" applyFill="1" applyBorder="1"/>
    <xf numFmtId="9" fontId="26" fillId="16" borderId="64" xfId="0" applyNumberFormat="1" applyFont="1" applyFill="1" applyBorder="1"/>
    <xf numFmtId="9" fontId="26" fillId="2" borderId="64" xfId="0" applyNumberFormat="1" applyFont="1" applyFill="1" applyBorder="1"/>
    <xf numFmtId="9" fontId="40" fillId="18" borderId="64" xfId="0" applyNumberFormat="1" applyFont="1" applyFill="1" applyBorder="1"/>
    <xf numFmtId="179" fontId="40" fillId="17" borderId="64" xfId="0" applyNumberFormat="1" applyFont="1" applyFill="1" applyBorder="1"/>
    <xf numFmtId="0" fontId="40" fillId="0" borderId="0" xfId="0" applyFont="1" applyAlignment="1">
      <alignment horizontal="center" wrapText="1"/>
    </xf>
    <xf numFmtId="0" fontId="26" fillId="0" borderId="0" xfId="0" applyFont="1" applyAlignment="1">
      <alignment wrapText="1"/>
    </xf>
    <xf numFmtId="9" fontId="26" fillId="16" borderId="64" xfId="1" applyFont="1" applyFill="1" applyBorder="1"/>
    <xf numFmtId="179" fontId="26" fillId="19" borderId="64" xfId="0" applyNumberFormat="1" applyFont="1" applyFill="1" applyBorder="1"/>
    <xf numFmtId="179" fontId="26" fillId="4" borderId="64" xfId="0" applyNumberFormat="1" applyFont="1" applyFill="1" applyBorder="1"/>
    <xf numFmtId="166" fontId="40" fillId="17" borderId="64" xfId="3" applyFont="1" applyFill="1" applyBorder="1"/>
    <xf numFmtId="2" fontId="26" fillId="2" borderId="64" xfId="0" applyNumberFormat="1" applyFont="1" applyFill="1" applyBorder="1"/>
    <xf numFmtId="2" fontId="26" fillId="19" borderId="64" xfId="0" applyNumberFormat="1" applyFont="1" applyFill="1" applyBorder="1"/>
    <xf numFmtId="179" fontId="40" fillId="4" borderId="64" xfId="0" applyNumberFormat="1" applyFont="1" applyFill="1" applyBorder="1"/>
    <xf numFmtId="0" fontId="4" fillId="0" borderId="1" xfId="0" applyFont="1" applyBorder="1" applyAlignment="1">
      <alignment horizontal="center" wrapText="1"/>
    </xf>
    <xf numFmtId="167" fontId="2" fillId="5" borderId="49" xfId="3" applyNumberFormat="1" applyFont="1" applyFill="1" applyBorder="1"/>
    <xf numFmtId="4" fontId="2" fillId="2" borderId="0" xfId="0" applyNumberFormat="1" applyFont="1" applyFill="1"/>
    <xf numFmtId="0" fontId="73" fillId="0" borderId="0" xfId="0" applyFont="1" applyAlignment="1">
      <alignment vertical="center"/>
    </xf>
    <xf numFmtId="0" fontId="2" fillId="2" borderId="0" xfId="4" applyFont="1" applyFill="1"/>
    <xf numFmtId="0" fontId="74" fillId="0" borderId="0" xfId="0" applyFont="1" applyAlignment="1">
      <alignment vertical="center"/>
    </xf>
    <xf numFmtId="180" fontId="2" fillId="4" borderId="7" xfId="0" applyNumberFormat="1" applyFont="1" applyFill="1" applyBorder="1"/>
    <xf numFmtId="2" fontId="2" fillId="2" borderId="1" xfId="0" applyNumberFormat="1" applyFont="1" applyFill="1" applyBorder="1"/>
    <xf numFmtId="169" fontId="2" fillId="4" borderId="51" xfId="0" applyNumberFormat="1" applyFont="1" applyFill="1" applyBorder="1" applyAlignment="1">
      <alignment horizontal="right" vertical="center" wrapText="1"/>
    </xf>
    <xf numFmtId="0" fontId="75" fillId="2" borderId="0" xfId="0" applyFont="1" applyFill="1"/>
    <xf numFmtId="3" fontId="2" fillId="4" borderId="1" xfId="3" applyNumberFormat="1" applyFont="1" applyFill="1" applyBorder="1" applyAlignment="1">
      <alignment horizontal="right"/>
    </xf>
    <xf numFmtId="176" fontId="26" fillId="2" borderId="64" xfId="0" applyNumberFormat="1" applyFont="1" applyFill="1" applyBorder="1" applyAlignment="1">
      <alignment horizontal="center"/>
    </xf>
    <xf numFmtId="169" fontId="0" fillId="4" borderId="1" xfId="0" applyNumberFormat="1" applyFill="1" applyBorder="1" applyAlignment="1">
      <alignment horizontal="center"/>
    </xf>
    <xf numFmtId="169" fontId="2" fillId="4" borderId="1" xfId="0" applyNumberFormat="1" applyFont="1" applyFill="1" applyBorder="1" applyAlignment="1">
      <alignment horizontal="center"/>
    </xf>
    <xf numFmtId="10" fontId="2" fillId="4" borderId="1" xfId="1" applyNumberFormat="1" applyFont="1" applyFill="1" applyBorder="1" applyAlignment="1">
      <alignment horizontal="center"/>
    </xf>
    <xf numFmtId="2" fontId="2" fillId="2" borderId="1" xfId="0" applyNumberFormat="1" applyFont="1" applyFill="1" applyBorder="1" applyAlignment="1">
      <alignment horizontal="center"/>
    </xf>
    <xf numFmtId="2" fontId="37" fillId="4" borderId="1" xfId="0" applyNumberFormat="1" applyFont="1" applyFill="1" applyBorder="1" applyAlignment="1">
      <alignment horizontal="center"/>
    </xf>
    <xf numFmtId="2" fontId="0" fillId="0" borderId="6" xfId="0" applyNumberFormat="1" applyBorder="1"/>
    <xf numFmtId="0" fontId="77" fillId="3" borderId="0" xfId="0" applyFont="1" applyFill="1"/>
    <xf numFmtId="166" fontId="0" fillId="0" borderId="6" xfId="3" applyFont="1" applyFill="1" applyBorder="1" applyAlignment="1">
      <alignment horizontal="center"/>
    </xf>
    <xf numFmtId="175" fontId="0" fillId="12" borderId="0" xfId="3" applyNumberFormat="1" applyFont="1" applyFill="1"/>
    <xf numFmtId="166" fontId="2" fillId="4" borderId="1" xfId="0" applyNumberFormat="1" applyFont="1" applyFill="1" applyBorder="1"/>
    <xf numFmtId="166" fontId="76" fillId="2" borderId="1" xfId="3" applyFont="1" applyFill="1" applyBorder="1"/>
    <xf numFmtId="169" fontId="2" fillId="4" borderId="1" xfId="0" applyNumberFormat="1" applyFont="1" applyFill="1" applyBorder="1" applyAlignment="1">
      <alignment horizontal="right"/>
    </xf>
    <xf numFmtId="166" fontId="40" fillId="4" borderId="64" xfId="3" applyFont="1" applyFill="1" applyBorder="1" applyAlignment="1">
      <alignment horizontal="center"/>
    </xf>
    <xf numFmtId="166" fontId="76" fillId="2" borderId="0" xfId="3" applyFont="1" applyFill="1"/>
    <xf numFmtId="173" fontId="37" fillId="4" borderId="17" xfId="1" applyNumberFormat="1" applyFont="1" applyFill="1" applyBorder="1"/>
    <xf numFmtId="173" fontId="37" fillId="4" borderId="15" xfId="1" applyNumberFormat="1" applyFont="1" applyFill="1" applyBorder="1"/>
    <xf numFmtId="173" fontId="37" fillId="4" borderId="1" xfId="1" applyNumberFormat="1" applyFont="1" applyFill="1" applyBorder="1"/>
    <xf numFmtId="0" fontId="26" fillId="2" borderId="64" xfId="0" applyFont="1" applyFill="1" applyBorder="1" applyAlignment="1">
      <alignment horizontal="center"/>
    </xf>
    <xf numFmtId="174" fontId="2" fillId="4" borderId="1" xfId="1" applyNumberFormat="1" applyFont="1" applyFill="1" applyBorder="1"/>
    <xf numFmtId="174" fontId="2" fillId="4" borderId="0" xfId="1" applyNumberFormat="1" applyFont="1" applyFill="1"/>
    <xf numFmtId="2" fontId="21" fillId="0" borderId="0" xfId="4" applyNumberFormat="1"/>
    <xf numFmtId="167" fontId="0" fillId="0" borderId="0" xfId="3" applyNumberFormat="1" applyFont="1" applyAlignment="1">
      <alignment horizontal="right"/>
    </xf>
    <xf numFmtId="1" fontId="3" fillId="0" borderId="0" xfId="1" applyNumberFormat="1" applyFont="1" applyAlignment="1">
      <alignment horizontal="center"/>
    </xf>
    <xf numFmtId="10" fontId="3" fillId="0" borderId="0" xfId="1" applyNumberFormat="1" applyFont="1" applyAlignment="1">
      <alignment horizontal="center"/>
    </xf>
    <xf numFmtId="166" fontId="76" fillId="4" borderId="0" xfId="3" applyFont="1" applyFill="1"/>
    <xf numFmtId="166" fontId="3" fillId="4" borderId="0" xfId="3" applyFont="1" applyFill="1"/>
    <xf numFmtId="2" fontId="0" fillId="0" borderId="0" xfId="0" applyNumberFormat="1" applyAlignment="1">
      <alignment horizontal="center"/>
    </xf>
    <xf numFmtId="2" fontId="0" fillId="2" borderId="1" xfId="3" applyNumberFormat="1" applyFont="1" applyFill="1" applyBorder="1"/>
    <xf numFmtId="2" fontId="35" fillId="4" borderId="1" xfId="1" applyNumberFormat="1" applyFont="1" applyFill="1" applyBorder="1" applyAlignment="1">
      <alignment vertical="center" wrapText="1"/>
    </xf>
    <xf numFmtId="2" fontId="0" fillId="7" borderId="0" xfId="0" applyNumberFormat="1" applyFill="1"/>
    <xf numFmtId="181" fontId="0" fillId="4" borderId="0" xfId="3" applyNumberFormat="1" applyFont="1" applyFill="1"/>
    <xf numFmtId="181" fontId="2" fillId="4" borderId="0" xfId="3" applyNumberFormat="1" applyFont="1" applyFill="1"/>
    <xf numFmtId="181" fontId="2" fillId="4" borderId="0" xfId="0" applyNumberFormat="1" applyFont="1" applyFill="1"/>
    <xf numFmtId="174" fontId="2" fillId="4" borderId="0" xfId="0" applyNumberFormat="1" applyFont="1" applyFill="1"/>
    <xf numFmtId="174" fontId="2" fillId="4" borderId="15" xfId="1" applyNumberFormat="1" applyFont="1" applyFill="1" applyBorder="1"/>
    <xf numFmtId="9" fontId="0" fillId="4" borderId="8" xfId="1" applyFont="1" applyFill="1" applyBorder="1"/>
    <xf numFmtId="0" fontId="73" fillId="0" borderId="0" xfId="0" applyFont="1"/>
    <xf numFmtId="0" fontId="0" fillId="0" borderId="1" xfId="0" applyBorder="1" applyAlignment="1">
      <alignment horizontal="center"/>
    </xf>
    <xf numFmtId="167" fontId="2" fillId="3" borderId="0" xfId="0" applyNumberFormat="1" applyFont="1" applyFill="1"/>
    <xf numFmtId="166" fontId="2" fillId="0" borderId="0" xfId="3" applyFont="1" applyFill="1" applyBorder="1"/>
    <xf numFmtId="2" fontId="2" fillId="4" borderId="0" xfId="0" applyNumberFormat="1" applyFont="1" applyFill="1" applyAlignment="1">
      <alignment horizontal="center"/>
    </xf>
    <xf numFmtId="166" fontId="0" fillId="4" borderId="3" xfId="0" applyNumberFormat="1" applyFill="1" applyBorder="1" applyAlignment="1">
      <alignment horizontal="center"/>
    </xf>
    <xf numFmtId="174" fontId="2" fillId="4" borderId="18" xfId="1" applyNumberFormat="1" applyFont="1" applyFill="1" applyBorder="1"/>
    <xf numFmtId="166" fontId="2" fillId="5" borderId="0" xfId="1" applyNumberFormat="1" applyFont="1" applyFill="1"/>
    <xf numFmtId="0" fontId="26" fillId="0" borderId="1" xfId="0" applyFont="1" applyBorder="1"/>
    <xf numFmtId="10" fontId="2" fillId="0" borderId="1" xfId="1" applyNumberFormat="1" applyFont="1" applyBorder="1"/>
    <xf numFmtId="0" fontId="2" fillId="4" borderId="8" xfId="0" applyFont="1" applyFill="1" applyBorder="1" applyAlignment="1">
      <alignment horizontal="center" wrapText="1"/>
    </xf>
    <xf numFmtId="0" fontId="2" fillId="0" borderId="8" xfId="0" applyFont="1" applyBorder="1" applyAlignment="1">
      <alignment wrapText="1"/>
    </xf>
    <xf numFmtId="2" fontId="0" fillId="4" borderId="1" xfId="3" applyNumberFormat="1" applyFont="1" applyFill="1" applyBorder="1"/>
    <xf numFmtId="0" fontId="73" fillId="0" borderId="0" xfId="0" applyFont="1" applyAlignment="1">
      <alignment vertical="center" wrapText="1"/>
    </xf>
    <xf numFmtId="172" fontId="2" fillId="4" borderId="0" xfId="1" applyNumberFormat="1" applyFont="1" applyFill="1"/>
    <xf numFmtId="174" fontId="2" fillId="0" borderId="0" xfId="1" applyNumberFormat="1" applyFont="1"/>
    <xf numFmtId="166" fontId="2" fillId="4" borderId="49" xfId="3" applyFont="1" applyFill="1" applyBorder="1"/>
    <xf numFmtId="0" fontId="2" fillId="0" borderId="19" xfId="0" applyFont="1" applyBorder="1" applyAlignment="1">
      <alignment horizontal="center"/>
    </xf>
    <xf numFmtId="166" fontId="2" fillId="4" borderId="15" xfId="0" applyNumberFormat="1" applyFont="1" applyFill="1" applyBorder="1" applyAlignment="1">
      <alignment horizontal="center"/>
    </xf>
    <xf numFmtId="167" fontId="2" fillId="5" borderId="6" xfId="0" applyNumberFormat="1" applyFont="1" applyFill="1" applyBorder="1"/>
    <xf numFmtId="10" fontId="11" fillId="4" borderId="1" xfId="1" applyNumberFormat="1" applyFont="1" applyFill="1" applyBorder="1"/>
    <xf numFmtId="9" fontId="2" fillId="0" borderId="0" xfId="1" applyFont="1"/>
    <xf numFmtId="168" fontId="0" fillId="0" borderId="0" xfId="1" applyNumberFormat="1" applyFont="1"/>
    <xf numFmtId="10" fontId="3" fillId="0" borderId="0" xfId="1" applyNumberFormat="1" applyFont="1"/>
    <xf numFmtId="0" fontId="2" fillId="0" borderId="67" xfId="0" applyFont="1" applyBorder="1" applyAlignment="1">
      <alignment horizontal="center"/>
    </xf>
    <xf numFmtId="0" fontId="2" fillId="0" borderId="8" xfId="0" applyFont="1" applyBorder="1"/>
    <xf numFmtId="0" fontId="2" fillId="0" borderId="0" xfId="0" applyFont="1" applyAlignment="1">
      <alignment vertical="center"/>
    </xf>
    <xf numFmtId="168" fontId="2" fillId="0" borderId="0" xfId="1" applyNumberFormat="1" applyFont="1"/>
    <xf numFmtId="10" fontId="2" fillId="4" borderId="1" xfId="1" applyNumberFormat="1" applyFont="1" applyFill="1" applyBorder="1" applyAlignment="1">
      <alignment horizontal="right"/>
    </xf>
    <xf numFmtId="3" fontId="2" fillId="4" borderId="0" xfId="3" applyNumberFormat="1" applyFont="1" applyFill="1" applyBorder="1" applyAlignment="1">
      <alignment horizontal="right"/>
    </xf>
    <xf numFmtId="4" fontId="2" fillId="4" borderId="0" xfId="3" applyNumberFormat="1" applyFont="1" applyFill="1" applyBorder="1" applyAlignment="1">
      <alignment horizontal="right"/>
    </xf>
    <xf numFmtId="0" fontId="2" fillId="0" borderId="7" xfId="0" applyFont="1" applyBorder="1" applyAlignment="1">
      <alignment horizontal="center"/>
    </xf>
    <xf numFmtId="167" fontId="38" fillId="7" borderId="1" xfId="0" applyNumberFormat="1" applyFont="1" applyFill="1" applyBorder="1" applyAlignment="1">
      <alignment vertical="center" wrapText="1"/>
    </xf>
    <xf numFmtId="0" fontId="6" fillId="0" borderId="1" xfId="0" applyFont="1" applyBorder="1" applyAlignment="1">
      <alignment horizontal="center" wrapText="1"/>
    </xf>
    <xf numFmtId="0" fontId="26" fillId="0" borderId="0" xfId="0" applyFont="1"/>
    <xf numFmtId="166" fontId="26" fillId="4" borderId="64" xfId="3" applyFont="1" applyFill="1" applyBorder="1"/>
    <xf numFmtId="166" fontId="40" fillId="4" borderId="64" xfId="3" applyFont="1" applyFill="1" applyBorder="1"/>
    <xf numFmtId="166" fontId="2" fillId="0" borderId="43" xfId="1" applyNumberFormat="1" applyFont="1" applyBorder="1" applyAlignment="1"/>
    <xf numFmtId="10" fontId="2" fillId="0" borderId="43" xfId="1" applyNumberFormat="1" applyFont="1" applyBorder="1" applyAlignment="1"/>
    <xf numFmtId="9" fontId="2" fillId="4" borderId="66" xfId="1" applyFont="1" applyFill="1" applyBorder="1"/>
    <xf numFmtId="10" fontId="2" fillId="4" borderId="38" xfId="0" applyNumberFormat="1" applyFont="1" applyFill="1" applyBorder="1"/>
    <xf numFmtId="166" fontId="2" fillId="0" borderId="0" xfId="3" applyFont="1" applyBorder="1"/>
    <xf numFmtId="9" fontId="2" fillId="5" borderId="66" xfId="1" applyFont="1" applyFill="1" applyBorder="1"/>
    <xf numFmtId="0" fontId="2" fillId="0" borderId="3" xfId="0" applyFont="1" applyBorder="1" applyAlignment="1">
      <alignment horizontal="center" wrapText="1"/>
    </xf>
    <xf numFmtId="0" fontId="5" fillId="0" borderId="0" xfId="0" applyFont="1" applyAlignment="1">
      <alignment horizontal="center" wrapText="1"/>
    </xf>
    <xf numFmtId="0" fontId="6" fillId="2" borderId="0" xfId="0" applyFont="1" applyFill="1"/>
    <xf numFmtId="0" fontId="6" fillId="4" borderId="0" xfId="0" applyFont="1" applyFill="1"/>
    <xf numFmtId="167" fontId="21" fillId="4" borderId="0" xfId="3" applyNumberFormat="1" applyFont="1" applyFill="1" applyAlignment="1">
      <alignment horizontal="right"/>
    </xf>
    <xf numFmtId="3" fontId="8" fillId="2" borderId="0" xfId="2" applyNumberFormat="1" applyFill="1" applyAlignment="1">
      <alignment horizontal="right"/>
    </xf>
    <xf numFmtId="3" fontId="8" fillId="2" borderId="0" xfId="2" applyNumberFormat="1" applyFill="1"/>
    <xf numFmtId="0" fontId="8" fillId="2" borderId="0" xfId="2" applyFill="1"/>
    <xf numFmtId="0" fontId="2" fillId="4" borderId="7" xfId="0" applyFont="1" applyFill="1" applyBorder="1" applyAlignment="1">
      <alignment horizontal="center" wrapText="1"/>
    </xf>
    <xf numFmtId="0" fontId="2" fillId="4" borderId="6" xfId="0" applyFont="1" applyFill="1" applyBorder="1" applyAlignment="1">
      <alignment horizontal="center" wrapText="1"/>
    </xf>
    <xf numFmtId="0" fontId="72" fillId="0" borderId="73" xfId="0" applyFont="1" applyBorder="1" applyAlignment="1">
      <alignment horizontal="center" wrapText="1"/>
    </xf>
    <xf numFmtId="0" fontId="72" fillId="0" borderId="74" xfId="0" applyFont="1" applyBorder="1" applyAlignment="1">
      <alignment horizontal="center" wrapText="1"/>
    </xf>
    <xf numFmtId="0" fontId="82" fillId="0" borderId="75" xfId="0" applyFont="1" applyBorder="1" applyAlignment="1">
      <alignment horizontal="center" wrapText="1"/>
    </xf>
    <xf numFmtId="0" fontId="82" fillId="0" borderId="65" xfId="0" applyFont="1" applyBorder="1" applyAlignment="1">
      <alignment horizontal="center" wrapText="1"/>
    </xf>
    <xf numFmtId="0" fontId="26" fillId="0" borderId="64" xfId="0" applyFont="1" applyBorder="1" applyAlignment="1">
      <alignment horizontal="center" wrapText="1"/>
    </xf>
    <xf numFmtId="0" fontId="0" fillId="20" borderId="14" xfId="0" applyFill="1" applyBorder="1" applyAlignment="1">
      <alignment horizontal="center" wrapText="1"/>
    </xf>
    <xf numFmtId="0" fontId="0" fillId="20" borderId="1" xfId="0" applyFill="1" applyBorder="1" applyAlignment="1">
      <alignment horizontal="center" wrapText="1"/>
    </xf>
    <xf numFmtId="0" fontId="0" fillId="20" borderId="15" xfId="0" applyFill="1" applyBorder="1" applyAlignment="1">
      <alignment horizontal="center"/>
    </xf>
    <xf numFmtId="0" fontId="83" fillId="21" borderId="74" xfId="0" applyFont="1" applyFill="1" applyBorder="1" applyAlignment="1">
      <alignment horizontal="center" wrapText="1"/>
    </xf>
    <xf numFmtId="0" fontId="0" fillId="0" borderId="1" xfId="0" applyBorder="1" applyAlignment="1">
      <alignment horizontal="center" vertical="center" wrapText="1"/>
    </xf>
    <xf numFmtId="0" fontId="72" fillId="0" borderId="73" xfId="0" applyFont="1" applyBorder="1" applyAlignment="1">
      <alignment horizontal="left" wrapText="1"/>
    </xf>
    <xf numFmtId="0" fontId="72" fillId="0" borderId="74" xfId="0" applyFont="1" applyBorder="1" applyAlignment="1">
      <alignment horizontal="left" wrapText="1"/>
    </xf>
    <xf numFmtId="0" fontId="82" fillId="0" borderId="75" xfId="0" applyFont="1" applyBorder="1" applyAlignment="1">
      <alignment horizontal="left" wrapText="1"/>
    </xf>
    <xf numFmtId="0" fontId="82" fillId="0" borderId="65" xfId="0" applyFont="1" applyBorder="1" applyAlignment="1">
      <alignment horizontal="left" wrapText="1"/>
    </xf>
    <xf numFmtId="0" fontId="0" fillId="20" borderId="15" xfId="0" applyFill="1" applyBorder="1" applyAlignment="1">
      <alignment horizontal="center" wrapText="1"/>
    </xf>
    <xf numFmtId="9" fontId="17" fillId="2" borderId="1" xfId="1" applyFont="1" applyFill="1" applyBorder="1" applyAlignment="1">
      <alignment vertical="center"/>
    </xf>
    <xf numFmtId="167" fontId="17" fillId="2" borderId="1" xfId="3" applyNumberFormat="1" applyFont="1" applyFill="1" applyBorder="1" applyAlignment="1">
      <alignment horizontal="right" vertical="center"/>
    </xf>
    <xf numFmtId="0" fontId="0" fillId="2" borderId="1" xfId="3" applyNumberFormat="1" applyFont="1" applyFill="1" applyBorder="1" applyAlignment="1">
      <alignment horizontal="right"/>
    </xf>
    <xf numFmtId="3" fontId="72" fillId="16" borderId="64" xfId="0" applyNumberFormat="1" applyFont="1" applyFill="1" applyBorder="1" applyAlignment="1">
      <alignment vertical="center"/>
    </xf>
    <xf numFmtId="1" fontId="0" fillId="2" borderId="14" xfId="0" applyNumberFormat="1" applyFill="1" applyBorder="1" applyAlignment="1">
      <alignment horizontal="center"/>
    </xf>
    <xf numFmtId="1" fontId="0" fillId="2" borderId="1" xfId="0" applyNumberFormat="1" applyFill="1" applyBorder="1" applyAlignment="1">
      <alignment horizontal="center" readingOrder="2"/>
    </xf>
    <xf numFmtId="1" fontId="0" fillId="2" borderId="15" xfId="0" applyNumberFormat="1" applyFill="1" applyBorder="1" applyAlignment="1">
      <alignment horizontal="center"/>
    </xf>
    <xf numFmtId="3" fontId="72" fillId="2" borderId="64" xfId="0" applyNumberFormat="1" applyFont="1" applyFill="1" applyBorder="1" applyAlignment="1">
      <alignment vertical="center"/>
    </xf>
    <xf numFmtId="4" fontId="72" fillId="2" borderId="64" xfId="0" applyNumberFormat="1" applyFont="1" applyFill="1" applyBorder="1" applyAlignment="1">
      <alignment vertical="center"/>
    </xf>
    <xf numFmtId="0" fontId="0" fillId="2" borderId="1" xfId="3" applyNumberFormat="1" applyFont="1" applyFill="1" applyBorder="1"/>
    <xf numFmtId="181" fontId="0" fillId="2" borderId="0" xfId="3" applyNumberFormat="1" applyFont="1" applyFill="1"/>
    <xf numFmtId="1" fontId="0" fillId="2" borderId="14" xfId="0" applyNumberFormat="1" applyFill="1" applyBorder="1" applyAlignment="1">
      <alignment horizontal="right" wrapText="1"/>
    </xf>
    <xf numFmtId="1" fontId="0" fillId="2" borderId="1" xfId="0" applyNumberFormat="1" applyFill="1" applyBorder="1" applyAlignment="1">
      <alignment horizontal="right" wrapText="1"/>
    </xf>
    <xf numFmtId="1" fontId="0" fillId="2" borderId="1" xfId="0" applyNumberFormat="1" applyFill="1" applyBorder="1" applyAlignment="1">
      <alignment horizontal="right" wrapText="1" readingOrder="2"/>
    </xf>
    <xf numFmtId="1" fontId="0" fillId="2" borderId="15" xfId="0" applyNumberFormat="1" applyFill="1" applyBorder="1" applyAlignment="1">
      <alignment horizontal="right" wrapText="1"/>
    </xf>
    <xf numFmtId="1" fontId="17" fillId="2" borderId="1" xfId="0" applyNumberFormat="1" applyFont="1" applyFill="1" applyBorder="1" applyAlignment="1">
      <alignment vertical="center" wrapText="1"/>
    </xf>
    <xf numFmtId="9" fontId="17" fillId="2" borderId="1" xfId="1" applyFont="1" applyFill="1" applyBorder="1" applyAlignment="1">
      <alignment vertical="center" wrapText="1"/>
    </xf>
    <xf numFmtId="0" fontId="17" fillId="2" borderId="1" xfId="0" applyFont="1" applyFill="1" applyBorder="1" applyAlignment="1">
      <alignment horizontal="right" vertical="center"/>
    </xf>
    <xf numFmtId="1" fontId="0" fillId="2" borderId="1" xfId="5" applyNumberFormat="1" applyFont="1" applyFill="1" applyBorder="1" applyAlignment="1">
      <alignment horizontal="right" wrapText="1"/>
    </xf>
    <xf numFmtId="3" fontId="17" fillId="7" borderId="1" xfId="0" applyNumberFormat="1" applyFont="1" applyFill="1" applyBorder="1" applyAlignment="1">
      <alignment vertical="center" wrapText="1"/>
    </xf>
    <xf numFmtId="1" fontId="2" fillId="2" borderId="1" xfId="0" applyNumberFormat="1" applyFont="1" applyFill="1" applyBorder="1" applyAlignment="1">
      <alignment horizontal="center" readingOrder="2"/>
    </xf>
    <xf numFmtId="3" fontId="17" fillId="2" borderId="6" xfId="0" applyNumberFormat="1" applyFont="1" applyFill="1" applyBorder="1" applyAlignment="1">
      <alignment vertical="center"/>
    </xf>
    <xf numFmtId="9" fontId="2" fillId="4" borderId="1" xfId="1" applyFont="1" applyFill="1" applyBorder="1" applyAlignment="1">
      <alignment horizontal="right"/>
    </xf>
    <xf numFmtId="10" fontId="11" fillId="0" borderId="1" xfId="1" applyNumberFormat="1" applyFont="1" applyBorder="1"/>
    <xf numFmtId="9" fontId="2" fillId="0" borderId="1" xfId="1" applyFont="1" applyBorder="1"/>
    <xf numFmtId="0" fontId="8" fillId="0" borderId="0" xfId="2" applyAlignment="1">
      <alignment wrapText="1"/>
    </xf>
    <xf numFmtId="0" fontId="84" fillId="0" borderId="0" xfId="2" applyFont="1" applyAlignment="1">
      <alignment wrapText="1"/>
    </xf>
    <xf numFmtId="0" fontId="2" fillId="3" borderId="0" xfId="0" applyFont="1" applyFill="1" applyAlignment="1">
      <alignment wrapText="1"/>
    </xf>
    <xf numFmtId="0" fontId="0" fillId="0" borderId="43" xfId="0" applyBorder="1"/>
    <xf numFmtId="3" fontId="0" fillId="4" borderId="0" xfId="0" applyNumberFormat="1" applyFill="1"/>
    <xf numFmtId="3" fontId="0" fillId="4" borderId="0" xfId="0" applyNumberFormat="1" applyFill="1" applyAlignment="1">
      <alignment wrapText="1"/>
    </xf>
    <xf numFmtId="3" fontId="2" fillId="4" borderId="0" xfId="0" applyNumberFormat="1" applyFont="1" applyFill="1" applyAlignment="1">
      <alignment wrapText="1"/>
    </xf>
    <xf numFmtId="3" fontId="0" fillId="4" borderId="43" xfId="0" applyNumberFormat="1" applyFill="1" applyBorder="1"/>
    <xf numFmtId="2" fontId="21" fillId="2" borderId="0" xfId="4" applyNumberFormat="1" applyFill="1"/>
    <xf numFmtId="0" fontId="2" fillId="0" borderId="1" xfId="4" applyFont="1" applyBorder="1" applyAlignment="1">
      <alignment wrapText="1"/>
    </xf>
    <xf numFmtId="167" fontId="21" fillId="4" borderId="0" xfId="3" applyNumberFormat="1" applyFont="1" applyFill="1"/>
    <xf numFmtId="0" fontId="21" fillId="4" borderId="0" xfId="4" applyFill="1"/>
    <xf numFmtId="3" fontId="21" fillId="4" borderId="0" xfId="4" applyNumberFormat="1" applyFill="1"/>
    <xf numFmtId="3" fontId="21" fillId="4" borderId="0" xfId="4" applyNumberFormat="1" applyFill="1" applyAlignment="1">
      <alignment horizontal="center"/>
    </xf>
    <xf numFmtId="167" fontId="21" fillId="4" borderId="0" xfId="4" applyNumberFormat="1" applyFill="1"/>
    <xf numFmtId="167" fontId="2" fillId="4" borderId="0" xfId="4" applyNumberFormat="1" applyFont="1" applyFill="1" applyAlignment="1">
      <alignment horizontal="center"/>
    </xf>
    <xf numFmtId="167" fontId="21" fillId="0" borderId="0" xfId="3" applyNumberFormat="1" applyFont="1" applyFill="1"/>
    <xf numFmtId="3" fontId="21" fillId="0" borderId="0" xfId="4" applyNumberFormat="1"/>
    <xf numFmtId="167" fontId="66" fillId="4" borderId="61" xfId="0" applyNumberFormat="1" applyFont="1" applyFill="1" applyBorder="1" applyAlignment="1">
      <alignment vertical="center"/>
    </xf>
    <xf numFmtId="0" fontId="66" fillId="4" borderId="61" xfId="0" applyFont="1" applyFill="1" applyBorder="1" applyAlignment="1">
      <alignment vertical="center"/>
    </xf>
    <xf numFmtId="0" fontId="67" fillId="2" borderId="61" xfId="0" applyFont="1" applyFill="1" applyBorder="1" applyAlignment="1">
      <alignment vertical="center"/>
    </xf>
    <xf numFmtId="0" fontId="67" fillId="4" borderId="61" xfId="0" applyFont="1" applyFill="1" applyBorder="1" applyAlignment="1">
      <alignment vertical="center"/>
    </xf>
    <xf numFmtId="2" fontId="67" fillId="4" borderId="61" xfId="0" applyNumberFormat="1" applyFont="1" applyFill="1" applyBorder="1" applyAlignment="1">
      <alignment vertical="center"/>
    </xf>
    <xf numFmtId="166" fontId="0" fillId="4" borderId="8" xfId="3" applyFont="1" applyFill="1" applyBorder="1"/>
    <xf numFmtId="167" fontId="0" fillId="4" borderId="8" xfId="3" applyNumberFormat="1" applyFont="1" applyFill="1" applyBorder="1"/>
    <xf numFmtId="167" fontId="2" fillId="4" borderId="8" xfId="3" applyNumberFormat="1" applyFont="1" applyFill="1" applyBorder="1"/>
    <xf numFmtId="9" fontId="0" fillId="4" borderId="38" xfId="0" applyNumberFormat="1" applyFill="1" applyBorder="1"/>
    <xf numFmtId="10" fontId="0" fillId="2" borderId="1" xfId="0" applyNumberFormat="1" applyFill="1" applyBorder="1"/>
    <xf numFmtId="2" fontId="2" fillId="4" borderId="1" xfId="1" applyNumberFormat="1" applyFont="1" applyFill="1" applyBorder="1"/>
    <xf numFmtId="3" fontId="2" fillId="4" borderId="1" xfId="0" applyNumberFormat="1" applyFont="1" applyFill="1" applyBorder="1" applyAlignment="1">
      <alignment horizontal="center"/>
    </xf>
    <xf numFmtId="10" fontId="1" fillId="2" borderId="1" xfId="1" applyNumberFormat="1" applyFont="1" applyFill="1" applyBorder="1"/>
    <xf numFmtId="10" fontId="1" fillId="2" borderId="0" xfId="1" applyNumberFormat="1" applyFont="1" applyFill="1"/>
    <xf numFmtId="166" fontId="13" fillId="4" borderId="0" xfId="3" applyFont="1" applyFill="1" applyAlignment="1">
      <alignment horizontal="left" wrapText="1"/>
    </xf>
    <xf numFmtId="166" fontId="1" fillId="4" borderId="1" xfId="3" applyFont="1" applyFill="1" applyBorder="1"/>
    <xf numFmtId="10" fontId="2" fillId="2" borderId="0" xfId="0" applyNumberFormat="1" applyFont="1" applyFill="1"/>
    <xf numFmtId="10" fontId="4" fillId="2" borderId="15" xfId="0" applyNumberFormat="1" applyFont="1" applyFill="1" applyBorder="1" applyAlignment="1">
      <alignment horizontal="center"/>
    </xf>
    <xf numFmtId="9" fontId="3" fillId="2" borderId="0" xfId="1" applyFont="1" applyFill="1" applyAlignment="1">
      <alignment horizontal="center"/>
    </xf>
    <xf numFmtId="0" fontId="85" fillId="0" borderId="0" xfId="0" applyFont="1"/>
    <xf numFmtId="3" fontId="0" fillId="4" borderId="1" xfId="0" applyNumberFormat="1" applyFill="1" applyBorder="1"/>
    <xf numFmtId="1" fontId="0" fillId="4" borderId="1" xfId="0" applyNumberFormat="1" applyFill="1" applyBorder="1"/>
    <xf numFmtId="166" fontId="54" fillId="4" borderId="0" xfId="3" applyFont="1" applyFill="1"/>
    <xf numFmtId="176" fontId="26" fillId="2" borderId="1" xfId="0" applyNumberFormat="1" applyFont="1" applyFill="1" applyBorder="1"/>
    <xf numFmtId="176" fontId="72" fillId="2" borderId="1" xfId="0" applyNumberFormat="1" applyFont="1" applyFill="1" applyBorder="1" applyAlignment="1">
      <alignment vertical="center"/>
    </xf>
    <xf numFmtId="0" fontId="6" fillId="6" borderId="0" xfId="0" applyFont="1" applyFill="1"/>
    <xf numFmtId="0" fontId="40" fillId="2" borderId="0" xfId="0" applyFont="1" applyFill="1"/>
    <xf numFmtId="0" fontId="1" fillId="2" borderId="0" xfId="0" applyFont="1" applyFill="1"/>
    <xf numFmtId="0" fontId="1" fillId="4" borderId="0" xfId="0" applyFont="1" applyFill="1"/>
    <xf numFmtId="0" fontId="40" fillId="4" borderId="0" xfId="0" applyFont="1" applyFill="1"/>
    <xf numFmtId="3" fontId="2" fillId="2" borderId="0" xfId="0" applyNumberFormat="1" applyFont="1" applyFill="1"/>
    <xf numFmtId="172" fontId="0" fillId="4" borderId="0" xfId="0" applyNumberFormat="1" applyFill="1" applyAlignment="1">
      <alignment horizontal="center"/>
    </xf>
    <xf numFmtId="2" fontId="0" fillId="4" borderId="0" xfId="0" applyNumberFormat="1" applyFill="1" applyAlignment="1">
      <alignment horizontal="center"/>
    </xf>
    <xf numFmtId="2" fontId="2" fillId="4" borderId="0" xfId="0" applyNumberFormat="1" applyFont="1" applyFill="1" applyAlignment="1">
      <alignment horizontal="right"/>
    </xf>
    <xf numFmtId="9" fontId="0" fillId="2" borderId="0" xfId="1" applyFont="1" applyFill="1"/>
    <xf numFmtId="0" fontId="0" fillId="4" borderId="3" xfId="0" applyFill="1" applyBorder="1"/>
    <xf numFmtId="0" fontId="0" fillId="4" borderId="47" xfId="0" applyFill="1" applyBorder="1"/>
    <xf numFmtId="10" fontId="64" fillId="2" borderId="0" xfId="2" applyNumberFormat="1" applyFont="1" applyFill="1"/>
    <xf numFmtId="9" fontId="0" fillId="7" borderId="0" xfId="0" applyNumberFormat="1" applyFill="1"/>
    <xf numFmtId="2" fontId="40" fillId="17" borderId="64" xfId="0" applyNumberFormat="1" applyFont="1" applyFill="1" applyBorder="1"/>
    <xf numFmtId="166" fontId="26" fillId="4" borderId="0" xfId="0" applyNumberFormat="1" applyFont="1" applyFill="1"/>
    <xf numFmtId="166" fontId="40" fillId="4" borderId="0" xfId="0" applyNumberFormat="1" applyFont="1" applyFill="1"/>
    <xf numFmtId="166" fontId="2" fillId="4" borderId="3" xfId="3" applyFont="1" applyFill="1" applyBorder="1"/>
    <xf numFmtId="166" fontId="2" fillId="4" borderId="4" xfId="3" applyFont="1" applyFill="1" applyBorder="1"/>
    <xf numFmtId="166" fontId="2" fillId="4" borderId="53" xfId="3" applyFont="1" applyFill="1" applyBorder="1"/>
    <xf numFmtId="166" fontId="2" fillId="4" borderId="39" xfId="3" applyFont="1" applyFill="1" applyBorder="1"/>
    <xf numFmtId="2" fontId="2" fillId="7" borderId="0" xfId="0" applyNumberFormat="1" applyFont="1" applyFill="1"/>
    <xf numFmtId="9" fontId="2" fillId="4" borderId="0" xfId="1" applyFont="1" applyFill="1" applyBorder="1"/>
    <xf numFmtId="1" fontId="2" fillId="4" borderId="0" xfId="1" applyNumberFormat="1" applyFont="1" applyFill="1"/>
    <xf numFmtId="172" fontId="2" fillId="2" borderId="0" xfId="0" applyNumberFormat="1" applyFont="1" applyFill="1" applyAlignment="1">
      <alignment horizontal="center"/>
    </xf>
    <xf numFmtId="3" fontId="2" fillId="4" borderId="0" xfId="0" applyNumberFormat="1" applyFont="1" applyFill="1"/>
    <xf numFmtId="176" fontId="26" fillId="4" borderId="64" xfId="0" applyNumberFormat="1" applyFont="1" applyFill="1" applyBorder="1" applyAlignment="1">
      <alignment horizontal="center"/>
    </xf>
    <xf numFmtId="176" fontId="26" fillId="2" borderId="65" xfId="0" applyNumberFormat="1" applyFont="1" applyFill="1" applyBorder="1" applyAlignment="1">
      <alignment horizontal="center"/>
    </xf>
    <xf numFmtId="10" fontId="26" fillId="2" borderId="64" xfId="1" applyNumberFormat="1" applyFont="1" applyFill="1" applyBorder="1" applyAlignment="1">
      <alignment horizontal="center"/>
    </xf>
    <xf numFmtId="1" fontId="2" fillId="4" borderId="0" xfId="1" applyNumberFormat="1" applyFont="1" applyFill="1" applyBorder="1"/>
    <xf numFmtId="3" fontId="71" fillId="7" borderId="0" xfId="2" applyNumberFormat="1" applyFont="1" applyFill="1"/>
    <xf numFmtId="166" fontId="64" fillId="2" borderId="0" xfId="2" applyNumberFormat="1" applyFont="1" applyFill="1"/>
    <xf numFmtId="10" fontId="2" fillId="2" borderId="0" xfId="0" applyNumberFormat="1" applyFont="1" applyFill="1" applyAlignment="1">
      <alignment wrapText="1"/>
    </xf>
    <xf numFmtId="9" fontId="2" fillId="2" borderId="0" xfId="0" applyNumberFormat="1" applyFont="1" applyFill="1" applyAlignment="1">
      <alignment wrapText="1"/>
    </xf>
    <xf numFmtId="10" fontId="0" fillId="4" borderId="1" xfId="0" applyNumberFormat="1" applyFill="1" applyBorder="1" applyAlignment="1">
      <alignment horizontal="center"/>
    </xf>
    <xf numFmtId="3" fontId="0" fillId="4" borderId="1" xfId="0" applyNumberFormat="1" applyFill="1" applyBorder="1" applyAlignment="1">
      <alignment horizontal="center"/>
    </xf>
    <xf numFmtId="166" fontId="0" fillId="4" borderId="1" xfId="0" applyNumberFormat="1" applyFill="1" applyBorder="1" applyAlignment="1">
      <alignment horizontal="center"/>
    </xf>
    <xf numFmtId="10" fontId="8" fillId="7" borderId="0" xfId="2" applyNumberFormat="1" applyFill="1"/>
    <xf numFmtId="3" fontId="8" fillId="7" borderId="0" xfId="2" applyNumberFormat="1" applyFill="1"/>
    <xf numFmtId="0" fontId="6" fillId="0" borderId="0" xfId="0" applyFont="1" applyAlignment="1">
      <alignment horizontal="center"/>
    </xf>
    <xf numFmtId="0" fontId="68" fillId="9" borderId="0" xfId="0" applyFont="1" applyFill="1" applyAlignment="1">
      <alignment horizontal="left" wrapText="1"/>
    </xf>
    <xf numFmtId="0" fontId="68" fillId="3" borderId="0" xfId="0" applyFont="1" applyFill="1" applyAlignment="1">
      <alignment horizontal="left" wrapText="1"/>
    </xf>
    <xf numFmtId="0" fontId="8" fillId="0" borderId="0" xfId="2" applyAlignment="1">
      <alignment horizontal="center"/>
    </xf>
    <xf numFmtId="0" fontId="0" fillId="0" borderId="1" xfId="0" applyBorder="1" applyAlignment="1">
      <alignment horizontal="center"/>
    </xf>
    <xf numFmtId="0" fontId="2" fillId="0" borderId="1" xfId="0" applyFont="1" applyBorder="1" applyAlignment="1">
      <alignment horizontal="center"/>
    </xf>
    <xf numFmtId="0" fontId="3" fillId="0" borderId="3" xfId="0" applyFont="1" applyBorder="1" applyAlignment="1">
      <alignment horizontal="center" wrapText="1"/>
    </xf>
    <xf numFmtId="0" fontId="3" fillId="0" borderId="4" xfId="0" applyFont="1" applyBorder="1" applyAlignment="1">
      <alignment horizontal="center" wrapText="1"/>
    </xf>
    <xf numFmtId="0" fontId="2" fillId="0" borderId="1" xfId="0" applyFont="1" applyBorder="1" applyAlignment="1">
      <alignment horizontal="center" wrapText="1"/>
    </xf>
    <xf numFmtId="0" fontId="3" fillId="0" borderId="5" xfId="0" applyFont="1" applyBorder="1" applyAlignment="1">
      <alignment horizontal="center" wrapText="1"/>
    </xf>
    <xf numFmtId="0" fontId="3" fillId="0" borderId="1"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4" borderId="7" xfId="0" applyFont="1" applyFill="1" applyBorder="1" applyAlignment="1">
      <alignment horizontal="center" wrapText="1"/>
    </xf>
    <xf numFmtId="0" fontId="2" fillId="4" borderId="6" xfId="0" applyFont="1" applyFill="1" applyBorder="1" applyAlignment="1">
      <alignment horizontal="center" wrapText="1"/>
    </xf>
    <xf numFmtId="0" fontId="2" fillId="4" borderId="8" xfId="0" applyFont="1" applyFill="1" applyBorder="1" applyAlignment="1">
      <alignment horizontal="center" wrapText="1"/>
    </xf>
    <xf numFmtId="0" fontId="2" fillId="0" borderId="5"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69" xfId="0" applyFont="1" applyBorder="1" applyAlignment="1">
      <alignment horizontal="center" wrapText="1"/>
    </xf>
    <xf numFmtId="0" fontId="2" fillId="0" borderId="67" xfId="0" applyFont="1" applyBorder="1" applyAlignment="1">
      <alignment horizontal="center" wrapText="1"/>
    </xf>
    <xf numFmtId="0" fontId="2" fillId="0" borderId="45" xfId="0" applyFont="1" applyBorder="1" applyAlignment="1">
      <alignment horizontal="center" wrapText="1"/>
    </xf>
    <xf numFmtId="0" fontId="2" fillId="0" borderId="38" xfId="0" applyFont="1" applyBorder="1" applyAlignment="1">
      <alignment horizontal="center" wrapText="1"/>
    </xf>
    <xf numFmtId="0" fontId="2" fillId="0" borderId="70" xfId="0" applyFont="1" applyBorder="1" applyAlignment="1">
      <alignment horizontal="center" wrapText="1"/>
    </xf>
    <xf numFmtId="0" fontId="2" fillId="0" borderId="71" xfId="0" applyFont="1" applyBorder="1" applyAlignment="1">
      <alignment horizontal="center" wrapText="1"/>
    </xf>
    <xf numFmtId="0" fontId="2" fillId="0" borderId="72" xfId="0" applyFont="1" applyBorder="1" applyAlignment="1">
      <alignment horizontal="center" wrapText="1"/>
    </xf>
    <xf numFmtId="0" fontId="2" fillId="0" borderId="43" xfId="0" applyFont="1" applyBorder="1" applyAlignment="1">
      <alignment horizontal="center" wrapText="1"/>
    </xf>
    <xf numFmtId="166" fontId="11" fillId="0" borderId="3" xfId="3" applyFont="1" applyBorder="1" applyAlignment="1">
      <alignment horizontal="center"/>
    </xf>
    <xf numFmtId="166" fontId="11" fillId="0" borderId="5" xfId="3" applyFont="1" applyBorder="1" applyAlignment="1">
      <alignment horizontal="center"/>
    </xf>
    <xf numFmtId="3" fontId="0" fillId="0" borderId="43" xfId="0" applyNumberFormat="1" applyBorder="1" applyAlignment="1">
      <alignment horizontal="center"/>
    </xf>
    <xf numFmtId="0" fontId="0" fillId="0" borderId="43" xfId="0" applyBorder="1" applyAlignment="1">
      <alignment horizontal="center"/>
    </xf>
    <xf numFmtId="0" fontId="2" fillId="0" borderId="1" xfId="4" applyFont="1" applyBorder="1" applyAlignment="1">
      <alignment horizontal="center"/>
    </xf>
    <xf numFmtId="0" fontId="21" fillId="0" borderId="1" xfId="4" applyBorder="1" applyAlignment="1">
      <alignment horizontal="center"/>
    </xf>
    <xf numFmtId="166" fontId="65" fillId="4" borderId="59" xfId="0" applyNumberFormat="1" applyFont="1" applyFill="1" applyBorder="1" applyAlignment="1">
      <alignment horizontal="left" vertical="center"/>
    </xf>
    <xf numFmtId="0" fontId="65" fillId="4" borderId="62" xfId="0" applyFont="1" applyFill="1" applyBorder="1" applyAlignment="1">
      <alignment horizontal="left" vertical="center"/>
    </xf>
    <xf numFmtId="0" fontId="65" fillId="4" borderId="63" xfId="0" applyFont="1" applyFill="1" applyBorder="1" applyAlignment="1">
      <alignment horizontal="left" vertical="center"/>
    </xf>
    <xf numFmtId="0" fontId="65" fillId="0" borderId="59" xfId="0" applyFont="1" applyBorder="1" applyAlignment="1">
      <alignment horizontal="left" vertical="center"/>
    </xf>
    <xf numFmtId="0" fontId="65" fillId="0" borderId="62" xfId="0" applyFont="1" applyBorder="1" applyAlignment="1">
      <alignment horizontal="left" vertical="center"/>
    </xf>
    <xf numFmtId="0" fontId="65" fillId="0" borderId="63" xfId="0" applyFont="1" applyBorder="1" applyAlignment="1">
      <alignment horizontal="left" vertical="center"/>
    </xf>
    <xf numFmtId="0" fontId="2" fillId="0" borderId="6" xfId="4" applyFont="1" applyBorder="1" applyAlignment="1">
      <alignment horizontal="center" vertical="center" wrapText="1"/>
    </xf>
    <xf numFmtId="0" fontId="2" fillId="0" borderId="8" xfId="4" applyFont="1" applyBorder="1" applyAlignment="1">
      <alignment horizontal="center" vertical="center" wrapText="1"/>
    </xf>
    <xf numFmtId="0" fontId="2" fillId="0" borderId="1" xfId="4" applyFont="1" applyBorder="1" applyAlignment="1">
      <alignment horizontal="center" vertical="center" wrapText="1"/>
    </xf>
    <xf numFmtId="0" fontId="0" fillId="0" borderId="9" xfId="0" applyBorder="1" applyAlignment="1">
      <alignment horizontal="center"/>
    </xf>
    <xf numFmtId="0" fontId="0" fillId="0" borderId="35" xfId="0" applyBorder="1" applyAlignment="1">
      <alignment horizontal="center"/>
    </xf>
    <xf numFmtId="0" fontId="2" fillId="0" borderId="10" xfId="0" applyFont="1" applyBorder="1" applyAlignment="1">
      <alignment horizontal="center"/>
    </xf>
    <xf numFmtId="0" fontId="2" fillId="0" borderId="39" xfId="0" applyFont="1" applyBorder="1" applyAlignment="1">
      <alignment horizontal="center"/>
    </xf>
    <xf numFmtId="0" fontId="2" fillId="0" borderId="54" xfId="0" applyFont="1" applyBorder="1" applyAlignment="1">
      <alignment horizontal="center" wrapText="1"/>
    </xf>
    <xf numFmtId="0" fontId="2" fillId="0" borderId="21" xfId="0" applyFont="1" applyBorder="1" applyAlignment="1">
      <alignment horizontal="center" wrapText="1"/>
    </xf>
    <xf numFmtId="0" fontId="2" fillId="0" borderId="55" xfId="0" applyFont="1" applyBorder="1" applyAlignment="1">
      <alignment horizontal="center" wrapText="1"/>
    </xf>
    <xf numFmtId="0" fontId="2" fillId="0" borderId="54"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24" xfId="0" applyFont="1" applyBorder="1" applyAlignment="1">
      <alignment horizontal="center" wrapText="1"/>
    </xf>
    <xf numFmtId="0" fontId="2" fillId="0" borderId="25" xfId="0" applyFont="1" applyBorder="1" applyAlignment="1">
      <alignment horizontal="center" wrapText="1"/>
    </xf>
    <xf numFmtId="0" fontId="2" fillId="0" borderId="20" xfId="0" applyFont="1" applyBorder="1" applyAlignment="1">
      <alignment horizontal="center" wrapText="1"/>
    </xf>
    <xf numFmtId="0" fontId="2" fillId="0" borderId="56" xfId="0" applyFont="1" applyBorder="1" applyAlignment="1">
      <alignment horizont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0" fontId="2" fillId="6" borderId="0" xfId="0" applyFont="1" applyFill="1" applyAlignment="1">
      <alignment horizontal="center"/>
    </xf>
    <xf numFmtId="0" fontId="2" fillId="0" borderId="0" xfId="0" applyFont="1" applyAlignment="1">
      <alignment horizontal="center" wrapText="1"/>
    </xf>
    <xf numFmtId="0" fontId="3" fillId="0" borderId="5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5" xfId="0" applyFont="1" applyBorder="1" applyAlignment="1">
      <alignment horizontal="center" vertical="center" wrapText="1"/>
    </xf>
    <xf numFmtId="0" fontId="2" fillId="0" borderId="23" xfId="0" applyFont="1" applyBorder="1" applyAlignment="1">
      <alignment horizontal="center"/>
    </xf>
    <xf numFmtId="0" fontId="2" fillId="0" borderId="33" xfId="0" applyFont="1" applyBorder="1" applyAlignment="1">
      <alignment horizontal="center"/>
    </xf>
    <xf numFmtId="0" fontId="2" fillId="0" borderId="29" xfId="0" applyFont="1" applyBorder="1" applyAlignment="1">
      <alignment horizontal="center"/>
    </xf>
    <xf numFmtId="0" fontId="2" fillId="0" borderId="29" xfId="0" applyFont="1" applyBorder="1" applyAlignment="1">
      <alignment horizontal="center" wrapText="1"/>
    </xf>
    <xf numFmtId="0" fontId="2" fillId="0" borderId="3" xfId="0" applyFont="1" applyBorder="1" applyAlignment="1">
      <alignment horizontal="center"/>
    </xf>
    <xf numFmtId="0" fontId="2" fillId="0" borderId="5" xfId="0" applyFont="1" applyBorder="1" applyAlignment="1">
      <alignment horizontal="center"/>
    </xf>
    <xf numFmtId="0" fontId="43" fillId="0" borderId="0" xfId="0" applyFont="1" applyAlignment="1">
      <alignment horizontal="left" vertical="center" wrapText="1"/>
    </xf>
    <xf numFmtId="0" fontId="47" fillId="0" borderId="0" xfId="0" applyFont="1" applyAlignment="1">
      <alignment horizontal="left" vertical="center" wrapText="1"/>
    </xf>
    <xf numFmtId="0" fontId="2" fillId="2" borderId="0" xfId="0" applyFont="1" applyFill="1" applyAlignment="1">
      <alignment horizontal="left" wrapText="1"/>
    </xf>
    <xf numFmtId="2" fontId="0" fillId="0" borderId="0" xfId="0" applyNumberFormat="1" applyAlignment="1">
      <alignment horizontal="center"/>
    </xf>
    <xf numFmtId="2" fontId="0" fillId="2" borderId="0" xfId="0" applyNumberFormat="1" applyFill="1" applyAlignment="1">
      <alignment horizontal="center"/>
    </xf>
    <xf numFmtId="166" fontId="2" fillId="0" borderId="0" xfId="3" applyFont="1" applyAlignment="1">
      <alignment horizontal="center"/>
    </xf>
    <xf numFmtId="0" fontId="0" fillId="0" borderId="1" xfId="0" applyBorder="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5" fillId="0" borderId="0" xfId="0" applyFont="1" applyAlignment="1">
      <alignment horizontal="center" wrapText="1"/>
    </xf>
    <xf numFmtId="0" fontId="73" fillId="0" borderId="0" xfId="0" applyFont="1" applyAlignment="1">
      <alignment horizontal="left" vertical="center" wrapText="1"/>
    </xf>
    <xf numFmtId="0" fontId="4" fillId="0" borderId="0" xfId="0" applyFont="1" applyAlignment="1">
      <alignment horizontal="center"/>
    </xf>
    <xf numFmtId="0" fontId="0" fillId="3" borderId="0" xfId="0" applyFill="1" applyAlignment="1">
      <alignment horizontal="center"/>
    </xf>
    <xf numFmtId="0" fontId="6" fillId="0" borderId="0" xfId="0" applyFont="1" applyAlignment="1">
      <alignment horizontal="left" wrapText="1"/>
    </xf>
    <xf numFmtId="0" fontId="2" fillId="0" borderId="0" xfId="0" applyFont="1" applyAlignment="1">
      <alignment horizontal="left" wrapText="1"/>
    </xf>
    <xf numFmtId="0" fontId="0" fillId="3" borderId="0" xfId="0" applyFill="1" applyAlignment="1">
      <alignment horizontal="left" wrapText="1"/>
    </xf>
    <xf numFmtId="0" fontId="2" fillId="0" borderId="40" xfId="0" applyFont="1" applyBorder="1" applyAlignment="1">
      <alignment horizontal="center"/>
    </xf>
    <xf numFmtId="0" fontId="2" fillId="0" borderId="19"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31" xfId="0" applyFont="1" applyBorder="1" applyAlignment="1">
      <alignment horizontal="center" wrapText="1"/>
    </xf>
    <xf numFmtId="0" fontId="2" fillId="0" borderId="32" xfId="0" applyFont="1" applyBorder="1" applyAlignment="1">
      <alignment horizontal="center" wrapText="1"/>
    </xf>
    <xf numFmtId="0" fontId="2" fillId="2" borderId="0" xfId="0" applyFont="1" applyFill="1" applyAlignment="1">
      <alignment horizontal="center" wrapText="1"/>
    </xf>
    <xf numFmtId="0" fontId="2" fillId="0" borderId="9" xfId="0" applyFont="1" applyBorder="1" applyAlignment="1">
      <alignment horizontal="center"/>
    </xf>
    <xf numFmtId="0" fontId="2" fillId="0" borderId="14" xfId="0" applyFont="1" applyBorder="1" applyAlignment="1">
      <alignment horizontal="center"/>
    </xf>
    <xf numFmtId="0" fontId="2" fillId="0" borderId="13" xfId="0" applyFont="1" applyBorder="1" applyAlignment="1">
      <alignment horizontal="center" wrapText="1"/>
    </xf>
    <xf numFmtId="0" fontId="2" fillId="0" borderId="15" xfId="0" applyFont="1" applyBorder="1" applyAlignment="1">
      <alignment horizontal="center" wrapText="1"/>
    </xf>
    <xf numFmtId="0" fontId="0" fillId="0" borderId="0" xfId="0" applyAlignment="1">
      <alignment horizontal="center" wrapText="1"/>
    </xf>
    <xf numFmtId="9" fontId="0" fillId="0" borderId="0" xfId="1" applyFont="1" applyAlignment="1">
      <alignment horizontal="center" wrapText="1"/>
    </xf>
    <xf numFmtId="0" fontId="2" fillId="0" borderId="20" xfId="0" applyFont="1" applyBorder="1" applyAlignment="1">
      <alignment horizontal="center"/>
    </xf>
    <xf numFmtId="0" fontId="2" fillId="0" borderId="22" xfId="0" applyFont="1" applyBorder="1" applyAlignment="1">
      <alignment horizontal="center"/>
    </xf>
    <xf numFmtId="0" fontId="0" fillId="0" borderId="20" xfId="0" applyBorder="1" applyAlignment="1">
      <alignment horizontal="center"/>
    </xf>
    <xf numFmtId="0" fontId="0" fillId="0" borderId="22" xfId="0" applyBorder="1" applyAlignment="1">
      <alignment horizontal="center"/>
    </xf>
    <xf numFmtId="0" fontId="0" fillId="0" borderId="28" xfId="0" applyBorder="1" applyAlignment="1">
      <alignment horizontal="center" wrapText="1"/>
    </xf>
    <xf numFmtId="0" fontId="2" fillId="0" borderId="37" xfId="0" applyFont="1" applyBorder="1" applyAlignment="1">
      <alignment horizontal="center" wrapText="1"/>
    </xf>
    <xf numFmtId="0" fontId="2" fillId="0" borderId="44" xfId="0" applyFont="1" applyBorder="1" applyAlignment="1">
      <alignment horizontal="center" wrapText="1"/>
    </xf>
    <xf numFmtId="0" fontId="4" fillId="0" borderId="0" xfId="0" applyFont="1" applyAlignment="1">
      <alignment horizontal="left"/>
    </xf>
    <xf numFmtId="0" fontId="13" fillId="0" borderId="0" xfId="0" applyFont="1" applyAlignment="1">
      <alignment horizontal="left" wrapText="1"/>
    </xf>
    <xf numFmtId="0" fontId="0" fillId="0" borderId="0" xfId="0" applyAlignment="1">
      <alignment horizontal="center"/>
    </xf>
    <xf numFmtId="0" fontId="0" fillId="6" borderId="0" xfId="0" applyFill="1" applyAlignment="1">
      <alignment horizontal="left" wrapText="1"/>
    </xf>
    <xf numFmtId="9" fontId="0" fillId="0" borderId="1" xfId="1" applyFont="1" applyBorder="1" applyAlignment="1">
      <alignment horizontal="center" wrapText="1"/>
    </xf>
    <xf numFmtId="0" fontId="29" fillId="0" borderId="0" xfId="0" applyFont="1" applyAlignment="1">
      <alignment horizontal="center" vertical="center" wrapText="1"/>
    </xf>
    <xf numFmtId="0" fontId="8" fillId="0" borderId="0" xfId="2" applyAlignment="1">
      <alignment horizontal="center" wrapText="1"/>
    </xf>
    <xf numFmtId="0" fontId="29" fillId="0" borderId="0" xfId="0" applyFont="1" applyAlignment="1">
      <alignment vertical="center" wrapText="1"/>
    </xf>
    <xf numFmtId="0" fontId="28" fillId="0" borderId="0" xfId="0" applyFont="1" applyAlignment="1">
      <alignment horizontal="center" vertical="center" wrapText="1"/>
    </xf>
    <xf numFmtId="0" fontId="2" fillId="3" borderId="0" xfId="0" applyFont="1" applyFill="1" applyAlignment="1">
      <alignment horizontal="left" wrapText="1"/>
    </xf>
    <xf numFmtId="0" fontId="6" fillId="0" borderId="66" xfId="0" applyFont="1" applyBorder="1" applyAlignment="1">
      <alignment horizontal="left" wrapText="1"/>
    </xf>
    <xf numFmtId="0" fontId="2" fillId="0" borderId="42" xfId="0" applyFont="1" applyBorder="1" applyAlignment="1">
      <alignment horizontal="center" wrapText="1"/>
    </xf>
    <xf numFmtId="0" fontId="21" fillId="0" borderId="0" xfId="0" applyFont="1" applyAlignment="1">
      <alignment horizontal="left" vertical="center" wrapText="1"/>
    </xf>
    <xf numFmtId="0" fontId="23" fillId="0" borderId="0" xfId="0" applyFont="1" applyAlignment="1">
      <alignment horizontal="left" vertical="center" wrapText="1"/>
    </xf>
    <xf numFmtId="0" fontId="23" fillId="0" borderId="0" xfId="0" applyFont="1" applyAlignment="1">
      <alignment horizontal="left" vertical="top" wrapText="1"/>
    </xf>
    <xf numFmtId="0" fontId="2" fillId="3" borderId="43" xfId="0" applyFont="1" applyFill="1" applyBorder="1" applyAlignment="1">
      <alignment horizontal="center"/>
    </xf>
    <xf numFmtId="0" fontId="40" fillId="0" borderId="1" xfId="0" applyFont="1" applyBorder="1" applyAlignment="1">
      <alignment horizontal="center"/>
    </xf>
    <xf numFmtId="0" fontId="0" fillId="0" borderId="0" xfId="0" applyAlignment="1">
      <alignment horizontal="left" vertical="center" wrapText="1"/>
    </xf>
    <xf numFmtId="0" fontId="2" fillId="0" borderId="4" xfId="0" applyFont="1" applyBorder="1" applyAlignment="1">
      <alignment horizontal="center"/>
    </xf>
    <xf numFmtId="0" fontId="0" fillId="0" borderId="0" xfId="0" applyAlignment="1">
      <alignment horizontal="left" wrapText="1"/>
    </xf>
    <xf numFmtId="0" fontId="6" fillId="0" borderId="1" xfId="0" applyFont="1" applyBorder="1" applyAlignment="1">
      <alignment horizontal="center" wrapText="1"/>
    </xf>
    <xf numFmtId="0" fontId="0" fillId="0" borderId="7" xfId="0" applyBorder="1" applyAlignment="1">
      <alignment horizontal="center" wrapText="1"/>
    </xf>
    <xf numFmtId="0" fontId="2" fillId="0" borderId="68" xfId="0" applyFont="1" applyBorder="1" applyAlignment="1">
      <alignment horizontal="center" wrapText="1"/>
    </xf>
    <xf numFmtId="0" fontId="79" fillId="0" borderId="7" xfId="0" applyFont="1" applyBorder="1" applyAlignment="1">
      <alignment horizontal="center" vertical="center" wrapText="1"/>
    </xf>
    <xf numFmtId="0" fontId="79" fillId="0" borderId="8" xfId="0" applyFont="1" applyBorder="1" applyAlignment="1">
      <alignment horizontal="center" vertical="center" wrapText="1"/>
    </xf>
    <xf numFmtId="0" fontId="4" fillId="0" borderId="1" xfId="0" applyFont="1" applyBorder="1" applyAlignment="1">
      <alignment horizontal="center" wrapText="1"/>
    </xf>
    <xf numFmtId="0" fontId="40" fillId="4" borderId="1" xfId="0" applyFont="1" applyFill="1" applyBorder="1" applyAlignment="1">
      <alignment horizontal="center" wrapText="1"/>
    </xf>
    <xf numFmtId="10" fontId="2" fillId="4" borderId="0" xfId="0" applyNumberFormat="1" applyFont="1" applyFill="1" applyAlignment="1">
      <alignment horizontal="center" vertical="center"/>
    </xf>
    <xf numFmtId="166" fontId="2" fillId="0" borderId="43" xfId="0" applyNumberFormat="1" applyFont="1" applyBorder="1"/>
    <xf numFmtId="0" fontId="2" fillId="0" borderId="43" xfId="0" applyFont="1" applyBorder="1"/>
    <xf numFmtId="0" fontId="2" fillId="0" borderId="49" xfId="0" applyFont="1" applyBorder="1" applyAlignment="1">
      <alignment horizontal="center" wrapText="1"/>
    </xf>
    <xf numFmtId="9" fontId="2" fillId="0" borderId="0" xfId="0" applyNumberFormat="1" applyFont="1" applyAlignment="1">
      <alignment horizontal="center" vertical="center"/>
    </xf>
    <xf numFmtId="0" fontId="2" fillId="0" borderId="0" xfId="0" applyFont="1" applyAlignment="1">
      <alignment horizontal="center" vertical="center"/>
    </xf>
    <xf numFmtId="0" fontId="0" fillId="0" borderId="14" xfId="0" applyBorder="1" applyAlignment="1">
      <alignment horizontal="center"/>
    </xf>
    <xf numFmtId="0" fontId="11" fillId="0" borderId="0" xfId="0" applyFont="1" applyAlignment="1">
      <alignment horizontal="left" wrapText="1"/>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0" fillId="0" borderId="1" xfId="0" quotePrefix="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0" borderId="50" xfId="0" applyFont="1" applyBorder="1" applyAlignment="1">
      <alignment horizontal="center" wrapText="1"/>
    </xf>
    <xf numFmtId="0" fontId="2" fillId="0" borderId="9"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37" fillId="0" borderId="9" xfId="0" applyFont="1" applyBorder="1" applyAlignment="1">
      <alignment horizontal="center"/>
    </xf>
    <xf numFmtId="0" fontId="37" fillId="0" borderId="14" xfId="0" applyFont="1" applyBorder="1" applyAlignment="1">
      <alignment horizontal="center"/>
    </xf>
    <xf numFmtId="0" fontId="37" fillId="0" borderId="10" xfId="0" applyFont="1" applyBorder="1" applyAlignment="1">
      <alignment horizontal="center"/>
    </xf>
    <xf numFmtId="0" fontId="37" fillId="0" borderId="11" xfId="0" applyFont="1" applyBorder="1" applyAlignment="1">
      <alignment horizontal="center"/>
    </xf>
    <xf numFmtId="0" fontId="37" fillId="0" borderId="31" xfId="0" applyFont="1" applyBorder="1" applyAlignment="1">
      <alignment horizontal="center" vertical="center" wrapText="1"/>
    </xf>
    <xf numFmtId="0" fontId="37" fillId="0" borderId="32"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cellXfs>
  <cellStyles count="6">
    <cellStyle name="Comma" xfId="3" builtinId="3"/>
    <cellStyle name="Hyperlink" xfId="2" builtinId="8"/>
    <cellStyle name="Normal" xfId="0" builtinId="0"/>
    <cellStyle name="Normal 2" xfId="5" xr:uid="{A7236BFD-E2DF-4338-A83A-E210EDB2FC5F}"/>
    <cellStyle name="Percent" xfId="1" builtinId="5"/>
    <cellStyle name="Обычный 3" xfId="4" xr:uid="{9BBC11A4-4494-4AE7-81B6-9A8CBC16C7D9}"/>
  </cellStyles>
  <dxfs count="4">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persons/person.xml><?xml version="1.0" encoding="utf-8"?>
<personList xmlns="http://schemas.microsoft.com/office/spreadsheetml/2018/threadedcomments" xmlns:x="http://schemas.openxmlformats.org/spreadsheetml/2006/main">
  <person displayName="Yigezu, Yigezu Atnafe (ICARDA-Egypt)" id="{A1AE8731-2FC7-4B81-95B5-B5E8A6976E92}" userId="S::Y.Yigezu@cgiar.org::c79e9233-01ca-4566-b92b-df4a028fdad6"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X7" dT="2023-09-27T08:19:30.48" personId="{A1AE8731-2FC7-4B81-95B5-B5E8A6976E92}" id="{EB713FFE-9DE1-4FA2-A597-8216AE113D0D}">
    <text>These are already accounted in food crops</text>
  </threadedComment>
</ThreadedComments>
</file>

<file path=xl/threadedComments/threadedComment2.xml><?xml version="1.0" encoding="utf-8"?>
<ThreadedComments xmlns="http://schemas.microsoft.com/office/spreadsheetml/2018/threadedcomments" xmlns:x="http://schemas.openxmlformats.org/spreadsheetml/2006/main">
  <threadedComment ref="D126" dT="2023-12-21T13:47:11.54" personId="{A1AE8731-2FC7-4B81-95B5-B5E8A6976E92}" id="{43A77C16-4465-4426-8E2E-5FA76CB0A81A}">
    <text>Below is an email from Mohamed Annabi who provided data on  the properties of Tunisian soils
Dear Yigezu
please find below the requested informations for tunisian conditions 
- Conversion factor from % humus to % of C (i.e., in Tunisia, 1% humus = X% of C) = 0.58
- What is the average topsoil layer (which is exposed to erosion) depth in Tunisia (cm)? = 10 cm
- Average bulk density in Tunisia (g/cm3) = 1.4
- Average erosion rate in Tunisia (ton/ha) = 5 t/ha
Regards 
Mohamed</text>
  </threadedComment>
</ThreadedComments>
</file>

<file path=xl/threadedComments/threadedComment3.xml><?xml version="1.0" encoding="utf-8"?>
<ThreadedComments xmlns="http://schemas.microsoft.com/office/spreadsheetml/2018/threadedcomments" xmlns:x="http://schemas.openxmlformats.org/spreadsheetml/2006/main">
  <threadedComment ref="G28" dT="2019-09-26T18:18:08.54" personId="{A1AE8731-2FC7-4B81-95B5-B5E8A6976E92}" id="{EE26CB22-7733-4EC6-BB14-E01F9AD76C75}">
    <text>Tanzila: if this is difficult, you can also ask the volume of biomas that can be harvested from 1 ha of forest with low, modest and sever deforestation respectively. Then, the diference between the intact and medium will represent what is removed from the modestly deforested area. The difference betwen the intact and the sever will give you the total biomass removed from the severely deforested areas.</text>
  </threadedComment>
  <threadedComment ref="G58" dT="2019-09-26T18:18:08.54" personId="{A1AE8731-2FC7-4B81-95B5-B5E8A6976E92}" id="{0F807FA2-3C0A-4F46-9B39-656B2620CDB5}">
    <text>Tanzila: if this is difficult, you can also ask the volume of biomas that can be harvested from 1 ha of forest with low, modest and sever deforestation respectively. Then, the diference between the intact and medium will represent what is removed from the modestly deforested area. The difference betwen the intact and the sever will give you the total biomass removed from the severely deforested areas.</text>
  </threadedComment>
</ThreadedComments>
</file>

<file path=xl/threadedComments/threadedComment4.xml><?xml version="1.0" encoding="utf-8"?>
<ThreadedComments xmlns="http://schemas.microsoft.com/office/spreadsheetml/2018/threadedcomments" xmlns:x="http://schemas.openxmlformats.org/spreadsheetml/2006/main">
  <threadedComment ref="G22" dT="2019-09-26T18:18:08.54" personId="{A1AE8731-2FC7-4B81-95B5-B5E8A6976E92}" id="{3F1EC6D3-0B13-4A59-BDA1-A152CBACBBA6}">
    <text>Tanzila: if this is difficult, you can also ask the volume of biomas that can be harvested from 1 ha of forest with low, modest and sever deforestation respectively. Then, the diference between the intact and medium will represent what is removed from the modestly deforested area. The difference betwen the intact and the sever will give you the total biomass removed from the severely deforested areas.</text>
  </threadedComment>
</ThreadedComments>
</file>

<file path=xl/threadedComments/threadedComment5.xml><?xml version="1.0" encoding="utf-8"?>
<ThreadedComments xmlns="http://schemas.microsoft.com/office/spreadsheetml/2018/threadedcomments" xmlns:x="http://schemas.openxmlformats.org/spreadsheetml/2006/main">
  <threadedComment ref="D14" dT="2023-12-21T13:47:11.54" personId="{A1AE8731-2FC7-4B81-95B5-B5E8A6976E92}" id="{7401AF44-B283-417B-8090-221DE2A4C63F}">
    <text>Below is an email from Mohamed Annabi who provided data on  the properties of Tunisian soils
Dear Yigezu
please find below the requested informations for tunisian conditions 
- Conversion factor from % humus to % of C (i.e., in Tunisia, 1% humus = X% of C) = 0.58
- What is the average topsoil layer (which is exposed to erosion) depth in Tunisia (cm)? = 10 cm
- Average bulk density in Tunisia (g/cm3) = 1.4
- Average erosion rate in Tunisia (ton/ha) = 5 t/ha
Regards 
Mohamed</text>
  </threadedComment>
</ThreadedComments>
</file>

<file path=xl/threadedComments/threadedComment6.xml><?xml version="1.0" encoding="utf-8"?>
<ThreadedComments xmlns="http://schemas.microsoft.com/office/spreadsheetml/2018/threadedcomments" xmlns:x="http://schemas.openxmlformats.org/spreadsheetml/2006/main">
  <threadedComment ref="H8" dT="2020-01-19T15:13:32.10" personId="{A1AE8731-2FC7-4B81-95B5-B5E8A6976E92}" id="{DC78E5A7-478F-4960-90BF-72EE53AD0717}">
    <text>Assuming that use and non-use values contribute 50% each. Out of the 50% use value, 30% and 20% are related to direct use and indirect use values, respectively.</text>
  </threadedComment>
</ThreadedComment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hyperlink" Target="https://en.wikipedia.org/wiki/Tunisia" TargetMode="External"/><Relationship Id="rId1" Type="http://schemas.openxmlformats.org/officeDocument/2006/relationships/hyperlink" Target="https://ourworldindata.org/grapher/above-ground-biomass-in-forest-per-hectare"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s://www.google.com/search?q=GDP+of+tunisia+in+2021&amp;rlz=1C1GCEA_enEG1015EG1015&amp;oq=GDP+of+tunisia+in+2021&amp;gs_lcrp=EgZjaHJvbWUyBggAEEUYOTIICAEQABgWGB7SAQg3NjgwajFqN6gCALACAA&amp;sourceid=chrome&amp;ie=UTF-8" TargetMode="External"/><Relationship Id="rId2" Type="http://schemas.openxmlformats.org/officeDocument/2006/relationships/hyperlink" Target="https://www.google.com/search?q=GDP+of+tunisia+in+2021&amp;rlz=1C1GCEA_enEG1015EG1015&amp;oq=GDP+of+tunisia+in+2021&amp;gs_lcrp=EgZjaHJvbWUyBggAEEUYOTIICAEQABgWGB7SAQg3NjgwajFqN6gCALACAA&amp;sourceid=chrome&amp;ie=UTF-8" TargetMode="External"/><Relationship Id="rId1" Type="http://schemas.openxmlformats.org/officeDocument/2006/relationships/hyperlink" Target="https://en.wikipedia.org/wiki/Cubic_ton" TargetMode="External"/><Relationship Id="rId5" Type="http://schemas.openxmlformats.org/officeDocument/2006/relationships/printerSettings" Target="../printerSettings/printerSettings1.bin"/><Relationship Id="rId4" Type="http://schemas.openxmlformats.org/officeDocument/2006/relationships/hyperlink" Target="https://www.google.com/search?q=GDP+of+tunisia+in+2021&amp;rlz=1C1GCEA_enEG1015EG1015&amp;oq=GDP+of+tunisia+in+2021&amp;gs_lcrp=EgZjaHJvbWUyBggAEEUYOTIICAEQABgWGB7SAQg3NjgwajFqN6gCALACAA&amp;sourceid=chrome&amp;ie=UTF-8"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en.wikipedia.org/wiki/Tunisia" TargetMode="External"/><Relationship Id="rId1" Type="http://schemas.openxmlformats.org/officeDocument/2006/relationships/hyperlink" Target="https://ourworldindata.org/grapher/above-ground-biomass-in-forest-per-hectare"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s://www.statista.com/statistics/524575/share-of-economic-sectors-in-the-gdp-in-tunisia/" TargetMode="External"/><Relationship Id="rId1" Type="http://schemas.openxmlformats.org/officeDocument/2006/relationships/hyperlink" Target="https://ourworldindata.org/grapher/above-ground-biomass-in-forest-per-hectare"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fwi.co.uk/arable/land-preparation/soils/how-to-accurately-measure-the-organic-carbon-content-of-soil" TargetMode="External"/><Relationship Id="rId1" Type="http://schemas.openxmlformats.org/officeDocument/2006/relationships/hyperlink" Target="https://en.wikipedia.org/wiki/Soil_carbon"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www.rff.org/news/press-releases/social-cost-of-carbon-more-than-triple-the-current-federal-estimate-new-study-finds/" TargetMode="External"/><Relationship Id="rId3" Type="http://schemas.openxmlformats.org/officeDocument/2006/relationships/hyperlink" Target="https://www.nature.com/articles/s41893-019-0438-4" TargetMode="External"/><Relationship Id="rId7" Type="http://schemas.openxmlformats.org/officeDocument/2006/relationships/hyperlink" Target="https://openknowledge.worldbank.org/entities/publication/a1abead2-de91-5992-bb7a-73d8aaaf767f/full" TargetMode="External"/><Relationship Id="rId12" Type="http://schemas.microsoft.com/office/2017/10/relationships/threadedComment" Target="../threadedComments/threadedComment2.xml"/><Relationship Id="rId2" Type="http://schemas.openxmlformats.org/officeDocument/2006/relationships/hyperlink" Target="https://repository.cimmyt.org/bitstream/handle/10883/1257/81430.pdf?sequence=1&amp;isAllowed=y" TargetMode="External"/><Relationship Id="rId1" Type="http://schemas.openxmlformats.org/officeDocument/2006/relationships/hyperlink" Target="https://www.semanticscholar.org/paper/Differences-in-grain%2Fstraw-ratio%2C-protein-content-Konvalina-Stehno/c8920241b02879926ffb06363c1fe2306dde4d96/figure/4" TargetMode="External"/><Relationship Id="rId6" Type="http://schemas.openxmlformats.org/officeDocument/2006/relationships/hyperlink" Target="https://beef2live.com/story-top-20-largest-wheat-exporters-world-0-206491" TargetMode="External"/><Relationship Id="rId11" Type="http://schemas.openxmlformats.org/officeDocument/2006/relationships/comments" Target="../comments2.xml"/><Relationship Id="rId5" Type="http://schemas.openxmlformats.org/officeDocument/2006/relationships/hyperlink" Target="https://apps.fas.usda.gov/psdonline/circulars/grain.pdf" TargetMode="External"/><Relationship Id="rId10" Type="http://schemas.openxmlformats.org/officeDocument/2006/relationships/vmlDrawing" Target="../drawings/vmlDrawing2.vml"/><Relationship Id="rId4"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 Id="rId9"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8" Type="http://schemas.openxmlformats.org/officeDocument/2006/relationships/hyperlink" Target="https://www.rff.org/news/press-releases/social-cost-of-carbon-more-than-triple-the-current-federal-estimate-new-study-finds/" TargetMode="External"/><Relationship Id="rId3"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 Id="rId7" Type="http://schemas.openxmlformats.org/officeDocument/2006/relationships/hyperlink" Target="https://openknowledge.worldbank.org/entities/publication/a1abead2-de91-5992-bb7a-73d8aaaf767f/full" TargetMode="External"/><Relationship Id="rId2" Type="http://schemas.openxmlformats.org/officeDocument/2006/relationships/hyperlink" Target="https://repository.cimmyt.org/bitstream/handle/10883/1257/81430.pdf?sequence=1&amp;isAllowed=y" TargetMode="External"/><Relationship Id="rId1" Type="http://schemas.openxmlformats.org/officeDocument/2006/relationships/hyperlink" Target="https://www.semanticscholar.org/paper/Differences-in-grain%2Fstraw-ratio%2C-protein-content-Konvalina-Stehno/c8920241b02879926ffb06363c1fe2306dde4d96/figure/4" TargetMode="External"/><Relationship Id="rId6" Type="http://schemas.openxmlformats.org/officeDocument/2006/relationships/hyperlink" Target="https://www.nature.com/articles/s41893-019-0438-4" TargetMode="External"/><Relationship Id="rId5" Type="http://schemas.openxmlformats.org/officeDocument/2006/relationships/hyperlink" Target="https://beef2live.com/story-top-20-largest-wheat-exporters-world-0-206491" TargetMode="External"/><Relationship Id="rId4" Type="http://schemas.openxmlformats.org/officeDocument/2006/relationships/hyperlink" Target="https://apps.fas.usda.gov/psdonline/circulars/grain.pdf"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s://www.atmos-chem-phys-discuss.net/acp-2017-1113/acp-2017-1113-supplement.pdf" TargetMode="External"/><Relationship Id="rId7" Type="http://schemas.openxmlformats.org/officeDocument/2006/relationships/hyperlink" Target="https://www.rff.org/news/press-releases/social-cost-of-carbon-more-than-triple-the-current-federal-estimate-new-study-finds/" TargetMode="External"/><Relationship Id="rId2" Type="http://schemas.openxmlformats.org/officeDocument/2006/relationships/hyperlink" Target="https://beef2live.com/story-top-20-largest-wheat-exporters-world-0-206491" TargetMode="External"/><Relationship Id="rId1" Type="http://schemas.openxmlformats.org/officeDocument/2006/relationships/hyperlink" Target="https://apps.fas.usda.gov/psdonline/circulars/grain.pdf" TargetMode="External"/><Relationship Id="rId6" Type="http://schemas.openxmlformats.org/officeDocument/2006/relationships/hyperlink" Target="https://openknowledge.worldbank.org/entities/publication/a1abead2-de91-5992-bb7a-73d8aaaf767f/full" TargetMode="External"/><Relationship Id="rId5" Type="http://schemas.openxmlformats.org/officeDocument/2006/relationships/hyperlink" Target="https://www.nature.com/articles/s41893-019-0438-4" TargetMode="External"/><Relationship Id="rId4"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 Id="rId7" Type="http://schemas.openxmlformats.org/officeDocument/2006/relationships/hyperlink" Target="https://www.rff.org/news/press-releases/social-cost-of-carbon-more-than-triple-the-current-federal-estimate-new-study-finds/" TargetMode="External"/><Relationship Id="rId2" Type="http://schemas.openxmlformats.org/officeDocument/2006/relationships/hyperlink" Target="https://beef2live.com/story-top-20-largest-wheat-exporters-world-0-206491" TargetMode="External"/><Relationship Id="rId1" Type="http://schemas.openxmlformats.org/officeDocument/2006/relationships/hyperlink" Target="https://apps.fas.usda.gov/psdonline/circulars/grain.pdf" TargetMode="External"/><Relationship Id="rId6" Type="http://schemas.openxmlformats.org/officeDocument/2006/relationships/hyperlink" Target="https://openknowledge.worldbank.org/entities/publication/a1abead2-de91-5992-bb7a-73d8aaaf767f/full" TargetMode="External"/><Relationship Id="rId5" Type="http://schemas.openxmlformats.org/officeDocument/2006/relationships/hyperlink" Target="https://www.nature.com/articles/s41893-019-0438-4" TargetMode="External"/><Relationship Id="rId4" Type="http://schemas.openxmlformats.org/officeDocument/2006/relationships/hyperlink" Target="https://www.atmos-chem-phys-discuss.net/acp-2017-1113/acp-2017-1113-supplement.pdf"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s://www.rff.org/news/press-releases/social-cost-of-carbon-more-than-triple-the-current-federal-estimate-new-study-finds/" TargetMode="External"/><Relationship Id="rId3" Type="http://schemas.openxmlformats.org/officeDocument/2006/relationships/hyperlink" Target="https://apps.fas.usda.gov/psdonline/circulars/grain.pdf" TargetMode="External"/><Relationship Id="rId7" Type="http://schemas.openxmlformats.org/officeDocument/2006/relationships/hyperlink" Target="https://openknowledge.worldbank.org/entities/publication/a1abead2-de91-5992-bb7a-73d8aaaf767f/full" TargetMode="External"/><Relationship Id="rId2"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 Id="rId1" Type="http://schemas.openxmlformats.org/officeDocument/2006/relationships/hyperlink" Target="https://www.semanticscholar.org/paper/Differences-in-grain%2Fstraw-ratio%2C-protein-content-Konvalina-Stehno/c8920241b02879926ffb06363c1fe2306dde4d96/figure/4" TargetMode="External"/><Relationship Id="rId6" Type="http://schemas.openxmlformats.org/officeDocument/2006/relationships/hyperlink" Target="https://www.nature.com/articles/s41893-019-0438-4" TargetMode="External"/><Relationship Id="rId5" Type="http://schemas.openxmlformats.org/officeDocument/2006/relationships/hyperlink" Target="https://www.atmos-chem-phys-discuss.net/acp-2017-1113/acp-2017-1113-supplement.pdf" TargetMode="External"/><Relationship Id="rId4" Type="http://schemas.openxmlformats.org/officeDocument/2006/relationships/hyperlink" Target="https://beef2live.com/story-top-20-largest-wheat-exporters-world-0-206491" TargetMode="External"/></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beef2live.com/story-top-20-largest-wheat-exporters-world-0-206491" TargetMode="External"/><Relationship Id="rId7" Type="http://schemas.openxmlformats.org/officeDocument/2006/relationships/hyperlink" Target="https://www.rff.org/news/press-releases/social-cost-of-carbon-more-than-triple-the-current-federal-estimate-new-study-finds/" TargetMode="External"/><Relationship Id="rId2"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 Id="rId1" Type="http://schemas.openxmlformats.org/officeDocument/2006/relationships/hyperlink" Target="https://www.semanticscholar.org/paper/Differences-in-grain%2Fstraw-ratio%2C-protein-content-Konvalina-Stehno/c8920241b02879926ffb06363c1fe2306dde4d96/figure/4" TargetMode="External"/><Relationship Id="rId6" Type="http://schemas.openxmlformats.org/officeDocument/2006/relationships/hyperlink" Target="https://openknowledge.worldbank.org/entities/publication/a1abead2-de91-5992-bb7a-73d8aaaf767f/full" TargetMode="External"/><Relationship Id="rId5" Type="http://schemas.openxmlformats.org/officeDocument/2006/relationships/hyperlink" Target="https://www.nature.com/articles/s41893-019-0438-4" TargetMode="External"/><Relationship Id="rId4" Type="http://schemas.openxmlformats.org/officeDocument/2006/relationships/hyperlink" Target="https://www.atmos-chem-phys-discuss.net/acp-2017-1113/acp-2017-1113-supplement.pdf" TargetMode="External"/></Relationships>
</file>

<file path=xl/worksheets/_rels/sheet20.xml.rels><?xml version="1.0" encoding="UTF-8" standalone="yes"?>
<Relationships xmlns="http://schemas.openxmlformats.org/package/2006/relationships"><Relationship Id="rId2" Type="http://schemas.openxmlformats.org/officeDocument/2006/relationships/hyperlink" Target="https://www.rff.org/news/press-releases/social-cost-of-carbon-more-than-triple-the-current-federal-estimate-new-study-finds/" TargetMode="External"/><Relationship Id="rId1" Type="http://schemas.openxmlformats.org/officeDocument/2006/relationships/hyperlink" Target="https://openknowledge.worldbank.org/entities/publication/a1abead2-de91-5992-bb7a-73d8aaaf767f/full"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s://openknowledge.worldbank.org/entities/publication/a1abead2-de91-5992-bb7a-73d8aaaf767f/full" TargetMode="External"/><Relationship Id="rId2" Type="http://schemas.openxmlformats.org/officeDocument/2006/relationships/hyperlink" Target="https://ecoscore.be/en/info/ecoscore/co2" TargetMode="External"/><Relationship Id="rId1" Type="http://schemas.openxmlformats.org/officeDocument/2006/relationships/hyperlink" Target="https://www.ocean.washington.edu/courses/envir215/energynumbers.pdf" TargetMode="External"/><Relationship Id="rId4" Type="http://schemas.openxmlformats.org/officeDocument/2006/relationships/hyperlink" Target="https://www.rff.org/news/press-releases/social-cost-of-carbon-more-than-triple-the-current-federal-estimate-new-study-finds/"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4.xml.rels><?xml version="1.0" encoding="UTF-8" standalone="yes"?>
<Relationships xmlns="http://schemas.openxmlformats.org/package/2006/relationships"><Relationship Id="rId8" Type="http://schemas.openxmlformats.org/officeDocument/2006/relationships/hyperlink" Target="https://www.rff.org/news/press-releases/social-cost-of-carbon-more-than-triple-the-current-federal-estimate-new-study-finds/" TargetMode="External"/><Relationship Id="rId3" Type="http://schemas.openxmlformats.org/officeDocument/2006/relationships/hyperlink" Target="https://www.nature.com/articles/s41893-019-0438-4" TargetMode="External"/><Relationship Id="rId7" Type="http://schemas.openxmlformats.org/officeDocument/2006/relationships/hyperlink" Target="https://openknowledge.worldbank.org/entities/publication/a1abead2-de91-5992-bb7a-73d8aaaf767f/full" TargetMode="External"/><Relationship Id="rId2" Type="http://schemas.openxmlformats.org/officeDocument/2006/relationships/hyperlink" Target="https://repository.cimmyt.org/bitstream/handle/10883/1257/81430.pdf?sequence=1&amp;isAllowed=y" TargetMode="External"/><Relationship Id="rId1" Type="http://schemas.openxmlformats.org/officeDocument/2006/relationships/hyperlink" Target="https://www.semanticscholar.org/paper/Differences-in-grain%2Fstraw-ratio%2C-protein-content-Konvalina-Stehno/c8920241b02879926ffb06363c1fe2306dde4d96/figure/4" TargetMode="External"/><Relationship Id="rId6" Type="http://schemas.openxmlformats.org/officeDocument/2006/relationships/hyperlink" Target="https://beef2live.com/story-top-20-largest-wheat-exporters-world-0-206491" TargetMode="External"/><Relationship Id="rId5" Type="http://schemas.openxmlformats.org/officeDocument/2006/relationships/hyperlink" Target="https://apps.fas.usda.gov/psdonline/circulars/grain.pdf" TargetMode="External"/><Relationship Id="rId4"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s>
</file>

<file path=xl/worksheets/_rels/sheet25.xml.rels><?xml version="1.0" encoding="UTF-8" standalone="yes"?>
<Relationships xmlns="http://schemas.openxmlformats.org/package/2006/relationships"><Relationship Id="rId8" Type="http://schemas.openxmlformats.org/officeDocument/2006/relationships/hyperlink" Target="https://www.rff.org/news/press-releases/social-cost-of-carbon-more-than-triple-the-current-federal-estimate-new-study-finds/" TargetMode="External"/><Relationship Id="rId3" Type="http://schemas.openxmlformats.org/officeDocument/2006/relationships/hyperlink" Target="https://www.nature.com/articles/s41893-019-0438-4" TargetMode="External"/><Relationship Id="rId7" Type="http://schemas.openxmlformats.org/officeDocument/2006/relationships/hyperlink" Target="https://openknowledge.worldbank.org/entities/publication/a1abead2-de91-5992-bb7a-73d8aaaf767f/full" TargetMode="External"/><Relationship Id="rId2" Type="http://schemas.openxmlformats.org/officeDocument/2006/relationships/hyperlink" Target="https://repository.cimmyt.org/bitstream/handle/10883/1257/81430.pdf?sequence=1&amp;isAllowed=y" TargetMode="External"/><Relationship Id="rId1" Type="http://schemas.openxmlformats.org/officeDocument/2006/relationships/hyperlink" Target="https://www.semanticscholar.org/paper/Differences-in-grain%2Fstraw-ratio%2C-protein-content-Konvalina-Stehno/c8920241b02879926ffb06363c1fe2306dde4d96/figure/4" TargetMode="External"/><Relationship Id="rId6" Type="http://schemas.openxmlformats.org/officeDocument/2006/relationships/hyperlink" Target="https://beef2live.com/story-top-20-largest-wheat-exporters-world-0-206491" TargetMode="External"/><Relationship Id="rId5" Type="http://schemas.openxmlformats.org/officeDocument/2006/relationships/hyperlink" Target="https://apps.fas.usda.gov/psdonline/circulars/grain.pdf" TargetMode="External"/><Relationship Id="rId4"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 Id="rId9" Type="http://schemas.openxmlformats.org/officeDocument/2006/relationships/printerSettings" Target="../printerSettings/printerSettings7.bin"/></Relationships>
</file>

<file path=xl/worksheets/_rels/sheet26.xml.rels><?xml version="1.0" encoding="UTF-8" standalone="yes"?>
<Relationships xmlns="http://schemas.openxmlformats.org/package/2006/relationships"><Relationship Id="rId8" Type="http://schemas.openxmlformats.org/officeDocument/2006/relationships/vmlDrawing" Target="../drawings/vmlDrawing3.vml"/><Relationship Id="rId3" Type="http://schemas.openxmlformats.org/officeDocument/2006/relationships/hyperlink" Target="https://www.nature.com/articles/s41893-019-0438-4" TargetMode="External"/><Relationship Id="rId7" Type="http://schemas.openxmlformats.org/officeDocument/2006/relationships/printerSettings" Target="../printerSettings/printerSettings8.bin"/><Relationship Id="rId2" Type="http://schemas.openxmlformats.org/officeDocument/2006/relationships/hyperlink" Target="https://repository.cimmyt.org/bitstream/handle/10883/1257/81430.pdf?sequence=1&amp;isAllowed=y" TargetMode="External"/><Relationship Id="rId1" Type="http://schemas.openxmlformats.org/officeDocument/2006/relationships/hyperlink" Target="https://www.semanticscholar.org/paper/Differences-in-grain%2Fstraw-ratio%2C-protein-content-Konvalina-Stehno/c8920241b02879926ffb06363c1fe2306dde4d96/figure/4" TargetMode="External"/><Relationship Id="rId6" Type="http://schemas.openxmlformats.org/officeDocument/2006/relationships/hyperlink" Target="https://www.rff.org/news/press-releases/social-cost-of-carbon-more-than-triple-the-current-federal-estimate-new-study-finds/" TargetMode="External"/><Relationship Id="rId5" Type="http://schemas.openxmlformats.org/officeDocument/2006/relationships/hyperlink" Target="https://openknowledge.worldbank.org/entities/publication/a1abead2-de91-5992-bb7a-73d8aaaf767f/full" TargetMode="External"/><Relationship Id="rId10" Type="http://schemas.microsoft.com/office/2017/10/relationships/threadedComment" Target="../threadedComments/threadedComment3.xml"/><Relationship Id="rId4" Type="http://schemas.openxmlformats.org/officeDocument/2006/relationships/hyperlink" Target="https://www.researchgate.net/publication/317051989_A_Spatially_Explicit_Optimization_Model_for_Agricultural_Straw-Based_Power_Plant_Site_Selection_A_Case_Study_in_Hubei_Province_China/figures?lo=1" TargetMode="External"/><Relationship Id="rId9" Type="http://schemas.openxmlformats.org/officeDocument/2006/relationships/comments" Target="../comments3.xml"/></Relationships>
</file>

<file path=xl/worksheets/_rels/sheet28.xml.rels><?xml version="1.0" encoding="UTF-8" standalone="yes"?>
<Relationships xmlns="http://schemas.openxmlformats.org/package/2006/relationships"><Relationship Id="rId2" Type="http://schemas.openxmlformats.org/officeDocument/2006/relationships/hyperlink" Target="https://www.globalforestwatch.org/dashboards/country/TUN/?widget=lossLocated" TargetMode="External"/><Relationship Id="rId1" Type="http://schemas.openxmlformats.org/officeDocument/2006/relationships/hyperlink" Target="https://www.globalforestwatch.org/dashboards/country/TUN/23/" TargetMode="External"/></Relationships>
</file>

<file path=xl/worksheets/_rels/sheet29.xml.rels><?xml version="1.0" encoding="UTF-8" standalone="yes"?>
<Relationships xmlns="http://schemas.openxmlformats.org/package/2006/relationships"><Relationship Id="rId8" Type="http://schemas.openxmlformats.org/officeDocument/2006/relationships/hyperlink" Target="https://ourworldindata.org/grapher/above-ground-biomass-in-forest-per-hectare" TargetMode="External"/><Relationship Id="rId13" Type="http://schemas.openxmlformats.org/officeDocument/2006/relationships/hyperlink" Target="https://cedarstripkayak.wordpress.com/lumber-selection/162-2/" TargetMode="External"/><Relationship Id="rId18" Type="http://schemas.microsoft.com/office/2017/10/relationships/threadedComment" Target="../threadedComments/threadedComment4.xml"/><Relationship Id="rId3" Type="http://schemas.openxmlformats.org/officeDocument/2006/relationships/hyperlink" Target="http://www.fao.org/3/y1997e/y1997e07.htm" TargetMode="External"/><Relationship Id="rId7" Type="http://schemas.openxmlformats.org/officeDocument/2006/relationships/hyperlink" Target="https://openknowledge.worldbank.org/entities/publication/a1abead2-de91-5992-bb7a-73d8aaaf767f/full" TargetMode="External"/><Relationship Id="rId12" Type="http://schemas.openxmlformats.org/officeDocument/2006/relationships/hyperlink" Target="http://www.fao.org/forestry/8962-033da6f6c7864a34f23f2fd7b4bf196e5.pdf" TargetMode="External"/><Relationship Id="rId17" Type="http://schemas.openxmlformats.org/officeDocument/2006/relationships/comments" Target="../comments4.xml"/><Relationship Id="rId2" Type="http://schemas.openxmlformats.org/officeDocument/2006/relationships/hyperlink" Target="http://www.fao.org/3/y1997e/y1997e07.htm" TargetMode="External"/><Relationship Id="rId16" Type="http://schemas.openxmlformats.org/officeDocument/2006/relationships/vmlDrawing" Target="../drawings/vmlDrawing4.vml"/><Relationship Id="rId1" Type="http://schemas.openxmlformats.org/officeDocument/2006/relationships/hyperlink" Target="http://www.fao.org/3/y1997e/y1997e0b.jpg" TargetMode="External"/><Relationship Id="rId6" Type="http://schemas.openxmlformats.org/officeDocument/2006/relationships/hyperlink" Target="https://www.rff.org/news/press-releases/social-cost-of-carbon-more-than-triple-the-current-federal-estimate-new-study-finds/" TargetMode="External"/><Relationship Id="rId11" Type="http://schemas.openxmlformats.org/officeDocument/2006/relationships/hyperlink" Target="https://www.wood-database.com/pistachio/" TargetMode="External"/><Relationship Id="rId5" Type="http://schemas.openxmlformats.org/officeDocument/2006/relationships/hyperlink" Target="chrome-extension://efaidnbmnnnibpcajpcglclefindmkaj/https:/www3.uwsp.edu/cnr-ap/KEEP/Documents/Activities/Energy%20Fact%20Sheets/FactsAboutWood.pdf" TargetMode="External"/><Relationship Id="rId15" Type="http://schemas.openxmlformats.org/officeDocument/2006/relationships/printerSettings" Target="../printerSettings/printerSettings9.bin"/><Relationship Id="rId10" Type="http://schemas.openxmlformats.org/officeDocument/2006/relationships/hyperlink" Target="https://unece.org/fileadmin/DAM/timber/docs/dp/dp-45.pdf" TargetMode="External"/><Relationship Id="rId4" Type="http://schemas.openxmlformats.org/officeDocument/2006/relationships/hyperlink" Target="http://www.fao.org/forestry/8962-033da6f6c7864a34f23f2fd7b4bf196e5.pdf" TargetMode="External"/><Relationship Id="rId9" Type="http://schemas.openxmlformats.org/officeDocument/2006/relationships/hyperlink" Target="https://www.nature.com/articles/s41893-019-0438-4" TargetMode="External"/><Relationship Id="rId14" Type="http://schemas.openxmlformats.org/officeDocument/2006/relationships/hyperlink" Target="https://www.vcalc.com/equation/?uuid=bb93cdbc-b57a-11e5-9770-bc764e2038f2"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www.rff.org/news/press-releases/social-cost-of-carbon-more-than-triple-the-current-federal-estimate-new-study-finds/" TargetMode="External"/><Relationship Id="rId2" Type="http://schemas.openxmlformats.org/officeDocument/2006/relationships/hyperlink" Target="https://openknowledge.worldbank.org/entities/publication/a1abead2-de91-5992-bb7a-73d8aaaf767f/full" TargetMode="External"/><Relationship Id="rId1" Type="http://schemas.openxmlformats.org/officeDocument/2006/relationships/hyperlink" Target="https://sgp.undp.org/case-studies-189/528-sgp-uzbekistan-improving-irrigation-efficiency-and-lowering-energy-consumption/file.html" TargetMode="External"/><Relationship Id="rId5" Type="http://schemas.openxmlformats.org/officeDocument/2006/relationships/printerSettings" Target="../printerSettings/printerSettings10.bin"/><Relationship Id="rId4" Type="http://schemas.openxmlformats.org/officeDocument/2006/relationships/hyperlink" Target="https://www.selinawamucii.com/insights/prices/tunisia/wheat/" TargetMode="External"/></Relationships>
</file>

<file path=xl/worksheets/_rels/sheet3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epa.gov/energy/greenhouse-gas-equivalencies-calculator" TargetMode="Externa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data.worldbank.org/indicator/EN.ATM.CO2E.PC?locations=UZ" TargetMode="External"/><Relationship Id="rId1" Type="http://schemas.openxmlformats.org/officeDocument/2006/relationships/hyperlink" Target="https://www.climatelinks.org/sites/default/files/asset/document/2019_USAID_Uzbekistan%20Factsheet.pdf" TargetMode="External"/></Relationships>
</file>

<file path=xl/worksheets/_rels/sheet33.xml.rels><?xml version="1.0" encoding="UTF-8" standalone="yes"?>
<Relationships xmlns="http://schemas.openxmlformats.org/package/2006/relationships"><Relationship Id="rId8" Type="http://schemas.microsoft.com/office/2017/10/relationships/threadedComment" Target="../threadedComments/threadedComment5.xml"/><Relationship Id="rId3" Type="http://schemas.openxmlformats.org/officeDocument/2006/relationships/hyperlink" Target="https://beef2live.com/story-top-20-largest-wheat-exporters-world-0-206491" TargetMode="External"/><Relationship Id="rId7" Type="http://schemas.openxmlformats.org/officeDocument/2006/relationships/comments" Target="../comments5.xml"/><Relationship Id="rId2" Type="http://schemas.openxmlformats.org/officeDocument/2006/relationships/hyperlink" Target="https://apps.fas.usda.gov/psdonline/circulars/grain.pdf" TargetMode="External"/><Relationship Id="rId1" Type="http://schemas.openxmlformats.org/officeDocument/2006/relationships/hyperlink" Target="https://www.nature.com/articles/s41893-019-0438-4" TargetMode="External"/><Relationship Id="rId6" Type="http://schemas.openxmlformats.org/officeDocument/2006/relationships/vmlDrawing" Target="../drawings/vmlDrawing5.vml"/><Relationship Id="rId5" Type="http://schemas.openxmlformats.org/officeDocument/2006/relationships/hyperlink" Target="https://www.rff.org/news/press-releases/social-cost-of-carbon-more-than-triple-the-current-federal-estimate-new-study-finds/" TargetMode="External"/><Relationship Id="rId4" Type="http://schemas.openxmlformats.org/officeDocument/2006/relationships/hyperlink" Target="https://openknowledge.worldbank.org/entities/publication/a1abead2-de91-5992-bb7a-73d8aaaf767f/full" TargetMode="Externa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5.xml.rels><?xml version="1.0" encoding="UTF-8" standalone="yes"?>
<Relationships xmlns="http://schemas.openxmlformats.org/package/2006/relationships"><Relationship Id="rId1" Type="http://schemas.openxmlformats.org/officeDocument/2006/relationships/hyperlink" Target="chrome-extension://efaidnbmnnnibpcajpcglclefindmkaj/https:/documents1.worldbank.org/curated/en/445831468760782622/pdf/299020Cost0Env1isia0EDP19701public1.pdf" TargetMode="Externa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14.bin"/><Relationship Id="rId1" Type="http://schemas.openxmlformats.org/officeDocument/2006/relationships/hyperlink" Target="https://www.statista.com/statistics/1011036/tunisia-share-of-gdp-by-economic-activity/" TargetMode="External"/><Relationship Id="rId4" Type="http://schemas.openxmlformats.org/officeDocument/2006/relationships/comments" Target="../comments6.xm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www.statista.com/statistics/1258304/agriculture-and-fisheries-annual-contribution-to-gdp-in-tunisia/" TargetMode="External"/><Relationship Id="rId1" Type="http://schemas.openxmlformats.org/officeDocument/2006/relationships/hyperlink" Target="https://www.afdb.org/sites/default/files/documents/publications/economic_performance_of_the_timber_industry_in_north_africa.pdf" TargetMode="External"/><Relationship Id="rId6" Type="http://schemas.microsoft.com/office/2017/10/relationships/threadedComment" Target="../threadedComments/threadedComment6.xml"/><Relationship Id="rId5" Type="http://schemas.openxmlformats.org/officeDocument/2006/relationships/comments" Target="../comments7.xml"/><Relationship Id="rId4"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0BA67-5CDE-4644-B70A-71D6C14F8D84}">
  <dimension ref="B1:J24"/>
  <sheetViews>
    <sheetView tabSelected="1" workbookViewId="0">
      <selection activeCell="B3" sqref="B3"/>
    </sheetView>
  </sheetViews>
  <sheetFormatPr defaultColWidth="8.85546875" defaultRowHeight="15" x14ac:dyDescent="0.25"/>
  <cols>
    <col min="2" max="2" width="28.5703125" customWidth="1"/>
    <col min="3" max="3" width="29.85546875" customWidth="1"/>
    <col min="4" max="4" width="19.140625" customWidth="1"/>
    <col min="5" max="5" width="31.42578125" customWidth="1"/>
  </cols>
  <sheetData>
    <row r="1" spans="2:10" ht="28.5" x14ac:dyDescent="0.45">
      <c r="B1" s="706" t="s">
        <v>1255</v>
      </c>
    </row>
    <row r="2" spans="2:10" ht="21" x14ac:dyDescent="0.35">
      <c r="B2" s="621" t="s">
        <v>1253</v>
      </c>
      <c r="C2" s="621"/>
      <c r="D2" s="621"/>
      <c r="E2" s="621"/>
      <c r="F2" s="88"/>
      <c r="G2" s="3"/>
      <c r="H2" s="3"/>
      <c r="I2" s="3"/>
    </row>
    <row r="3" spans="2:10" ht="21" x14ac:dyDescent="0.35">
      <c r="B3" s="622" t="s">
        <v>1254</v>
      </c>
      <c r="C3" s="622"/>
      <c r="D3" s="622"/>
      <c r="E3" s="622"/>
      <c r="F3" s="88"/>
      <c r="G3" s="1"/>
      <c r="H3" s="1"/>
      <c r="I3" s="1"/>
      <c r="J3" s="1"/>
    </row>
    <row r="4" spans="2:10" ht="43.5" customHeight="1" x14ac:dyDescent="0.35">
      <c r="B4" s="753" t="s">
        <v>1256</v>
      </c>
      <c r="C4" s="753"/>
      <c r="D4" s="753"/>
      <c r="E4" s="753"/>
    </row>
    <row r="5" spans="2:10" ht="43.5" customHeight="1" x14ac:dyDescent="0.35">
      <c r="B5" s="752" t="s">
        <v>1257</v>
      </c>
      <c r="C5" s="752"/>
      <c r="D5" s="752"/>
      <c r="E5" s="752"/>
    </row>
    <row r="6" spans="2:10" ht="21" x14ac:dyDescent="0.35">
      <c r="B6" s="712" t="s">
        <v>1261</v>
      </c>
      <c r="C6" s="712"/>
      <c r="D6" s="712"/>
      <c r="E6" s="712"/>
    </row>
    <row r="8" spans="2:10" ht="21" x14ac:dyDescent="0.35">
      <c r="B8" s="751" t="s">
        <v>1264</v>
      </c>
      <c r="C8" s="751"/>
      <c r="D8" s="17"/>
    </row>
    <row r="9" spans="2:10" ht="45" x14ac:dyDescent="0.25">
      <c r="B9" s="85" t="s">
        <v>1183</v>
      </c>
      <c r="C9" s="85" t="s">
        <v>1176</v>
      </c>
      <c r="D9" s="85" t="s">
        <v>1178</v>
      </c>
      <c r="E9" s="16" t="s">
        <v>1177</v>
      </c>
    </row>
    <row r="10" spans="2:10" x14ac:dyDescent="0.25">
      <c r="B10" s="13" t="s">
        <v>1170</v>
      </c>
      <c r="C10" s="13"/>
      <c r="D10" s="13"/>
      <c r="E10" s="13"/>
    </row>
    <row r="11" spans="2:10" x14ac:dyDescent="0.25">
      <c r="B11" s="13" t="s">
        <v>1171</v>
      </c>
      <c r="C11" s="13"/>
      <c r="D11" s="13"/>
      <c r="E11" s="13"/>
    </row>
    <row r="12" spans="2:10" x14ac:dyDescent="0.25">
      <c r="B12" s="13" t="s">
        <v>1172</v>
      </c>
      <c r="C12" s="13"/>
      <c r="D12" s="13"/>
      <c r="E12" s="13"/>
    </row>
    <row r="13" spans="2:10" x14ac:dyDescent="0.25">
      <c r="B13" s="13" t="s">
        <v>1173</v>
      </c>
      <c r="C13" s="13"/>
      <c r="D13" s="13"/>
      <c r="E13" s="13"/>
    </row>
    <row r="14" spans="2:10" x14ac:dyDescent="0.25">
      <c r="B14" s="13" t="s">
        <v>1174</v>
      </c>
      <c r="C14" s="13"/>
      <c r="D14" s="13"/>
      <c r="E14" s="13"/>
    </row>
    <row r="15" spans="2:10" x14ac:dyDescent="0.25">
      <c r="B15" s="13" t="s">
        <v>1175</v>
      </c>
      <c r="C15" s="13"/>
      <c r="D15" s="13"/>
      <c r="E15" s="13"/>
    </row>
    <row r="16" spans="2:10" x14ac:dyDescent="0.25">
      <c r="B16" s="13" t="s">
        <v>1179</v>
      </c>
      <c r="C16" s="13"/>
      <c r="D16" s="13"/>
      <c r="E16" s="13"/>
    </row>
    <row r="17" spans="2:5" x14ac:dyDescent="0.25">
      <c r="B17" s="13" t="s">
        <v>1180</v>
      </c>
      <c r="C17" s="13"/>
      <c r="D17" s="13"/>
      <c r="E17" s="13"/>
    </row>
    <row r="18" spans="2:5" x14ac:dyDescent="0.25">
      <c r="B18" s="13" t="s">
        <v>1181</v>
      </c>
      <c r="C18" s="13"/>
      <c r="D18" s="13"/>
      <c r="E18" s="13"/>
    </row>
    <row r="19" spans="2:5" x14ac:dyDescent="0.25">
      <c r="B19" s="13" t="s">
        <v>1182</v>
      </c>
      <c r="C19" s="13"/>
      <c r="D19" s="13"/>
      <c r="E19" s="13"/>
    </row>
    <row r="20" spans="2:5" x14ac:dyDescent="0.25">
      <c r="B20" s="13"/>
      <c r="C20" s="13"/>
      <c r="D20" s="13"/>
      <c r="E20" s="13"/>
    </row>
    <row r="21" spans="2:5" x14ac:dyDescent="0.25">
      <c r="B21" s="13"/>
      <c r="C21" s="13"/>
      <c r="D21" s="13"/>
      <c r="E21" s="13"/>
    </row>
    <row r="22" spans="2:5" x14ac:dyDescent="0.25">
      <c r="B22" s="13"/>
      <c r="C22" s="13"/>
      <c r="D22" s="13"/>
      <c r="E22" s="13"/>
    </row>
    <row r="23" spans="2:5" x14ac:dyDescent="0.25">
      <c r="B23" s="13"/>
      <c r="C23" s="13"/>
      <c r="D23" s="13"/>
      <c r="E23" s="13"/>
    </row>
    <row r="24" spans="2:5" x14ac:dyDescent="0.25">
      <c r="B24" s="13"/>
      <c r="C24" s="13"/>
      <c r="D24" s="13"/>
      <c r="E24" s="13"/>
    </row>
  </sheetData>
  <mergeCells count="3">
    <mergeCell ref="B8:C8"/>
    <mergeCell ref="B5:E5"/>
    <mergeCell ref="B4:E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9C6E8-C625-4341-B580-9BD5B5EE6321}">
  <dimension ref="A1:FP42"/>
  <sheetViews>
    <sheetView topLeftCell="FF6" workbookViewId="0">
      <selection activeCell="FL8" sqref="FL8"/>
    </sheetView>
  </sheetViews>
  <sheetFormatPr defaultColWidth="11.42578125" defaultRowHeight="15" x14ac:dyDescent="0.25"/>
  <cols>
    <col min="2" max="2" width="11.5703125" bestFit="1" customWidth="1"/>
    <col min="3" max="3" width="13.42578125" customWidth="1"/>
    <col min="4" max="4" width="12" customWidth="1"/>
    <col min="5" max="5" width="10.85546875" customWidth="1"/>
    <col min="6" max="6" width="11.85546875" customWidth="1"/>
    <col min="7" max="7" width="13" customWidth="1"/>
    <col min="8" max="8" width="14.5703125" customWidth="1"/>
    <col min="9" max="9" width="13.42578125" customWidth="1"/>
    <col min="10" max="35" width="12" customWidth="1"/>
    <col min="36" max="42" width="16.5703125" customWidth="1"/>
    <col min="43" max="43" width="12" customWidth="1"/>
    <col min="44" max="44" width="11.85546875" bestFit="1" customWidth="1"/>
    <col min="45" max="45" width="15.5703125" customWidth="1"/>
    <col min="46" max="46" width="13.5703125" customWidth="1"/>
    <col min="47" max="48" width="12" customWidth="1"/>
    <col min="49" max="49" width="10.5703125" bestFit="1" customWidth="1"/>
    <col min="50" max="50" width="13.5703125" customWidth="1"/>
    <col min="51" max="51" width="11.5703125" customWidth="1"/>
    <col min="52" max="52" width="12.85546875" customWidth="1"/>
    <col min="53" max="53" width="10.140625" customWidth="1"/>
    <col min="54" max="54" width="15.5703125" customWidth="1"/>
    <col min="55" max="55" width="14" customWidth="1"/>
    <col min="56" max="56" width="16.140625" customWidth="1"/>
    <col min="57" max="57" width="21.5703125" customWidth="1"/>
    <col min="58" max="58" width="18.5703125" customWidth="1"/>
    <col min="59" max="59" width="15.42578125" customWidth="1"/>
    <col min="60" max="60" width="13.85546875" customWidth="1"/>
    <col min="61" max="66" width="15.85546875" customWidth="1"/>
    <col min="67" max="67" width="19.42578125" bestFit="1" customWidth="1"/>
    <col min="68" max="68" width="14.140625" bestFit="1" customWidth="1"/>
    <col min="69" max="70" width="14" customWidth="1"/>
    <col min="71" max="72" width="14.85546875" customWidth="1"/>
    <col min="73" max="73" width="14.140625" customWidth="1"/>
    <col min="74" max="74" width="17" customWidth="1"/>
    <col min="75" max="101" width="12.5703125" customWidth="1"/>
    <col min="102" max="103" width="14.42578125" customWidth="1"/>
    <col min="104" max="104" width="15.42578125" customWidth="1"/>
    <col min="105" max="105" width="15" customWidth="1"/>
    <col min="106" max="106" width="13.42578125" customWidth="1"/>
    <col min="107" max="107" width="15.85546875" customWidth="1"/>
    <col min="108" max="108" width="14.42578125" customWidth="1"/>
    <col min="109" max="109" width="16.5703125" customWidth="1"/>
    <col min="110" max="111" width="13.42578125" customWidth="1"/>
    <col min="112" max="113" width="12.5703125" customWidth="1"/>
    <col min="114" max="114" width="14.140625" customWidth="1"/>
    <col min="115" max="115" width="13" customWidth="1"/>
    <col min="116" max="116" width="15.42578125" customWidth="1"/>
    <col min="117" max="117" width="13.42578125" customWidth="1"/>
    <col min="118" max="118" width="14" customWidth="1"/>
    <col min="119" max="119" width="14.42578125" customWidth="1"/>
    <col min="120" max="120" width="13.85546875" customWidth="1"/>
    <col min="121" max="121" width="17.42578125" customWidth="1"/>
    <col min="122" max="122" width="20.85546875" customWidth="1"/>
    <col min="123" max="123" width="20.5703125" customWidth="1"/>
    <col min="124" max="124" width="16.42578125" customWidth="1"/>
    <col min="125" max="125" width="19.5703125" customWidth="1"/>
    <col min="126" max="126" width="20.85546875" customWidth="1"/>
    <col min="127" max="127" width="19.140625" bestFit="1" customWidth="1"/>
    <col min="128" max="128" width="20.140625" customWidth="1"/>
    <col min="129" max="129" width="22.140625" customWidth="1"/>
    <col min="130" max="130" width="18.5703125" customWidth="1"/>
    <col min="131" max="131" width="10.5703125" bestFit="1" customWidth="1"/>
    <col min="132" max="132" width="13.42578125" customWidth="1"/>
    <col min="133" max="133" width="12.85546875" customWidth="1"/>
    <col min="134" max="144" width="11.140625" customWidth="1"/>
    <col min="145" max="145" width="13.140625" customWidth="1"/>
    <col min="146" max="146" width="13.42578125" customWidth="1"/>
    <col min="147" max="147" width="11.85546875" bestFit="1" customWidth="1"/>
    <col min="149" max="149" width="11.140625" customWidth="1"/>
    <col min="150" max="150" width="10.5703125" bestFit="1" customWidth="1"/>
    <col min="151" max="154" width="10.5703125" customWidth="1"/>
    <col min="155" max="155" width="12.140625" customWidth="1"/>
    <col min="156" max="156" width="10.5703125" customWidth="1"/>
    <col min="157" max="157" width="11.5703125" customWidth="1"/>
    <col min="158" max="158" width="10.5703125" customWidth="1"/>
    <col min="159" max="159" width="14.42578125" customWidth="1"/>
    <col min="160" max="160" width="12.5703125" customWidth="1"/>
    <col min="161" max="161" width="12.140625" customWidth="1"/>
    <col min="162" max="162" width="20.28515625" customWidth="1"/>
    <col min="163" max="163" width="14.5703125" customWidth="1"/>
    <col min="164" max="164" width="19.5703125" customWidth="1"/>
    <col min="165" max="165" width="8.85546875" customWidth="1"/>
    <col min="166" max="166" width="11.85546875" customWidth="1"/>
    <col min="167" max="167" width="10.5703125" bestFit="1" customWidth="1"/>
    <col min="168" max="168" width="19.140625" bestFit="1" customWidth="1"/>
    <col min="169" max="169" width="14" bestFit="1" customWidth="1"/>
    <col min="170" max="170" width="14" customWidth="1"/>
    <col min="171" max="171" width="15.5703125" customWidth="1"/>
  </cols>
  <sheetData>
    <row r="1" spans="1:171" ht="14.45" customHeight="1" x14ac:dyDescent="0.25">
      <c r="DR1" s="44"/>
      <c r="DS1" s="44"/>
      <c r="DT1" s="44"/>
      <c r="DU1" s="44" t="s">
        <v>95</v>
      </c>
      <c r="DV1" s="419">
        <v>58.74</v>
      </c>
      <c r="DW1" s="18" t="s">
        <v>96</v>
      </c>
      <c r="DX1" s="754" t="s">
        <v>97</v>
      </c>
      <c r="DY1" s="754"/>
      <c r="DZ1" s="754"/>
      <c r="EA1" s="754"/>
      <c r="EB1" s="754"/>
    </row>
    <row r="2" spans="1:171" x14ac:dyDescent="0.25">
      <c r="B2" s="59" t="s">
        <v>1185</v>
      </c>
      <c r="DU2" t="s">
        <v>99</v>
      </c>
      <c r="DV2" s="60">
        <v>0.1</v>
      </c>
    </row>
    <row r="3" spans="1:171" ht="28.7" customHeight="1" x14ac:dyDescent="0.25">
      <c r="B3" s="755" t="s">
        <v>100</v>
      </c>
      <c r="C3" s="756" t="s">
        <v>101</v>
      </c>
      <c r="D3" s="756" t="s">
        <v>102</v>
      </c>
      <c r="E3" s="756"/>
      <c r="F3" s="756"/>
      <c r="G3" s="757" t="s">
        <v>1186</v>
      </c>
      <c r="H3" s="758"/>
      <c r="I3" s="758"/>
      <c r="J3" s="758"/>
      <c r="K3" s="758"/>
      <c r="L3" s="758"/>
      <c r="M3" s="758"/>
      <c r="N3" s="758"/>
      <c r="O3" s="758"/>
      <c r="P3" s="758"/>
      <c r="Q3" s="758"/>
      <c r="R3" s="758"/>
      <c r="S3" s="758"/>
      <c r="T3" s="758"/>
      <c r="U3" s="758"/>
      <c r="V3" s="758"/>
      <c r="W3" s="758"/>
      <c r="X3" s="758"/>
      <c r="Y3" s="758"/>
      <c r="Z3" s="758"/>
      <c r="AA3" s="758"/>
      <c r="AB3" s="758"/>
      <c r="AC3" s="758"/>
      <c r="AD3" s="758"/>
      <c r="AE3" s="758"/>
      <c r="AF3" s="758"/>
      <c r="AG3" s="758"/>
      <c r="AH3" s="758"/>
      <c r="AI3" s="758"/>
      <c r="AJ3" s="758"/>
      <c r="AK3" s="758"/>
      <c r="AL3" s="758"/>
      <c r="AM3" s="758"/>
      <c r="AN3" s="758"/>
      <c r="AO3" s="758"/>
      <c r="AP3" s="758"/>
      <c r="AQ3" s="758"/>
      <c r="AR3" s="758"/>
      <c r="AS3" s="758"/>
      <c r="AT3" s="758"/>
      <c r="AU3" s="758"/>
      <c r="AV3" s="758"/>
      <c r="AW3" s="758"/>
      <c r="AX3" s="758"/>
      <c r="AY3" s="758"/>
      <c r="AZ3" s="758"/>
      <c r="BA3" s="758"/>
      <c r="BB3" s="758"/>
      <c r="BC3" s="758"/>
      <c r="BD3" s="758"/>
      <c r="BE3" s="758"/>
      <c r="BF3" s="758"/>
      <c r="BG3" s="759"/>
      <c r="BH3" s="759"/>
      <c r="BI3" s="758"/>
      <c r="BJ3" s="758"/>
      <c r="BK3" s="758"/>
      <c r="BL3" s="758"/>
      <c r="BM3" s="758"/>
      <c r="BN3" s="758"/>
      <c r="BO3" s="758"/>
      <c r="BP3" s="758"/>
      <c r="BQ3" s="758"/>
      <c r="BR3" s="758"/>
      <c r="BS3" s="760"/>
      <c r="BT3" s="761" t="s">
        <v>1187</v>
      </c>
      <c r="BU3" s="759"/>
      <c r="BV3" s="759"/>
      <c r="BW3" s="759"/>
      <c r="BX3" s="759"/>
      <c r="BY3" s="759"/>
      <c r="BZ3" s="759"/>
      <c r="CA3" s="759"/>
      <c r="CB3" s="759"/>
      <c r="CC3" s="759"/>
      <c r="CD3" s="759"/>
      <c r="CE3" s="759"/>
      <c r="CF3" s="759"/>
      <c r="CG3" s="759"/>
      <c r="CH3" s="759"/>
      <c r="CI3" s="759"/>
      <c r="CJ3" s="759"/>
      <c r="CK3" s="759"/>
      <c r="CL3" s="759"/>
      <c r="CM3" s="759"/>
      <c r="CN3" s="759"/>
      <c r="CO3" s="759"/>
      <c r="CP3" s="759"/>
      <c r="CQ3" s="759"/>
      <c r="CR3" s="759"/>
      <c r="CS3" s="759"/>
      <c r="CT3" s="759"/>
      <c r="CU3" s="759"/>
      <c r="CV3" s="759"/>
      <c r="CW3" s="759"/>
      <c r="CX3" s="759"/>
      <c r="CY3" s="759"/>
      <c r="CZ3" s="759"/>
      <c r="DA3" s="759"/>
      <c r="DB3" s="759"/>
      <c r="DC3" s="759"/>
      <c r="DD3" s="759"/>
      <c r="DE3" s="759"/>
      <c r="DF3" s="759"/>
      <c r="DG3" s="759"/>
      <c r="DH3" s="759"/>
      <c r="DI3" s="759"/>
      <c r="DJ3" s="759"/>
      <c r="DK3" s="759"/>
      <c r="DL3" s="759"/>
      <c r="DM3" s="759"/>
      <c r="DN3" s="759"/>
      <c r="DO3" s="759"/>
      <c r="DP3" s="759"/>
      <c r="DQ3" s="759"/>
      <c r="DR3" s="759"/>
      <c r="DS3" s="759"/>
      <c r="DT3" s="759"/>
      <c r="DU3" s="759"/>
      <c r="DV3" s="759"/>
      <c r="DW3" s="759"/>
      <c r="DX3" s="759"/>
      <c r="DY3" s="759"/>
      <c r="DZ3" s="759"/>
      <c r="EA3" s="761" t="s">
        <v>1188</v>
      </c>
      <c r="EB3" s="759"/>
      <c r="EC3" s="759"/>
      <c r="ED3" s="759"/>
      <c r="EE3" s="759"/>
      <c r="EF3" s="759"/>
      <c r="EG3" s="759"/>
      <c r="EH3" s="759"/>
      <c r="EI3" s="759"/>
      <c r="EJ3" s="759"/>
      <c r="EK3" s="759"/>
      <c r="EL3" s="759"/>
      <c r="EM3" s="759"/>
      <c r="EN3" s="759"/>
      <c r="EO3" s="759"/>
      <c r="EP3" s="759"/>
      <c r="EQ3" s="759"/>
      <c r="ER3" s="759"/>
      <c r="ES3" s="759"/>
      <c r="ET3" s="759"/>
      <c r="EU3" s="759"/>
      <c r="EV3" s="759"/>
      <c r="EW3" s="759"/>
      <c r="EX3" s="759"/>
      <c r="EY3" s="759"/>
      <c r="EZ3" s="759"/>
      <c r="FA3" s="759"/>
      <c r="FB3" s="759"/>
      <c r="FC3" s="759"/>
      <c r="FD3" s="759"/>
      <c r="FE3" s="759"/>
      <c r="FF3" s="759"/>
      <c r="FG3" s="759"/>
      <c r="FH3" s="759"/>
      <c r="FI3" s="759"/>
      <c r="FJ3" s="759"/>
      <c r="FK3" s="759"/>
      <c r="FL3" s="759"/>
      <c r="FM3" s="759"/>
      <c r="FN3" s="759"/>
      <c r="FO3" s="759"/>
    </row>
    <row r="4" spans="1:171" ht="28.7" customHeight="1" x14ac:dyDescent="0.25">
      <c r="B4" s="755"/>
      <c r="C4" s="756"/>
      <c r="D4" s="756"/>
      <c r="E4" s="756"/>
      <c r="F4" s="756"/>
      <c r="G4" s="762" t="s">
        <v>1189</v>
      </c>
      <c r="H4" s="763"/>
      <c r="I4" s="763"/>
      <c r="J4" s="763"/>
      <c r="K4" s="763"/>
      <c r="L4" s="763"/>
      <c r="M4" s="763"/>
      <c r="N4" s="763"/>
      <c r="O4" s="763"/>
      <c r="P4" s="763"/>
      <c r="Q4" s="763"/>
      <c r="R4" s="763"/>
      <c r="S4" s="763"/>
      <c r="T4" s="763"/>
      <c r="U4" s="763"/>
      <c r="V4" s="763"/>
      <c r="W4" s="763"/>
      <c r="X4" s="763"/>
      <c r="Y4" s="763"/>
      <c r="Z4" s="763"/>
      <c r="AA4" s="763"/>
      <c r="AB4" s="763"/>
      <c r="AC4" s="763"/>
      <c r="AD4" s="763"/>
      <c r="AE4" s="763"/>
      <c r="AF4" s="763"/>
      <c r="AG4" s="763"/>
      <c r="AH4" s="763"/>
      <c r="AI4" s="763"/>
      <c r="AJ4" s="763"/>
      <c r="AK4" s="763"/>
      <c r="AL4" s="763"/>
      <c r="AM4" s="763"/>
      <c r="AN4" s="763"/>
      <c r="AO4" s="763"/>
      <c r="AP4" s="763"/>
      <c r="AQ4" s="763"/>
      <c r="AR4" s="763"/>
      <c r="AS4" s="763"/>
      <c r="AT4" s="763"/>
      <c r="AU4" s="763"/>
      <c r="AV4" s="763"/>
      <c r="AW4" s="763"/>
      <c r="AX4" s="763"/>
      <c r="AY4" s="763"/>
      <c r="AZ4" s="763"/>
      <c r="BA4" s="763"/>
      <c r="BB4" s="763"/>
      <c r="BC4" s="763"/>
      <c r="BD4" s="762" t="s">
        <v>196</v>
      </c>
      <c r="BE4" s="763"/>
      <c r="BF4" s="763"/>
      <c r="BG4" s="763"/>
      <c r="BH4" s="763"/>
      <c r="BI4" s="764" t="s">
        <v>129</v>
      </c>
      <c r="BJ4" s="764" t="s">
        <v>1190</v>
      </c>
      <c r="BK4" s="764" t="s">
        <v>1191</v>
      </c>
      <c r="BL4" s="764" t="s">
        <v>253</v>
      </c>
      <c r="BM4" s="764" t="s">
        <v>1192</v>
      </c>
      <c r="BN4" s="764" t="s">
        <v>1193</v>
      </c>
      <c r="BO4" s="767" t="s">
        <v>127</v>
      </c>
      <c r="BP4" s="767" t="s">
        <v>128</v>
      </c>
      <c r="BQ4" s="767" t="s">
        <v>129</v>
      </c>
      <c r="BR4" s="627"/>
      <c r="BS4" s="767" t="s">
        <v>135</v>
      </c>
      <c r="BT4" s="759" t="s">
        <v>1189</v>
      </c>
      <c r="BU4" s="759"/>
      <c r="BV4" s="759"/>
      <c r="BW4" s="759"/>
      <c r="BX4" s="759"/>
      <c r="BY4" s="759"/>
      <c r="BZ4" s="759"/>
      <c r="CA4" s="759"/>
      <c r="CB4" s="759"/>
      <c r="CC4" s="759"/>
      <c r="CD4" s="759"/>
      <c r="CE4" s="759"/>
      <c r="CF4" s="759"/>
      <c r="CG4" s="759"/>
      <c r="CH4" s="759"/>
      <c r="CI4" s="759"/>
      <c r="CJ4" s="759"/>
      <c r="CK4" s="759"/>
      <c r="CL4" s="759"/>
      <c r="CM4" s="759"/>
      <c r="CN4" s="759"/>
      <c r="CO4" s="759"/>
      <c r="CP4" s="759"/>
      <c r="CQ4" s="759"/>
      <c r="CR4" s="759"/>
      <c r="CS4" s="759"/>
      <c r="CT4" s="759"/>
      <c r="CU4" s="759"/>
      <c r="CV4" s="759"/>
      <c r="CW4" s="759"/>
      <c r="CX4" s="759"/>
      <c r="CY4" s="759"/>
      <c r="CZ4" s="759"/>
      <c r="DA4" s="759"/>
      <c r="DB4" s="759"/>
      <c r="DC4" s="759"/>
      <c r="DD4" s="759"/>
      <c r="DE4" s="759"/>
      <c r="DF4" s="759"/>
      <c r="DG4" s="759"/>
      <c r="DH4" s="759"/>
      <c r="DI4" s="759"/>
      <c r="DJ4" s="759"/>
      <c r="DK4" s="759"/>
      <c r="DL4" s="759"/>
      <c r="DM4" s="759"/>
      <c r="DN4" s="759"/>
      <c r="DO4" s="759"/>
      <c r="DP4" s="759"/>
      <c r="DQ4" s="762" t="s">
        <v>196</v>
      </c>
      <c r="DR4" s="763"/>
      <c r="DS4" s="763"/>
      <c r="DT4" s="763"/>
      <c r="DU4" s="763"/>
      <c r="DV4" s="764" t="s">
        <v>129</v>
      </c>
      <c r="DW4" s="767" t="s">
        <v>134</v>
      </c>
      <c r="DX4" s="767" t="s">
        <v>128</v>
      </c>
      <c r="DY4" s="767" t="s">
        <v>129</v>
      </c>
      <c r="DZ4" s="767" t="s">
        <v>135</v>
      </c>
      <c r="EA4" s="759" t="s">
        <v>1189</v>
      </c>
      <c r="EB4" s="759"/>
      <c r="EC4" s="759"/>
      <c r="ED4" s="759"/>
      <c r="EE4" s="759"/>
      <c r="EF4" s="759"/>
      <c r="EG4" s="759"/>
      <c r="EH4" s="759"/>
      <c r="EI4" s="759"/>
      <c r="EJ4" s="759"/>
      <c r="EK4" s="759"/>
      <c r="EL4" s="759"/>
      <c r="EM4" s="759"/>
      <c r="EN4" s="759"/>
      <c r="EO4" s="759"/>
      <c r="EP4" s="759"/>
      <c r="EQ4" s="759"/>
      <c r="ER4" s="759"/>
      <c r="ES4" s="759"/>
      <c r="ET4" s="759"/>
      <c r="EU4" s="759"/>
      <c r="EV4" s="759"/>
      <c r="EW4" s="759"/>
      <c r="EX4" s="759"/>
      <c r="EY4" s="759"/>
      <c r="EZ4" s="759"/>
      <c r="FA4" s="759"/>
      <c r="FB4" s="759"/>
      <c r="FC4" s="759"/>
      <c r="FD4" s="759"/>
      <c r="FE4" s="759"/>
      <c r="FF4" s="762" t="s">
        <v>196</v>
      </c>
      <c r="FG4" s="763"/>
      <c r="FH4" s="763"/>
      <c r="FI4" s="763"/>
      <c r="FJ4" s="763"/>
      <c r="FK4" s="764" t="s">
        <v>129</v>
      </c>
      <c r="FL4" s="767" t="s">
        <v>134</v>
      </c>
      <c r="FM4" s="767" t="s">
        <v>128</v>
      </c>
      <c r="FN4" s="767" t="s">
        <v>129</v>
      </c>
      <c r="FO4" s="767" t="s">
        <v>135</v>
      </c>
    </row>
    <row r="5" spans="1:171" ht="43.5" customHeight="1" x14ac:dyDescent="0.25">
      <c r="B5" s="755"/>
      <c r="C5" s="756"/>
      <c r="D5" s="756"/>
      <c r="E5" s="756"/>
      <c r="F5" s="756"/>
      <c r="G5" s="762" t="s">
        <v>11</v>
      </c>
      <c r="H5" s="763"/>
      <c r="I5" s="763"/>
      <c r="J5" s="763"/>
      <c r="K5" s="763"/>
      <c r="L5" s="763"/>
      <c r="M5" s="763"/>
      <c r="N5" s="763"/>
      <c r="O5" s="763"/>
      <c r="P5" s="763"/>
      <c r="Q5" s="763"/>
      <c r="R5" s="763"/>
      <c r="S5" s="763"/>
      <c r="T5" s="763"/>
      <c r="U5" s="763"/>
      <c r="V5" s="763"/>
      <c r="W5" s="763"/>
      <c r="X5" s="763"/>
      <c r="Y5" s="763"/>
      <c r="Z5" s="763"/>
      <c r="AA5" s="763"/>
      <c r="AB5" s="763"/>
      <c r="AC5" s="763"/>
      <c r="AD5" s="763"/>
      <c r="AE5" s="763"/>
      <c r="AF5" s="763"/>
      <c r="AG5" s="763"/>
      <c r="AH5" s="763"/>
      <c r="AI5" s="763"/>
      <c r="AJ5" s="763"/>
      <c r="AK5" s="763"/>
      <c r="AL5" s="763"/>
      <c r="AM5" s="763"/>
      <c r="AN5" s="763"/>
      <c r="AO5" s="763"/>
      <c r="AP5" s="763"/>
      <c r="AQ5" s="763"/>
      <c r="AR5" s="763"/>
      <c r="AS5" s="763"/>
      <c r="AT5" s="763"/>
      <c r="AU5" s="763"/>
      <c r="AV5" s="763"/>
      <c r="AW5" s="770"/>
      <c r="AX5" s="762" t="s">
        <v>1194</v>
      </c>
      <c r="AY5" s="763"/>
      <c r="AZ5" s="763"/>
      <c r="BA5" s="763"/>
      <c r="BB5" s="763"/>
      <c r="BC5" s="763"/>
      <c r="BD5" s="619" t="s">
        <v>1195</v>
      </c>
      <c r="BE5" s="762" t="s">
        <v>1196</v>
      </c>
      <c r="BF5" s="763"/>
      <c r="BG5" s="762" t="s">
        <v>1197</v>
      </c>
      <c r="BH5" s="763"/>
      <c r="BI5" s="765"/>
      <c r="BJ5" s="765"/>
      <c r="BK5" s="765"/>
      <c r="BL5" s="765"/>
      <c r="BM5" s="765"/>
      <c r="BN5" s="765"/>
      <c r="BO5" s="768"/>
      <c r="BP5" s="768"/>
      <c r="BQ5" s="768"/>
      <c r="BR5" s="628"/>
      <c r="BS5" s="768"/>
      <c r="BT5" s="759" t="s">
        <v>11</v>
      </c>
      <c r="BU5" s="759"/>
      <c r="BV5" s="759"/>
      <c r="BW5" s="759"/>
      <c r="BX5" s="759"/>
      <c r="BY5" s="759"/>
      <c r="BZ5" s="759"/>
      <c r="CA5" s="759"/>
      <c r="CB5" s="759"/>
      <c r="CC5" s="759"/>
      <c r="CD5" s="759"/>
      <c r="CE5" s="759"/>
      <c r="CF5" s="759"/>
      <c r="CG5" s="759"/>
      <c r="CH5" s="759"/>
      <c r="CI5" s="759"/>
      <c r="CJ5" s="759"/>
      <c r="CK5" s="759"/>
      <c r="CL5" s="759"/>
      <c r="CM5" s="759"/>
      <c r="CN5" s="759"/>
      <c r="CO5" s="759"/>
      <c r="CP5" s="759"/>
      <c r="CQ5" s="759"/>
      <c r="CR5" s="759"/>
      <c r="CS5" s="759"/>
      <c r="CT5" s="759"/>
      <c r="CU5" s="759"/>
      <c r="CV5" s="759"/>
      <c r="CW5" s="759"/>
      <c r="CX5" s="759"/>
      <c r="CY5" s="759"/>
      <c r="CZ5" s="759"/>
      <c r="DA5" s="759"/>
      <c r="DB5" s="759"/>
      <c r="DC5" s="759"/>
      <c r="DD5" s="759"/>
      <c r="DE5" s="759"/>
      <c r="DF5" s="759"/>
      <c r="DG5" s="759"/>
      <c r="DH5" s="759"/>
      <c r="DI5" s="759"/>
      <c r="DJ5" s="759"/>
      <c r="DK5" s="759" t="s">
        <v>1194</v>
      </c>
      <c r="DL5" s="759"/>
      <c r="DM5" s="759"/>
      <c r="DN5" s="759"/>
      <c r="DO5" s="759"/>
      <c r="DP5" s="759"/>
      <c r="DQ5" s="771" t="s">
        <v>1195</v>
      </c>
      <c r="DR5" s="773" t="s">
        <v>1196</v>
      </c>
      <c r="DS5" s="774"/>
      <c r="DT5" s="773" t="s">
        <v>1197</v>
      </c>
      <c r="DU5" s="774"/>
      <c r="DV5" s="765"/>
      <c r="DW5" s="768"/>
      <c r="DX5" s="768"/>
      <c r="DY5" s="768"/>
      <c r="DZ5" s="768"/>
      <c r="EA5" s="759" t="s">
        <v>11</v>
      </c>
      <c r="EB5" s="759"/>
      <c r="EC5" s="759"/>
      <c r="ED5" s="759"/>
      <c r="EE5" s="759"/>
      <c r="EF5" s="759"/>
      <c r="EG5" s="759"/>
      <c r="EH5" s="759"/>
      <c r="EI5" s="759"/>
      <c r="EJ5" s="759"/>
      <c r="EK5" s="759"/>
      <c r="EL5" s="759"/>
      <c r="EM5" s="759"/>
      <c r="EN5" s="759"/>
      <c r="EO5" s="759"/>
      <c r="EP5" s="759"/>
      <c r="EQ5" s="759"/>
      <c r="ER5" s="759"/>
      <c r="ES5" s="759"/>
      <c r="ET5" s="759"/>
      <c r="EU5" s="85"/>
      <c r="EV5" s="85"/>
      <c r="EW5" s="85"/>
      <c r="EX5" s="85"/>
      <c r="EY5" s="85"/>
      <c r="EZ5" s="759" t="s">
        <v>1194</v>
      </c>
      <c r="FA5" s="759"/>
      <c r="FB5" s="759"/>
      <c r="FC5" s="759"/>
      <c r="FD5" s="759"/>
      <c r="FE5" s="759"/>
      <c r="FF5" s="85" t="s">
        <v>1195</v>
      </c>
      <c r="FG5" s="759" t="s">
        <v>1196</v>
      </c>
      <c r="FH5" s="759"/>
      <c r="FI5" s="762" t="s">
        <v>1197</v>
      </c>
      <c r="FJ5" s="763"/>
      <c r="FK5" s="765"/>
      <c r="FL5" s="768"/>
      <c r="FM5" s="768"/>
      <c r="FN5" s="768"/>
      <c r="FO5" s="768"/>
    </row>
    <row r="6" spans="1:171" ht="45" x14ac:dyDescent="0.25">
      <c r="B6" s="755"/>
      <c r="C6" s="756"/>
      <c r="D6" s="756"/>
      <c r="E6" s="756"/>
      <c r="F6" s="756"/>
      <c r="G6" s="762" t="s">
        <v>1198</v>
      </c>
      <c r="H6" s="763"/>
      <c r="I6" s="763"/>
      <c r="J6" s="770"/>
      <c r="K6" s="759" t="s">
        <v>26</v>
      </c>
      <c r="L6" s="759"/>
      <c r="M6" s="759"/>
      <c r="N6" s="759"/>
      <c r="O6" s="759"/>
      <c r="P6" s="777" t="s">
        <v>28</v>
      </c>
      <c r="Q6" s="778"/>
      <c r="R6" s="778"/>
      <c r="S6" s="778"/>
      <c r="T6" s="778"/>
      <c r="U6" s="778"/>
      <c r="V6" s="778"/>
      <c r="W6" s="778"/>
      <c r="X6" s="778"/>
      <c r="Y6" s="778"/>
      <c r="Z6" s="778"/>
      <c r="AA6" s="778"/>
      <c r="AB6" s="778"/>
      <c r="AC6" s="778"/>
      <c r="AD6" s="778"/>
      <c r="AE6" s="778"/>
      <c r="AF6" s="778"/>
      <c r="AG6" s="778"/>
      <c r="AH6" s="779"/>
      <c r="AI6" s="773" t="s">
        <v>1199</v>
      </c>
      <c r="AJ6" s="780"/>
      <c r="AK6" s="780"/>
      <c r="AL6" s="780"/>
      <c r="AM6" s="780"/>
      <c r="AN6" s="780"/>
      <c r="AO6" s="780"/>
      <c r="AP6" s="780"/>
      <c r="AQ6" s="780"/>
      <c r="AR6" s="780"/>
      <c r="AS6" s="780"/>
      <c r="AT6" s="780"/>
      <c r="AU6" s="780"/>
      <c r="AV6" s="780"/>
      <c r="AW6" s="774"/>
      <c r="AX6" s="762" t="s">
        <v>32</v>
      </c>
      <c r="AY6" s="763"/>
      <c r="AZ6" s="763"/>
      <c r="BA6" s="763"/>
      <c r="BB6" s="770"/>
      <c r="BC6" s="619" t="s">
        <v>1200</v>
      </c>
      <c r="BD6" s="619" t="s">
        <v>1201</v>
      </c>
      <c r="BE6" s="762" t="s">
        <v>1201</v>
      </c>
      <c r="BF6" s="763"/>
      <c r="BG6" s="762"/>
      <c r="BH6" s="770"/>
      <c r="BI6" s="765"/>
      <c r="BJ6" s="765"/>
      <c r="BK6" s="765"/>
      <c r="BL6" s="765"/>
      <c r="BM6" s="765"/>
      <c r="BN6" s="765"/>
      <c r="BO6" s="768"/>
      <c r="BP6" s="768"/>
      <c r="BQ6" s="768"/>
      <c r="BR6" s="628"/>
      <c r="BS6" s="768"/>
      <c r="BT6" s="759" t="s">
        <v>24</v>
      </c>
      <c r="BU6" s="759"/>
      <c r="BV6" s="759"/>
      <c r="BW6" s="759"/>
      <c r="BX6" s="762" t="s">
        <v>26</v>
      </c>
      <c r="BY6" s="763"/>
      <c r="BZ6" s="763"/>
      <c r="CA6" s="763"/>
      <c r="CB6" s="763"/>
      <c r="CC6" s="759" t="s">
        <v>28</v>
      </c>
      <c r="CD6" s="759"/>
      <c r="CE6" s="759"/>
      <c r="CF6" s="759"/>
      <c r="CG6" s="759"/>
      <c r="CH6" s="759"/>
      <c r="CI6" s="759"/>
      <c r="CJ6" s="759"/>
      <c r="CK6" s="759"/>
      <c r="CL6" s="759"/>
      <c r="CM6" s="759"/>
      <c r="CN6" s="759"/>
      <c r="CO6" s="759"/>
      <c r="CP6" s="759"/>
      <c r="CQ6" s="759"/>
      <c r="CR6" s="759"/>
      <c r="CS6" s="759"/>
      <c r="CT6" s="759"/>
      <c r="CU6" s="759"/>
      <c r="CV6" s="762" t="s">
        <v>1199</v>
      </c>
      <c r="CW6" s="763"/>
      <c r="CX6" s="763"/>
      <c r="CY6" s="763"/>
      <c r="CZ6" s="763"/>
      <c r="DA6" s="763"/>
      <c r="DB6" s="763"/>
      <c r="DC6" s="763"/>
      <c r="DD6" s="763"/>
      <c r="DE6" s="763"/>
      <c r="DF6" s="763"/>
      <c r="DG6" s="763"/>
      <c r="DH6" s="763"/>
      <c r="DI6" s="763"/>
      <c r="DJ6" s="770"/>
      <c r="DK6" s="759" t="s">
        <v>32</v>
      </c>
      <c r="DL6" s="759"/>
      <c r="DM6" s="759"/>
      <c r="DN6" s="759"/>
      <c r="DO6" s="759"/>
      <c r="DP6" s="85" t="s">
        <v>1200</v>
      </c>
      <c r="DQ6" s="772"/>
      <c r="DR6" s="775"/>
      <c r="DS6" s="776"/>
      <c r="DT6" s="775"/>
      <c r="DU6" s="776"/>
      <c r="DV6" s="766"/>
      <c r="DW6" s="768"/>
      <c r="DX6" s="768"/>
      <c r="DY6" s="768"/>
      <c r="DZ6" s="768"/>
      <c r="EA6" s="759" t="s">
        <v>24</v>
      </c>
      <c r="EB6" s="759"/>
      <c r="EC6" s="759"/>
      <c r="ED6" s="759"/>
      <c r="EE6" s="762" t="s">
        <v>26</v>
      </c>
      <c r="EF6" s="763"/>
      <c r="EG6" s="763"/>
      <c r="EH6" s="763"/>
      <c r="EI6" s="770"/>
      <c r="EJ6" s="762" t="s">
        <v>28</v>
      </c>
      <c r="EK6" s="763"/>
      <c r="EL6" s="763"/>
      <c r="EM6" s="763"/>
      <c r="EN6" s="770"/>
      <c r="EO6" s="759" t="s">
        <v>1202</v>
      </c>
      <c r="EP6" s="759"/>
      <c r="EQ6" s="759"/>
      <c r="ER6" s="759"/>
      <c r="ES6" s="759"/>
      <c r="ET6" s="759"/>
      <c r="EU6" s="85"/>
      <c r="EV6" s="85"/>
      <c r="EW6" s="85"/>
      <c r="EX6" s="85"/>
      <c r="EY6" s="85"/>
      <c r="EZ6" s="759" t="s">
        <v>32</v>
      </c>
      <c r="FA6" s="759"/>
      <c r="FB6" s="759"/>
      <c r="FC6" s="759"/>
      <c r="FD6" s="759"/>
      <c r="FE6" s="85" t="s">
        <v>1200</v>
      </c>
      <c r="FF6" s="85" t="s">
        <v>1201</v>
      </c>
      <c r="FG6" s="759" t="s">
        <v>1201</v>
      </c>
      <c r="FH6" s="759"/>
      <c r="FI6" s="759" t="s">
        <v>1201</v>
      </c>
      <c r="FJ6" s="759"/>
      <c r="FK6" s="766"/>
      <c r="FL6" s="768"/>
      <c r="FM6" s="768"/>
      <c r="FN6" s="768"/>
      <c r="FO6" s="768"/>
    </row>
    <row r="7" spans="1:171" s="2" customFormat="1" ht="60" x14ac:dyDescent="0.25">
      <c r="B7" s="755"/>
      <c r="C7" s="756"/>
      <c r="D7" s="85" t="s">
        <v>1203</v>
      </c>
      <c r="E7" s="85" t="s">
        <v>1204</v>
      </c>
      <c r="F7" s="16" t="s">
        <v>120</v>
      </c>
      <c r="G7" s="395" t="s">
        <v>1205</v>
      </c>
      <c r="H7" s="395" t="s">
        <v>1206</v>
      </c>
      <c r="I7" s="395" t="s">
        <v>14</v>
      </c>
      <c r="J7" s="395" t="s">
        <v>1207</v>
      </c>
      <c r="K7" s="629" t="s">
        <v>1208</v>
      </c>
      <c r="L7" s="630" t="s">
        <v>1209</v>
      </c>
      <c r="M7" s="631" t="s">
        <v>1210</v>
      </c>
      <c r="N7" s="632" t="s">
        <v>1211</v>
      </c>
      <c r="O7" s="633" t="s">
        <v>1212</v>
      </c>
      <c r="P7" s="634" t="s">
        <v>1213</v>
      </c>
      <c r="Q7" s="635" t="s">
        <v>1214</v>
      </c>
      <c r="R7" s="635" t="s">
        <v>1215</v>
      </c>
      <c r="S7" s="635" t="s">
        <v>1216</v>
      </c>
      <c r="T7" s="635" t="s">
        <v>1217</v>
      </c>
      <c r="U7" s="635" t="s">
        <v>1218</v>
      </c>
      <c r="V7" s="635" t="s">
        <v>1219</v>
      </c>
      <c r="W7" s="635" t="s">
        <v>1220</v>
      </c>
      <c r="X7" s="635" t="s">
        <v>445</v>
      </c>
      <c r="Y7" s="635" t="s">
        <v>1221</v>
      </c>
      <c r="Z7" s="635" t="s">
        <v>1222</v>
      </c>
      <c r="AA7" s="635" t="s">
        <v>1223</v>
      </c>
      <c r="AB7" s="635" t="s">
        <v>1249</v>
      </c>
      <c r="AC7" s="635" t="s">
        <v>1224</v>
      </c>
      <c r="AD7" s="635" t="s">
        <v>1225</v>
      </c>
      <c r="AE7" s="635" t="s">
        <v>1226</v>
      </c>
      <c r="AF7" s="635" t="s">
        <v>1227</v>
      </c>
      <c r="AG7" s="635" t="s">
        <v>1228</v>
      </c>
      <c r="AH7" s="636" t="s">
        <v>1229</v>
      </c>
      <c r="AI7" s="637" t="s">
        <v>1230</v>
      </c>
      <c r="AJ7" s="637" t="s">
        <v>1231</v>
      </c>
      <c r="AK7" s="127" t="s">
        <v>60</v>
      </c>
      <c r="AL7" s="127" t="s">
        <v>63</v>
      </c>
      <c r="AM7" s="395" t="s">
        <v>59</v>
      </c>
      <c r="AN7" s="577" t="s">
        <v>54</v>
      </c>
      <c r="AO7" s="127" t="s">
        <v>1233</v>
      </c>
      <c r="AP7" s="127" t="s">
        <v>56</v>
      </c>
      <c r="AQ7" s="395" t="s">
        <v>485</v>
      </c>
      <c r="AR7" s="398" t="s">
        <v>1234</v>
      </c>
      <c r="AS7" s="395" t="s">
        <v>486</v>
      </c>
      <c r="AT7" s="395" t="s">
        <v>61</v>
      </c>
      <c r="AU7" s="395" t="s">
        <v>1235</v>
      </c>
      <c r="AV7" s="635" t="s">
        <v>1236</v>
      </c>
      <c r="AW7" s="398" t="s">
        <v>55</v>
      </c>
      <c r="AX7" s="395" t="s">
        <v>14</v>
      </c>
      <c r="AY7" s="395" t="s">
        <v>1207</v>
      </c>
      <c r="AZ7" s="395" t="s">
        <v>1237</v>
      </c>
      <c r="BA7" s="395" t="s">
        <v>1238</v>
      </c>
      <c r="BB7" s="395" t="s">
        <v>1239</v>
      </c>
      <c r="BC7" s="638" t="s">
        <v>552</v>
      </c>
      <c r="BD7" s="398" t="s">
        <v>1240</v>
      </c>
      <c r="BE7" s="398" t="s">
        <v>1240</v>
      </c>
      <c r="BF7" s="398" t="s">
        <v>77</v>
      </c>
      <c r="BG7" s="398" t="s">
        <v>77</v>
      </c>
      <c r="BH7" s="398" t="s">
        <v>1240</v>
      </c>
      <c r="BI7" s="766"/>
      <c r="BJ7" s="766"/>
      <c r="BK7" s="766"/>
      <c r="BL7" s="766"/>
      <c r="BM7" s="766"/>
      <c r="BN7" s="766"/>
      <c r="BO7" s="769"/>
      <c r="BP7" s="769"/>
      <c r="BQ7" s="769"/>
      <c r="BR7" s="586" t="s">
        <v>126</v>
      </c>
      <c r="BS7" s="769"/>
      <c r="BT7" s="395" t="s">
        <v>1205</v>
      </c>
      <c r="BU7" s="395" t="s">
        <v>1206</v>
      </c>
      <c r="BV7" s="395" t="s">
        <v>14</v>
      </c>
      <c r="BW7" s="395" t="s">
        <v>1207</v>
      </c>
      <c r="BX7" s="639" t="s">
        <v>1208</v>
      </c>
      <c r="BY7" s="640" t="s">
        <v>1209</v>
      </c>
      <c r="BZ7" s="641" t="s">
        <v>1210</v>
      </c>
      <c r="CA7" s="642" t="s">
        <v>1211</v>
      </c>
      <c r="CB7" s="633" t="s">
        <v>1212</v>
      </c>
      <c r="CC7" s="634" t="s">
        <v>1213</v>
      </c>
      <c r="CD7" s="635" t="s">
        <v>1214</v>
      </c>
      <c r="CE7" s="635" t="s">
        <v>1215</v>
      </c>
      <c r="CF7" s="635" t="s">
        <v>1216</v>
      </c>
      <c r="CG7" s="635" t="s">
        <v>1217</v>
      </c>
      <c r="CH7" s="635" t="s">
        <v>1218</v>
      </c>
      <c r="CI7" s="635" t="s">
        <v>1219</v>
      </c>
      <c r="CJ7" s="635" t="s">
        <v>1220</v>
      </c>
      <c r="CK7" s="635" t="s">
        <v>445</v>
      </c>
      <c r="CL7" s="635" t="s">
        <v>1221</v>
      </c>
      <c r="CM7" s="635" t="s">
        <v>1222</v>
      </c>
      <c r="CN7" s="635" t="s">
        <v>1223</v>
      </c>
      <c r="CO7" s="635" t="s">
        <v>1241</v>
      </c>
      <c r="CP7" s="635" t="s">
        <v>1224</v>
      </c>
      <c r="CQ7" s="635" t="s">
        <v>1225</v>
      </c>
      <c r="CR7" s="635" t="s">
        <v>1226</v>
      </c>
      <c r="CS7" s="635" t="s">
        <v>1227</v>
      </c>
      <c r="CT7" s="635" t="s">
        <v>1228</v>
      </c>
      <c r="CU7" s="643" t="s">
        <v>1229</v>
      </c>
      <c r="CV7" s="635" t="s">
        <v>1230</v>
      </c>
      <c r="CW7" s="635" t="s">
        <v>1231</v>
      </c>
      <c r="CX7" s="398" t="s">
        <v>60</v>
      </c>
      <c r="CY7" s="398" t="s">
        <v>1145</v>
      </c>
      <c r="CZ7" s="395" t="s">
        <v>1232</v>
      </c>
      <c r="DA7" s="395" t="s">
        <v>54</v>
      </c>
      <c r="DB7" s="398" t="s">
        <v>1233</v>
      </c>
      <c r="DC7" s="398" t="s">
        <v>56</v>
      </c>
      <c r="DD7" s="398" t="s">
        <v>485</v>
      </c>
      <c r="DE7" s="398" t="s">
        <v>1234</v>
      </c>
      <c r="DF7" s="395" t="s">
        <v>486</v>
      </c>
      <c r="DG7" s="395" t="s">
        <v>61</v>
      </c>
      <c r="DH7" s="395" t="s">
        <v>1235</v>
      </c>
      <c r="DI7" s="635" t="s">
        <v>1236</v>
      </c>
      <c r="DJ7" s="398" t="s">
        <v>55</v>
      </c>
      <c r="DK7" s="395" t="s">
        <v>14</v>
      </c>
      <c r="DL7" s="395" t="s">
        <v>1207</v>
      </c>
      <c r="DM7" s="395" t="s">
        <v>1237</v>
      </c>
      <c r="DN7" s="395" t="s">
        <v>1238</v>
      </c>
      <c r="DO7" s="395" t="s">
        <v>1239</v>
      </c>
      <c r="DP7" s="398" t="s">
        <v>552</v>
      </c>
      <c r="DQ7" s="398" t="s">
        <v>1242</v>
      </c>
      <c r="DR7" s="398" t="s">
        <v>1242</v>
      </c>
      <c r="DS7" s="398" t="s">
        <v>1243</v>
      </c>
      <c r="DT7" s="398" t="s">
        <v>77</v>
      </c>
      <c r="DU7" s="398" t="s">
        <v>1242</v>
      </c>
      <c r="DV7" s="398" t="s">
        <v>1244</v>
      </c>
      <c r="DW7" s="769"/>
      <c r="DX7" s="769"/>
      <c r="DY7" s="769"/>
      <c r="DZ7" s="769"/>
      <c r="EA7" s="395" t="s">
        <v>1205</v>
      </c>
      <c r="EB7" s="395" t="s">
        <v>1206</v>
      </c>
      <c r="EC7" s="395" t="s">
        <v>14</v>
      </c>
      <c r="ED7" s="395" t="s">
        <v>1207</v>
      </c>
      <c r="EE7" s="395"/>
      <c r="EF7" s="395"/>
      <c r="EG7" s="395"/>
      <c r="EH7" s="395"/>
      <c r="EI7" s="395"/>
      <c r="EJ7" s="395"/>
      <c r="EK7" s="395"/>
      <c r="EL7" s="395"/>
      <c r="EM7" s="395"/>
      <c r="EN7" s="395"/>
      <c r="EO7" s="398" t="s">
        <v>60</v>
      </c>
      <c r="EP7" s="395" t="s">
        <v>1232</v>
      </c>
      <c r="EQ7" s="395" t="s">
        <v>54</v>
      </c>
      <c r="ER7" s="398" t="s">
        <v>1233</v>
      </c>
      <c r="ES7" s="398" t="s">
        <v>56</v>
      </c>
      <c r="ET7" s="398" t="s">
        <v>485</v>
      </c>
      <c r="EU7" s="398" t="s">
        <v>1234</v>
      </c>
      <c r="EV7" s="395" t="s">
        <v>486</v>
      </c>
      <c r="EW7" s="395" t="s">
        <v>61</v>
      </c>
      <c r="EX7" s="395" t="s">
        <v>1235</v>
      </c>
      <c r="EY7" s="398" t="s">
        <v>55</v>
      </c>
      <c r="EZ7" s="395" t="s">
        <v>14</v>
      </c>
      <c r="FA7" s="395" t="s">
        <v>1207</v>
      </c>
      <c r="FB7" s="395" t="s">
        <v>1237</v>
      </c>
      <c r="FC7" s="395" t="s">
        <v>1238</v>
      </c>
      <c r="FD7" s="395" t="s">
        <v>1239</v>
      </c>
      <c r="FE7" s="398" t="s">
        <v>552</v>
      </c>
      <c r="FF7" s="398" t="s">
        <v>1240</v>
      </c>
      <c r="FG7" s="398" t="s">
        <v>1240</v>
      </c>
      <c r="FH7" s="398" t="s">
        <v>77</v>
      </c>
      <c r="FI7" s="398" t="s">
        <v>77</v>
      </c>
      <c r="FJ7" s="398" t="s">
        <v>1240</v>
      </c>
      <c r="FK7" s="398" t="s">
        <v>80</v>
      </c>
      <c r="FL7" s="769"/>
      <c r="FM7" s="769"/>
      <c r="FN7" s="769"/>
      <c r="FO7" s="769"/>
    </row>
    <row r="8" spans="1:171" x14ac:dyDescent="0.25">
      <c r="A8" s="52"/>
      <c r="B8" s="13">
        <v>1</v>
      </c>
      <c r="C8" s="13" t="s">
        <v>139</v>
      </c>
      <c r="D8" s="644"/>
      <c r="E8" s="644"/>
      <c r="F8" s="645"/>
      <c r="G8" s="646"/>
      <c r="H8" s="163"/>
      <c r="I8" s="164"/>
      <c r="J8" s="164"/>
      <c r="K8" s="647"/>
      <c r="L8" s="647"/>
      <c r="M8" s="647"/>
      <c r="N8" s="647"/>
      <c r="O8" s="647"/>
      <c r="P8" s="648"/>
      <c r="Q8" s="359"/>
      <c r="R8" s="359"/>
      <c r="S8" s="649"/>
      <c r="T8" s="649"/>
      <c r="U8" s="649"/>
      <c r="V8" s="359"/>
      <c r="W8" s="359"/>
      <c r="X8" s="359"/>
      <c r="Y8" s="359"/>
      <c r="Z8" s="359"/>
      <c r="AA8" s="359"/>
      <c r="AB8" s="359"/>
      <c r="AC8" s="359"/>
      <c r="AD8" s="359"/>
      <c r="AE8" s="359"/>
      <c r="AF8" s="359"/>
      <c r="AG8" s="359"/>
      <c r="AH8" s="650"/>
      <c r="AI8" s="651"/>
      <c r="AJ8" s="652"/>
      <c r="AK8" s="164"/>
      <c r="AL8" s="164"/>
      <c r="AM8" s="164"/>
      <c r="AN8" s="164"/>
      <c r="AO8" s="164"/>
      <c r="AP8" s="164"/>
      <c r="AQ8" s="164"/>
      <c r="AR8" s="164"/>
      <c r="AS8" s="164"/>
      <c r="AT8" s="164"/>
      <c r="AU8" s="164"/>
      <c r="AV8" s="359"/>
      <c r="AW8" s="253"/>
      <c r="AX8" s="164"/>
      <c r="AY8" s="164"/>
      <c r="AZ8" s="164"/>
      <c r="BA8" s="253"/>
      <c r="BB8" s="253"/>
      <c r="BC8" s="253"/>
      <c r="BD8" s="253"/>
      <c r="BE8" s="253"/>
      <c r="BF8" s="253"/>
      <c r="BG8" s="253"/>
      <c r="BH8" s="253"/>
      <c r="BI8" s="253"/>
      <c r="BJ8" s="253"/>
      <c r="BK8" s="253"/>
      <c r="BL8" s="253"/>
      <c r="BM8" s="253"/>
      <c r="BN8" s="253"/>
      <c r="BO8" s="454">
        <f>SUM(G8:BC8)</f>
        <v>0</v>
      </c>
      <c r="BP8" s="454">
        <f>SUM(BD8:BH8)</f>
        <v>0</v>
      </c>
      <c r="BQ8" s="454">
        <f>BI8</f>
        <v>0</v>
      </c>
      <c r="BR8" s="454">
        <f t="shared" ref="BR8:BR31" si="0">SUM(BJ8:BN8)</f>
        <v>0</v>
      </c>
      <c r="BS8" s="173">
        <f t="shared" ref="BS8:BS31" si="1">BO8+BP8+BQ8+BR8</f>
        <v>0</v>
      </c>
      <c r="BT8" s="653"/>
      <c r="BU8" s="653"/>
      <c r="BV8" s="164"/>
      <c r="BW8" s="164"/>
      <c r="BX8" s="654"/>
      <c r="BY8" s="654"/>
      <c r="BZ8" s="654"/>
      <c r="CA8" s="654"/>
      <c r="CB8" s="164"/>
      <c r="CC8" s="655"/>
      <c r="CD8" s="656"/>
      <c r="CE8" s="656"/>
      <c r="CF8" s="657"/>
      <c r="CG8" s="657"/>
      <c r="CH8" s="657"/>
      <c r="CI8" s="656"/>
      <c r="CJ8" s="656"/>
      <c r="CK8" s="656"/>
      <c r="CL8" s="656"/>
      <c r="CM8" s="656"/>
      <c r="CN8" s="656"/>
      <c r="CO8" s="656"/>
      <c r="CP8" s="656"/>
      <c r="CQ8" s="656"/>
      <c r="CR8" s="656"/>
      <c r="CS8" s="656"/>
      <c r="CT8" s="656"/>
      <c r="CU8" s="658"/>
      <c r="CV8" s="656"/>
      <c r="CW8" s="656"/>
      <c r="CX8" s="164"/>
      <c r="CY8" s="164"/>
      <c r="CZ8" s="164"/>
      <c r="DA8" s="164"/>
      <c r="DB8" s="164"/>
      <c r="DC8" s="164"/>
      <c r="DD8" s="164"/>
      <c r="DE8" s="253"/>
      <c r="DF8" s="253"/>
      <c r="DG8" s="164"/>
      <c r="DH8" s="164"/>
      <c r="DI8" s="656"/>
      <c r="DJ8" s="253"/>
      <c r="DK8" s="164"/>
      <c r="DL8" s="164"/>
      <c r="DM8" s="659"/>
      <c r="DN8" s="253"/>
      <c r="DO8" s="659"/>
      <c r="DP8" s="253"/>
      <c r="DQ8" s="253"/>
      <c r="DR8" s="253"/>
      <c r="DS8" s="253"/>
      <c r="DT8" s="253"/>
      <c r="DU8" s="253"/>
      <c r="DV8" s="253"/>
      <c r="DW8" s="454">
        <f t="shared" ref="DW8:DW29" si="2">SUM(BT8:DP8)</f>
        <v>0</v>
      </c>
      <c r="DX8" s="454">
        <f t="shared" ref="DX8:DX30" si="3">SUM(DQ8:DU8)</f>
        <v>0</v>
      </c>
      <c r="DY8" s="454">
        <f t="shared" ref="DY8:DY31" si="4">DV8</f>
        <v>0</v>
      </c>
      <c r="DZ8" s="173">
        <f t="shared" ref="DZ8:DZ30" si="5">DW8+DX8+DY8</f>
        <v>0</v>
      </c>
      <c r="EA8" s="379"/>
      <c r="EB8" s="379"/>
      <c r="EC8" s="660"/>
      <c r="ED8" s="660"/>
      <c r="EE8" s="660"/>
      <c r="EF8" s="660"/>
      <c r="EG8" s="660"/>
      <c r="EH8" s="660"/>
      <c r="EI8" s="660"/>
      <c r="EJ8" s="660"/>
      <c r="EK8" s="660"/>
      <c r="EL8" s="660"/>
      <c r="EM8" s="660"/>
      <c r="EN8" s="660"/>
      <c r="EO8" s="660"/>
      <c r="EP8" s="660"/>
      <c r="EQ8" s="660"/>
      <c r="ER8" s="660"/>
      <c r="ES8" s="660"/>
      <c r="ET8" s="660"/>
      <c r="EU8" s="660"/>
      <c r="EV8" s="660"/>
      <c r="EW8" s="660"/>
      <c r="EX8" s="660"/>
      <c r="EY8" s="660"/>
      <c r="EZ8" s="660"/>
      <c r="FA8" s="660"/>
      <c r="FB8" s="660"/>
      <c r="FC8" s="660"/>
      <c r="FD8" s="660"/>
      <c r="FE8" s="660"/>
      <c r="FF8" s="660"/>
      <c r="FG8" s="660"/>
      <c r="FH8" s="660"/>
      <c r="FI8" s="660"/>
      <c r="FJ8" s="660"/>
      <c r="FK8" s="660"/>
      <c r="FL8" s="263" t="e">
        <f t="shared" ref="FL8:FL29" si="6">SUMPRODUCT(EA8:FE8,G8:BC8)/BO8</f>
        <v>#VALUE!</v>
      </c>
      <c r="FM8" s="263" t="e">
        <f t="shared" ref="FM8:FM29" si="7">SUMPRODUCT(FF8:FJ8,BD8:BH8)/BP8</f>
        <v>#DIV/0!</v>
      </c>
      <c r="FN8" s="263">
        <f t="shared" ref="FN8:FN31" si="8">FK8*BQ8</f>
        <v>0</v>
      </c>
      <c r="FO8" s="264" t="e">
        <f t="shared" ref="FO8:FO31" si="9">SUMPRODUCT(FL8:FN8,BO8:BQ8)/BS8</f>
        <v>#VALUE!</v>
      </c>
    </row>
    <row r="9" spans="1:171" x14ac:dyDescent="0.25">
      <c r="A9" s="52"/>
      <c r="B9" s="13">
        <v>2</v>
      </c>
      <c r="C9" s="13" t="s">
        <v>140</v>
      </c>
      <c r="D9" s="644"/>
      <c r="E9" s="644"/>
      <c r="F9" s="645"/>
      <c r="G9" s="646"/>
      <c r="H9" s="163"/>
      <c r="I9" s="164"/>
      <c r="J9" s="164"/>
      <c r="K9" s="647"/>
      <c r="L9" s="647"/>
      <c r="M9" s="647"/>
      <c r="N9" s="647"/>
      <c r="O9" s="647"/>
      <c r="P9" s="648"/>
      <c r="Q9" s="359"/>
      <c r="R9" s="359"/>
      <c r="S9" s="649"/>
      <c r="T9" s="649"/>
      <c r="U9" s="649"/>
      <c r="V9" s="359"/>
      <c r="W9" s="359"/>
      <c r="X9" s="359"/>
      <c r="Y9" s="359"/>
      <c r="Z9" s="359"/>
      <c r="AA9" s="359"/>
      <c r="AB9" s="359"/>
      <c r="AC9" s="359"/>
      <c r="AD9" s="359"/>
      <c r="AE9" s="359"/>
      <c r="AF9" s="359"/>
      <c r="AG9" s="359"/>
      <c r="AH9" s="650"/>
      <c r="AI9" s="651"/>
      <c r="AJ9" s="651"/>
      <c r="AK9" s="164"/>
      <c r="AL9" s="164"/>
      <c r="AM9" s="164"/>
      <c r="AN9" s="164"/>
      <c r="AO9" s="164"/>
      <c r="AP9" s="164"/>
      <c r="AQ9" s="164"/>
      <c r="AR9" s="164"/>
      <c r="AS9" s="164"/>
      <c r="AT9" s="164"/>
      <c r="AU9" s="164"/>
      <c r="AV9" s="359"/>
      <c r="AW9" s="253"/>
      <c r="AX9" s="164"/>
      <c r="AY9" s="164"/>
      <c r="AZ9" s="164"/>
      <c r="BA9" s="253"/>
      <c r="BB9" s="253"/>
      <c r="BC9" s="253"/>
      <c r="BD9" s="253"/>
      <c r="BE9" s="253"/>
      <c r="BF9" s="253"/>
      <c r="BG9" s="253"/>
      <c r="BH9" s="253"/>
      <c r="BI9" s="253"/>
      <c r="BJ9" s="253"/>
      <c r="BK9" s="253"/>
      <c r="BL9" s="253"/>
      <c r="BM9" s="253"/>
      <c r="BN9" s="253"/>
      <c r="BO9" s="454">
        <f t="shared" ref="BO9:BO31" si="10">SUM(G9:BC9)</f>
        <v>0</v>
      </c>
      <c r="BP9" s="454">
        <f t="shared" ref="BP9:BP31" si="11">SUM(BD9:BH9)</f>
        <v>0</v>
      </c>
      <c r="BQ9" s="454">
        <f t="shared" ref="BQ9:BQ31" si="12">BI9</f>
        <v>0</v>
      </c>
      <c r="BR9" s="454">
        <f t="shared" si="0"/>
        <v>0</v>
      </c>
      <c r="BS9" s="173">
        <f t="shared" si="1"/>
        <v>0</v>
      </c>
      <c r="BT9" s="653"/>
      <c r="BU9" s="653"/>
      <c r="BV9" s="164"/>
      <c r="BW9" s="164"/>
      <c r="BX9" s="654"/>
      <c r="BY9" s="654"/>
      <c r="BZ9" s="654"/>
      <c r="CA9" s="654"/>
      <c r="CB9" s="164"/>
      <c r="CC9" s="655"/>
      <c r="CD9" s="656"/>
      <c r="CE9" s="656"/>
      <c r="CF9" s="657"/>
      <c r="CG9" s="657"/>
      <c r="CH9" s="657"/>
      <c r="CI9" s="656"/>
      <c r="CJ9" s="656"/>
      <c r="CK9" s="656"/>
      <c r="CL9" s="656"/>
      <c r="CM9" s="656"/>
      <c r="CN9" s="656"/>
      <c r="CO9" s="656"/>
      <c r="CP9" s="656"/>
      <c r="CQ9" s="656"/>
      <c r="CR9" s="656"/>
      <c r="CS9" s="656"/>
      <c r="CT9" s="656"/>
      <c r="CU9" s="658"/>
      <c r="CV9" s="656"/>
      <c r="CW9" s="656"/>
      <c r="CX9" s="164"/>
      <c r="CY9" s="164"/>
      <c r="CZ9" s="164"/>
      <c r="DA9" s="164"/>
      <c r="DB9" s="164"/>
      <c r="DC9" s="164"/>
      <c r="DD9" s="164"/>
      <c r="DE9" s="253"/>
      <c r="DF9" s="253"/>
      <c r="DG9" s="164"/>
      <c r="DH9" s="164"/>
      <c r="DI9" s="656"/>
      <c r="DJ9" s="253"/>
      <c r="DK9" s="164"/>
      <c r="DL9" s="164"/>
      <c r="DM9" s="659"/>
      <c r="DN9" s="253"/>
      <c r="DO9" s="659"/>
      <c r="DP9" s="253"/>
      <c r="DQ9" s="253"/>
      <c r="DR9" s="253"/>
      <c r="DS9" s="253"/>
      <c r="DT9" s="253"/>
      <c r="DU9" s="253"/>
      <c r="DV9" s="253"/>
      <c r="DW9" s="454">
        <f t="shared" si="2"/>
        <v>0</v>
      </c>
      <c r="DX9" s="454">
        <f t="shared" si="3"/>
        <v>0</v>
      </c>
      <c r="DY9" s="454">
        <f t="shared" si="4"/>
        <v>0</v>
      </c>
      <c r="DZ9" s="173">
        <f t="shared" si="5"/>
        <v>0</v>
      </c>
      <c r="EA9" s="379"/>
      <c r="EB9" s="379"/>
      <c r="EC9" s="660"/>
      <c r="ED9" s="660"/>
      <c r="EE9" s="660"/>
      <c r="EF9" s="660"/>
      <c r="EG9" s="660"/>
      <c r="EH9" s="660"/>
      <c r="EI9" s="660"/>
      <c r="EJ9" s="660"/>
      <c r="EK9" s="660"/>
      <c r="EL9" s="660"/>
      <c r="EM9" s="660"/>
      <c r="EN9" s="660"/>
      <c r="EO9" s="660"/>
      <c r="EP9" s="660"/>
      <c r="EQ9" s="660"/>
      <c r="ER9" s="660"/>
      <c r="ES9" s="660"/>
      <c r="ET9" s="660"/>
      <c r="EU9" s="660"/>
      <c r="EV9" s="660"/>
      <c r="EW9" s="660"/>
      <c r="EX9" s="660"/>
      <c r="EY9" s="660"/>
      <c r="EZ9" s="660"/>
      <c r="FA9" s="660"/>
      <c r="FB9" s="660"/>
      <c r="FC9" s="660"/>
      <c r="FD9" s="660"/>
      <c r="FE9" s="660"/>
      <c r="FF9" s="660"/>
      <c r="FG9" s="660"/>
      <c r="FH9" s="660"/>
      <c r="FI9" s="660"/>
      <c r="FJ9" s="660"/>
      <c r="FK9" s="660"/>
      <c r="FL9" s="263" t="e">
        <f t="shared" si="6"/>
        <v>#VALUE!</v>
      </c>
      <c r="FM9" s="263" t="e">
        <f t="shared" si="7"/>
        <v>#DIV/0!</v>
      </c>
      <c r="FN9" s="263">
        <f t="shared" si="8"/>
        <v>0</v>
      </c>
      <c r="FO9" s="264" t="e">
        <f t="shared" si="9"/>
        <v>#VALUE!</v>
      </c>
    </row>
    <row r="10" spans="1:171" x14ac:dyDescent="0.25">
      <c r="A10" s="52"/>
      <c r="B10" s="13">
        <v>3</v>
      </c>
      <c r="C10" s="13" t="s">
        <v>141</v>
      </c>
      <c r="D10" s="644"/>
      <c r="E10" s="644"/>
      <c r="F10" s="645"/>
      <c r="G10" s="661"/>
      <c r="H10" s="164"/>
      <c r="I10" s="164"/>
      <c r="J10" s="164"/>
      <c r="K10" s="647"/>
      <c r="L10" s="647"/>
      <c r="M10" s="647"/>
      <c r="N10" s="647"/>
      <c r="O10" s="647"/>
      <c r="P10" s="648"/>
      <c r="Q10" s="359"/>
      <c r="R10" s="359"/>
      <c r="S10" s="649"/>
      <c r="T10" s="649"/>
      <c r="U10" s="649"/>
      <c r="V10" s="359"/>
      <c r="W10" s="359"/>
      <c r="X10" s="359"/>
      <c r="Y10" s="359"/>
      <c r="Z10" s="359"/>
      <c r="AA10" s="359"/>
      <c r="AB10" s="359"/>
      <c r="AC10" s="359"/>
      <c r="AD10" s="359"/>
      <c r="AE10" s="359"/>
      <c r="AF10" s="359"/>
      <c r="AG10" s="359"/>
      <c r="AH10" s="650"/>
      <c r="AI10" s="651"/>
      <c r="AJ10" s="651"/>
      <c r="AK10" s="164"/>
      <c r="AL10" s="164"/>
      <c r="AM10" s="164"/>
      <c r="AN10" s="164"/>
      <c r="AO10" s="164"/>
      <c r="AP10" s="164"/>
      <c r="AQ10" s="164"/>
      <c r="AR10" s="164"/>
      <c r="AS10" s="164"/>
      <c r="AT10" s="164"/>
      <c r="AU10" s="164"/>
      <c r="AV10" s="359"/>
      <c r="AW10" s="253"/>
      <c r="AX10" s="164"/>
      <c r="AY10" s="164"/>
      <c r="AZ10" s="164"/>
      <c r="BA10" s="253"/>
      <c r="BB10" s="253"/>
      <c r="BC10" s="253"/>
      <c r="BD10" s="253"/>
      <c r="BE10" s="253"/>
      <c r="BF10" s="253"/>
      <c r="BG10" s="253"/>
      <c r="BH10" s="253"/>
      <c r="BI10" s="253"/>
      <c r="BJ10" s="253"/>
      <c r="BK10" s="253"/>
      <c r="BL10" s="253"/>
      <c r="BM10" s="253"/>
      <c r="BN10" s="253"/>
      <c r="BO10" s="454">
        <f t="shared" si="10"/>
        <v>0</v>
      </c>
      <c r="BP10" s="454">
        <f t="shared" si="11"/>
        <v>0</v>
      </c>
      <c r="BQ10" s="454">
        <f t="shared" si="12"/>
        <v>0</v>
      </c>
      <c r="BR10" s="454">
        <f t="shared" si="0"/>
        <v>0</v>
      </c>
      <c r="BS10" s="173">
        <f t="shared" si="1"/>
        <v>0</v>
      </c>
      <c r="BT10" s="653"/>
      <c r="BU10" s="653"/>
      <c r="BV10" s="164"/>
      <c r="BW10" s="164"/>
      <c r="BX10" s="654"/>
      <c r="BY10" s="654"/>
      <c r="BZ10" s="654"/>
      <c r="CA10" s="654"/>
      <c r="CB10" s="164"/>
      <c r="CC10" s="655"/>
      <c r="CD10" s="656"/>
      <c r="CE10" s="656"/>
      <c r="CF10" s="657"/>
      <c r="CG10" s="657"/>
      <c r="CH10" s="657"/>
      <c r="CI10" s="656"/>
      <c r="CJ10" s="656"/>
      <c r="CK10" s="656"/>
      <c r="CL10" s="656"/>
      <c r="CM10" s="656"/>
      <c r="CN10" s="656"/>
      <c r="CO10" s="656"/>
      <c r="CP10" s="656"/>
      <c r="CQ10" s="656"/>
      <c r="CR10" s="656"/>
      <c r="CS10" s="656"/>
      <c r="CT10" s="656"/>
      <c r="CU10" s="658"/>
      <c r="CV10" s="656"/>
      <c r="CW10" s="656"/>
      <c r="CX10" s="164"/>
      <c r="CY10" s="164"/>
      <c r="CZ10" s="164"/>
      <c r="DA10" s="164"/>
      <c r="DB10" s="164"/>
      <c r="DC10" s="164"/>
      <c r="DD10" s="164"/>
      <c r="DE10" s="253"/>
      <c r="DF10" s="253"/>
      <c r="DG10" s="164"/>
      <c r="DH10" s="164"/>
      <c r="DI10" s="656"/>
      <c r="DJ10" s="253"/>
      <c r="DK10" s="164"/>
      <c r="DL10" s="164"/>
      <c r="DM10" s="659"/>
      <c r="DN10" s="253"/>
      <c r="DO10" s="659"/>
      <c r="DP10" s="253"/>
      <c r="DQ10" s="253"/>
      <c r="DR10" s="253"/>
      <c r="DS10" s="253"/>
      <c r="DT10" s="253"/>
      <c r="DU10" s="253"/>
      <c r="DV10" s="253"/>
      <c r="DW10" s="454">
        <f t="shared" si="2"/>
        <v>0</v>
      </c>
      <c r="DX10" s="454">
        <f t="shared" si="3"/>
        <v>0</v>
      </c>
      <c r="DY10" s="454">
        <f t="shared" si="4"/>
        <v>0</v>
      </c>
      <c r="DZ10" s="173">
        <f t="shared" si="5"/>
        <v>0</v>
      </c>
      <c r="EA10" s="379"/>
      <c r="EB10" s="379"/>
      <c r="EC10" s="660"/>
      <c r="ED10" s="660"/>
      <c r="EE10" s="660"/>
      <c r="EF10" s="660"/>
      <c r="EG10" s="660"/>
      <c r="EH10" s="660"/>
      <c r="EI10" s="660"/>
      <c r="EJ10" s="660"/>
      <c r="EK10" s="660"/>
      <c r="EL10" s="660"/>
      <c r="EM10" s="660"/>
      <c r="EN10" s="660"/>
      <c r="EO10" s="660"/>
      <c r="EP10" s="660"/>
      <c r="EQ10" s="660"/>
      <c r="ER10" s="660"/>
      <c r="ES10" s="660"/>
      <c r="ET10" s="660"/>
      <c r="EU10" s="660"/>
      <c r="EV10" s="660"/>
      <c r="EW10" s="660"/>
      <c r="EX10" s="660"/>
      <c r="EY10" s="660"/>
      <c r="EZ10" s="660"/>
      <c r="FA10" s="660"/>
      <c r="FB10" s="660"/>
      <c r="FC10" s="660"/>
      <c r="FD10" s="660"/>
      <c r="FE10" s="660"/>
      <c r="FF10" s="660"/>
      <c r="FG10" s="660"/>
      <c r="FH10" s="660"/>
      <c r="FI10" s="660"/>
      <c r="FJ10" s="660"/>
      <c r="FK10" s="660"/>
      <c r="FL10" s="263" t="e">
        <f t="shared" si="6"/>
        <v>#VALUE!</v>
      </c>
      <c r="FM10" s="263" t="e">
        <f t="shared" si="7"/>
        <v>#DIV/0!</v>
      </c>
      <c r="FN10" s="263">
        <f t="shared" si="8"/>
        <v>0</v>
      </c>
      <c r="FO10" s="264" t="e">
        <f t="shared" si="9"/>
        <v>#VALUE!</v>
      </c>
    </row>
    <row r="11" spans="1:171" x14ac:dyDescent="0.25">
      <c r="A11" s="52"/>
      <c r="B11" s="13">
        <v>4</v>
      </c>
      <c r="C11" s="13" t="s">
        <v>142</v>
      </c>
      <c r="D11" s="644"/>
      <c r="E11" s="644"/>
      <c r="F11" s="645"/>
      <c r="G11" s="661"/>
      <c r="H11" s="164"/>
      <c r="I11" s="164"/>
      <c r="J11" s="164"/>
      <c r="K11" s="647"/>
      <c r="L11" s="647"/>
      <c r="M11" s="647"/>
      <c r="N11" s="647"/>
      <c r="O11" s="647"/>
      <c r="P11" s="648"/>
      <c r="Q11" s="359"/>
      <c r="R11" s="359"/>
      <c r="S11" s="649"/>
      <c r="T11" s="649"/>
      <c r="U11" s="649"/>
      <c r="V11" s="359"/>
      <c r="W11" s="359"/>
      <c r="X11" s="359"/>
      <c r="Y11" s="359"/>
      <c r="Z11" s="359"/>
      <c r="AA11" s="359"/>
      <c r="AB11" s="359"/>
      <c r="AC11" s="359"/>
      <c r="AD11" s="359"/>
      <c r="AE11" s="359"/>
      <c r="AF11" s="359"/>
      <c r="AG11" s="359"/>
      <c r="AH11" s="650"/>
      <c r="AI11" s="651"/>
      <c r="AJ11" s="651"/>
      <c r="AK11" s="164"/>
      <c r="AL11" s="164"/>
      <c r="AM11" s="164"/>
      <c r="AN11" s="164"/>
      <c r="AO11" s="164"/>
      <c r="AP11" s="164"/>
      <c r="AQ11" s="164"/>
      <c r="AR11" s="164"/>
      <c r="AS11" s="164"/>
      <c r="AT11" s="164"/>
      <c r="AU11" s="164"/>
      <c r="AV11" s="359"/>
      <c r="AW11" s="253"/>
      <c r="AX11" s="164"/>
      <c r="AY11" s="164"/>
      <c r="AZ11" s="164"/>
      <c r="BA11" s="253"/>
      <c r="BB11" s="253"/>
      <c r="BC11" s="253"/>
      <c r="BD11" s="253"/>
      <c r="BE11" s="253"/>
      <c r="BF11" s="253"/>
      <c r="BG11" s="253"/>
      <c r="BH11" s="253"/>
      <c r="BI11" s="253"/>
      <c r="BJ11" s="253"/>
      <c r="BK11" s="253"/>
      <c r="BL11" s="253"/>
      <c r="BM11" s="253"/>
      <c r="BN11" s="253"/>
      <c r="BO11" s="454">
        <f t="shared" si="10"/>
        <v>0</v>
      </c>
      <c r="BP11" s="454">
        <f t="shared" si="11"/>
        <v>0</v>
      </c>
      <c r="BQ11" s="454">
        <f t="shared" si="12"/>
        <v>0</v>
      </c>
      <c r="BR11" s="454">
        <f t="shared" si="0"/>
        <v>0</v>
      </c>
      <c r="BS11" s="173">
        <f t="shared" si="1"/>
        <v>0</v>
      </c>
      <c r="BT11" s="653"/>
      <c r="BU11" s="653"/>
      <c r="BV11" s="164"/>
      <c r="BW11" s="164"/>
      <c r="BX11" s="654"/>
      <c r="BY11" s="654"/>
      <c r="BZ11" s="654"/>
      <c r="CA11" s="654"/>
      <c r="CB11" s="164"/>
      <c r="CC11" s="655"/>
      <c r="CD11" s="656"/>
      <c r="CE11" s="656"/>
      <c r="CF11" s="657"/>
      <c r="CG11" s="657"/>
      <c r="CH11" s="657"/>
      <c r="CI11" s="656"/>
      <c r="CJ11" s="656"/>
      <c r="CK11" s="656"/>
      <c r="CL11" s="656"/>
      <c r="CM11" s="656"/>
      <c r="CN11" s="656"/>
      <c r="CO11" s="656"/>
      <c r="CP11" s="656"/>
      <c r="CQ11" s="656"/>
      <c r="CR11" s="656"/>
      <c r="CS11" s="656"/>
      <c r="CT11" s="656"/>
      <c r="CU11" s="658"/>
      <c r="CV11" s="656"/>
      <c r="CW11" s="656"/>
      <c r="CX11" s="164"/>
      <c r="CY11" s="164"/>
      <c r="CZ11" s="164"/>
      <c r="DA11" s="164"/>
      <c r="DB11" s="164"/>
      <c r="DC11" s="164"/>
      <c r="DD11" s="164"/>
      <c r="DE11" s="253"/>
      <c r="DF11" s="253"/>
      <c r="DG11" s="164"/>
      <c r="DH11" s="164"/>
      <c r="DI11" s="656"/>
      <c r="DJ11" s="253"/>
      <c r="DK11" s="164"/>
      <c r="DL11" s="164"/>
      <c r="DM11" s="659"/>
      <c r="DN11" s="253"/>
      <c r="DO11" s="659"/>
      <c r="DP11" s="253"/>
      <c r="DQ11" s="253"/>
      <c r="DR11" s="253"/>
      <c r="DS11" s="253"/>
      <c r="DT11" s="253"/>
      <c r="DU11" s="253"/>
      <c r="DV11" s="253"/>
      <c r="DW11" s="454">
        <f t="shared" si="2"/>
        <v>0</v>
      </c>
      <c r="DX11" s="454">
        <f t="shared" si="3"/>
        <v>0</v>
      </c>
      <c r="DY11" s="454">
        <f t="shared" si="4"/>
        <v>0</v>
      </c>
      <c r="DZ11" s="173">
        <f t="shared" si="5"/>
        <v>0</v>
      </c>
      <c r="EA11" s="379"/>
      <c r="EB11" s="379"/>
      <c r="EC11" s="660"/>
      <c r="ED11" s="660"/>
      <c r="EE11" s="660"/>
      <c r="EF11" s="660"/>
      <c r="EG11" s="660"/>
      <c r="EH11" s="660"/>
      <c r="EI11" s="660"/>
      <c r="EJ11" s="660"/>
      <c r="EK11" s="660"/>
      <c r="EL11" s="660"/>
      <c r="EM11" s="660"/>
      <c r="EN11" s="660"/>
      <c r="EO11" s="660"/>
      <c r="EP11" s="660"/>
      <c r="EQ11" s="660"/>
      <c r="ER11" s="660"/>
      <c r="ES11" s="660"/>
      <c r="ET11" s="660"/>
      <c r="EU11" s="660"/>
      <c r="EV11" s="660"/>
      <c r="EW11" s="660"/>
      <c r="EX11" s="660"/>
      <c r="EY11" s="660"/>
      <c r="EZ11" s="660"/>
      <c r="FA11" s="660"/>
      <c r="FB11" s="660"/>
      <c r="FC11" s="660"/>
      <c r="FD11" s="660"/>
      <c r="FE11" s="660"/>
      <c r="FF11" s="660"/>
      <c r="FG11" s="660"/>
      <c r="FH11" s="660"/>
      <c r="FI11" s="660"/>
      <c r="FJ11" s="660"/>
      <c r="FK11" s="660"/>
      <c r="FL11" s="263" t="e">
        <f t="shared" si="6"/>
        <v>#VALUE!</v>
      </c>
      <c r="FM11" s="263" t="e">
        <f t="shared" si="7"/>
        <v>#DIV/0!</v>
      </c>
      <c r="FN11" s="263">
        <f t="shared" si="8"/>
        <v>0</v>
      </c>
      <c r="FO11" s="264" t="e">
        <f t="shared" si="9"/>
        <v>#VALUE!</v>
      </c>
    </row>
    <row r="12" spans="1:171" x14ac:dyDescent="0.25">
      <c r="A12" s="52"/>
      <c r="B12" s="13">
        <v>5</v>
      </c>
      <c r="C12" s="13" t="s">
        <v>143</v>
      </c>
      <c r="D12" s="644"/>
      <c r="E12" s="644"/>
      <c r="F12" s="645"/>
      <c r="G12" s="661"/>
      <c r="H12" s="164"/>
      <c r="I12" s="164"/>
      <c r="J12" s="164"/>
      <c r="K12" s="647"/>
      <c r="L12" s="647"/>
      <c r="M12" s="647"/>
      <c r="N12" s="647"/>
      <c r="O12" s="647"/>
      <c r="P12" s="648"/>
      <c r="Q12" s="359"/>
      <c r="R12" s="359"/>
      <c r="S12" s="649"/>
      <c r="T12" s="649"/>
      <c r="U12" s="649"/>
      <c r="V12" s="359"/>
      <c r="W12" s="359"/>
      <c r="X12" s="359"/>
      <c r="Y12" s="359"/>
      <c r="Z12" s="359"/>
      <c r="AA12" s="359"/>
      <c r="AB12" s="359"/>
      <c r="AC12" s="359"/>
      <c r="AD12" s="359"/>
      <c r="AE12" s="359"/>
      <c r="AF12" s="359"/>
      <c r="AG12" s="359"/>
      <c r="AH12" s="650"/>
      <c r="AI12" s="651"/>
      <c r="AJ12" s="651"/>
      <c r="AK12" s="164"/>
      <c r="AL12" s="164"/>
      <c r="AM12" s="164"/>
      <c r="AN12" s="164"/>
      <c r="AO12" s="164"/>
      <c r="AP12" s="164"/>
      <c r="AQ12" s="164"/>
      <c r="AR12" s="164"/>
      <c r="AS12" s="164"/>
      <c r="AT12" s="164"/>
      <c r="AU12" s="164"/>
      <c r="AV12" s="359"/>
      <c r="AW12" s="253"/>
      <c r="AX12" s="164"/>
      <c r="AY12" s="164"/>
      <c r="AZ12" s="164"/>
      <c r="BA12" s="253"/>
      <c r="BB12" s="253"/>
      <c r="BC12" s="253"/>
      <c r="BD12" s="253"/>
      <c r="BE12" s="253"/>
      <c r="BF12" s="253"/>
      <c r="BG12" s="253"/>
      <c r="BH12" s="253"/>
      <c r="BI12" s="253"/>
      <c r="BJ12" s="253"/>
      <c r="BK12" s="253"/>
      <c r="BL12" s="253"/>
      <c r="BM12" s="253"/>
      <c r="BN12" s="253"/>
      <c r="BO12" s="454">
        <f t="shared" si="10"/>
        <v>0</v>
      </c>
      <c r="BP12" s="454">
        <f t="shared" si="11"/>
        <v>0</v>
      </c>
      <c r="BQ12" s="454">
        <f t="shared" si="12"/>
        <v>0</v>
      </c>
      <c r="BR12" s="454">
        <f t="shared" si="0"/>
        <v>0</v>
      </c>
      <c r="BS12" s="173">
        <f t="shared" si="1"/>
        <v>0</v>
      </c>
      <c r="BT12" s="653"/>
      <c r="BU12" s="653"/>
      <c r="BV12" s="164"/>
      <c r="BW12" s="164"/>
      <c r="BX12" s="654"/>
      <c r="BY12" s="654"/>
      <c r="BZ12" s="654"/>
      <c r="CA12" s="654"/>
      <c r="CB12" s="164"/>
      <c r="CC12" s="655"/>
      <c r="CD12" s="656"/>
      <c r="CE12" s="656"/>
      <c r="CF12" s="657"/>
      <c r="CG12" s="657"/>
      <c r="CH12" s="657"/>
      <c r="CI12" s="656"/>
      <c r="CJ12" s="656"/>
      <c r="CK12" s="656"/>
      <c r="CL12" s="656"/>
      <c r="CM12" s="656"/>
      <c r="CN12" s="656"/>
      <c r="CO12" s="656"/>
      <c r="CP12" s="656"/>
      <c r="CQ12" s="656"/>
      <c r="CR12" s="656"/>
      <c r="CS12" s="656"/>
      <c r="CT12" s="656"/>
      <c r="CU12" s="658"/>
      <c r="CV12" s="656"/>
      <c r="CW12" s="656"/>
      <c r="CX12" s="164"/>
      <c r="CY12" s="164"/>
      <c r="CZ12" s="164"/>
      <c r="DA12" s="164"/>
      <c r="DB12" s="164"/>
      <c r="DC12" s="164"/>
      <c r="DD12" s="164"/>
      <c r="DE12" s="164"/>
      <c r="DF12" s="164"/>
      <c r="DG12" s="164"/>
      <c r="DH12" s="164"/>
      <c r="DI12" s="656"/>
      <c r="DJ12" s="253"/>
      <c r="DK12" s="164"/>
      <c r="DL12" s="164"/>
      <c r="DM12" s="659"/>
      <c r="DN12" s="253"/>
      <c r="DO12" s="659"/>
      <c r="DP12" s="253"/>
      <c r="DQ12" s="253"/>
      <c r="DR12" s="253"/>
      <c r="DS12" s="253"/>
      <c r="DT12" s="253"/>
      <c r="DU12" s="253"/>
      <c r="DV12" s="253"/>
      <c r="DW12" s="454">
        <f t="shared" si="2"/>
        <v>0</v>
      </c>
      <c r="DX12" s="454">
        <f t="shared" si="3"/>
        <v>0</v>
      </c>
      <c r="DY12" s="454">
        <f t="shared" si="4"/>
        <v>0</v>
      </c>
      <c r="DZ12" s="173">
        <f t="shared" si="5"/>
        <v>0</v>
      </c>
      <c r="EA12" s="379"/>
      <c r="EB12" s="379"/>
      <c r="EC12" s="660"/>
      <c r="ED12" s="660"/>
      <c r="EE12" s="660"/>
      <c r="EF12" s="660"/>
      <c r="EG12" s="660"/>
      <c r="EH12" s="660"/>
      <c r="EI12" s="660"/>
      <c r="EJ12" s="660"/>
      <c r="EK12" s="660"/>
      <c r="EL12" s="660"/>
      <c r="EM12" s="660"/>
      <c r="EN12" s="660"/>
      <c r="EO12" s="660"/>
      <c r="EP12" s="660"/>
      <c r="EQ12" s="660"/>
      <c r="ER12" s="660"/>
      <c r="ES12" s="660"/>
      <c r="ET12" s="660"/>
      <c r="EU12" s="660"/>
      <c r="EV12" s="660"/>
      <c r="EW12" s="660"/>
      <c r="EX12" s="660"/>
      <c r="EY12" s="660"/>
      <c r="EZ12" s="660"/>
      <c r="FA12" s="660"/>
      <c r="FB12" s="660"/>
      <c r="FC12" s="660"/>
      <c r="FD12" s="660"/>
      <c r="FE12" s="660"/>
      <c r="FF12" s="660"/>
      <c r="FG12" s="660"/>
      <c r="FH12" s="660"/>
      <c r="FI12" s="660"/>
      <c r="FJ12" s="660"/>
      <c r="FK12" s="660"/>
      <c r="FL12" s="263" t="e">
        <f t="shared" si="6"/>
        <v>#VALUE!</v>
      </c>
      <c r="FM12" s="263" t="e">
        <f t="shared" si="7"/>
        <v>#DIV/0!</v>
      </c>
      <c r="FN12" s="263">
        <f t="shared" si="8"/>
        <v>0</v>
      </c>
      <c r="FO12" s="264" t="e">
        <f t="shared" si="9"/>
        <v>#VALUE!</v>
      </c>
    </row>
    <row r="13" spans="1:171" x14ac:dyDescent="0.25">
      <c r="A13" s="52"/>
      <c r="B13" s="13">
        <v>6</v>
      </c>
      <c r="C13" s="13" t="s">
        <v>144</v>
      </c>
      <c r="D13" s="644"/>
      <c r="E13" s="644"/>
      <c r="F13" s="645"/>
      <c r="G13" s="661"/>
      <c r="H13" s="164"/>
      <c r="I13" s="164"/>
      <c r="J13" s="164"/>
      <c r="K13" s="651"/>
      <c r="L13" s="651"/>
      <c r="M13" s="651"/>
      <c r="N13" s="651"/>
      <c r="O13" s="647"/>
      <c r="P13" s="648"/>
      <c r="Q13" s="359"/>
      <c r="R13" s="359"/>
      <c r="S13" s="649"/>
      <c r="T13" s="649"/>
      <c r="U13" s="649"/>
      <c r="V13" s="359"/>
      <c r="W13" s="359"/>
      <c r="X13" s="359"/>
      <c r="Y13" s="359"/>
      <c r="Z13" s="359"/>
      <c r="AA13" s="359"/>
      <c r="AB13" s="359"/>
      <c r="AC13" s="359"/>
      <c r="AD13" s="359"/>
      <c r="AE13" s="359"/>
      <c r="AF13" s="359"/>
      <c r="AG13" s="359"/>
      <c r="AH13" s="650"/>
      <c r="AI13" s="651"/>
      <c r="AJ13" s="651"/>
      <c r="AK13" s="164"/>
      <c r="AL13" s="164"/>
      <c r="AM13" s="164"/>
      <c r="AN13" s="164"/>
      <c r="AO13" s="164"/>
      <c r="AP13" s="164"/>
      <c r="AQ13" s="164"/>
      <c r="AR13" s="164"/>
      <c r="AS13" s="164"/>
      <c r="AT13" s="164"/>
      <c r="AU13" s="164"/>
      <c r="AV13" s="359"/>
      <c r="AW13" s="253"/>
      <c r="AX13" s="164"/>
      <c r="AY13" s="164"/>
      <c r="AZ13" s="164"/>
      <c r="BA13" s="253"/>
      <c r="BB13" s="253"/>
      <c r="BC13" s="253"/>
      <c r="BD13" s="253"/>
      <c r="BE13" s="253"/>
      <c r="BF13" s="253"/>
      <c r="BG13" s="253"/>
      <c r="BH13" s="253"/>
      <c r="BI13" s="253"/>
      <c r="BJ13" s="253"/>
      <c r="BK13" s="253"/>
      <c r="BL13" s="253"/>
      <c r="BM13" s="253"/>
      <c r="BN13" s="253"/>
      <c r="BO13" s="454">
        <f t="shared" si="10"/>
        <v>0</v>
      </c>
      <c r="BP13" s="454">
        <f t="shared" si="11"/>
        <v>0</v>
      </c>
      <c r="BQ13" s="454">
        <f t="shared" si="12"/>
        <v>0</v>
      </c>
      <c r="BR13" s="454">
        <f t="shared" si="0"/>
        <v>0</v>
      </c>
      <c r="BS13" s="173">
        <f t="shared" si="1"/>
        <v>0</v>
      </c>
      <c r="BT13" s="653"/>
      <c r="BU13" s="653"/>
      <c r="BV13" s="164"/>
      <c r="BW13" s="164"/>
      <c r="BX13" s="654"/>
      <c r="BY13" s="654"/>
      <c r="BZ13" s="654"/>
      <c r="CA13" s="654"/>
      <c r="CB13" s="164"/>
      <c r="CC13" s="655"/>
      <c r="CD13" s="656"/>
      <c r="CE13" s="656"/>
      <c r="CF13" s="657"/>
      <c r="CG13" s="657"/>
      <c r="CH13" s="657"/>
      <c r="CI13" s="656"/>
      <c r="CJ13" s="656"/>
      <c r="CK13" s="656"/>
      <c r="CL13" s="656"/>
      <c r="CM13" s="656"/>
      <c r="CN13" s="656"/>
      <c r="CO13" s="656"/>
      <c r="CP13" s="656"/>
      <c r="CQ13" s="656"/>
      <c r="CR13" s="656"/>
      <c r="CS13" s="656"/>
      <c r="CT13" s="656"/>
      <c r="CU13" s="658"/>
      <c r="CV13" s="656"/>
      <c r="CW13" s="656"/>
      <c r="CX13" s="164"/>
      <c r="CY13" s="164"/>
      <c r="CZ13" s="164"/>
      <c r="DA13" s="164"/>
      <c r="DB13" s="164"/>
      <c r="DC13" s="164"/>
      <c r="DD13" s="164"/>
      <c r="DE13" s="164"/>
      <c r="DF13" s="164"/>
      <c r="DG13" s="164"/>
      <c r="DH13" s="164"/>
      <c r="DI13" s="656"/>
      <c r="DJ13" s="253"/>
      <c r="DK13" s="164"/>
      <c r="DL13" s="164"/>
      <c r="DM13" s="659"/>
      <c r="DN13" s="253"/>
      <c r="DO13" s="659"/>
      <c r="DP13" s="253"/>
      <c r="DQ13" s="253"/>
      <c r="DR13" s="253"/>
      <c r="DS13" s="253"/>
      <c r="DT13" s="253"/>
      <c r="DU13" s="253"/>
      <c r="DV13" s="253"/>
      <c r="DW13" s="454">
        <f t="shared" si="2"/>
        <v>0</v>
      </c>
      <c r="DX13" s="454">
        <f t="shared" si="3"/>
        <v>0</v>
      </c>
      <c r="DY13" s="454">
        <f t="shared" si="4"/>
        <v>0</v>
      </c>
      <c r="DZ13" s="173">
        <f t="shared" si="5"/>
        <v>0</v>
      </c>
      <c r="EA13" s="379"/>
      <c r="EB13" s="379"/>
      <c r="EC13" s="660"/>
      <c r="ED13" s="660"/>
      <c r="EE13" s="660"/>
      <c r="EF13" s="660"/>
      <c r="EG13" s="660"/>
      <c r="EH13" s="660"/>
      <c r="EI13" s="660"/>
      <c r="EJ13" s="660"/>
      <c r="EK13" s="660"/>
      <c r="EL13" s="660"/>
      <c r="EM13" s="660"/>
      <c r="EN13" s="660"/>
      <c r="EO13" s="660"/>
      <c r="EP13" s="660"/>
      <c r="EQ13" s="660"/>
      <c r="ER13" s="660"/>
      <c r="ES13" s="660"/>
      <c r="ET13" s="660"/>
      <c r="EU13" s="660"/>
      <c r="EV13" s="660"/>
      <c r="EW13" s="660"/>
      <c r="EX13" s="660"/>
      <c r="EY13" s="660"/>
      <c r="EZ13" s="660"/>
      <c r="FA13" s="660"/>
      <c r="FB13" s="660"/>
      <c r="FC13" s="660"/>
      <c r="FD13" s="660"/>
      <c r="FE13" s="660"/>
      <c r="FF13" s="660"/>
      <c r="FG13" s="660"/>
      <c r="FH13" s="660"/>
      <c r="FI13" s="660"/>
      <c r="FJ13" s="660"/>
      <c r="FK13" s="660"/>
      <c r="FL13" s="263" t="e">
        <f t="shared" si="6"/>
        <v>#VALUE!</v>
      </c>
      <c r="FM13" s="263" t="e">
        <f t="shared" si="7"/>
        <v>#DIV/0!</v>
      </c>
      <c r="FN13" s="263">
        <f t="shared" si="8"/>
        <v>0</v>
      </c>
      <c r="FO13" s="264" t="e">
        <f t="shared" si="9"/>
        <v>#VALUE!</v>
      </c>
    </row>
    <row r="14" spans="1:171" x14ac:dyDescent="0.25">
      <c r="A14" s="52"/>
      <c r="B14" s="13">
        <v>7</v>
      </c>
      <c r="C14" s="13" t="s">
        <v>145</v>
      </c>
      <c r="D14" s="644"/>
      <c r="E14" s="644"/>
      <c r="F14" s="645"/>
      <c r="G14" s="661"/>
      <c r="H14" s="164"/>
      <c r="I14" s="164"/>
      <c r="J14" s="164"/>
      <c r="K14" s="647"/>
      <c r="L14" s="647"/>
      <c r="M14" s="647"/>
      <c r="N14" s="647"/>
      <c r="O14" s="647"/>
      <c r="P14" s="648"/>
      <c r="Q14" s="359"/>
      <c r="R14" s="359"/>
      <c r="S14" s="649"/>
      <c r="T14" s="649"/>
      <c r="U14" s="649"/>
      <c r="V14" s="359"/>
      <c r="W14" s="359"/>
      <c r="X14" s="359"/>
      <c r="Y14" s="359"/>
      <c r="Z14" s="359"/>
      <c r="AA14" s="359"/>
      <c r="AB14" s="359"/>
      <c r="AC14" s="359"/>
      <c r="AD14" s="359"/>
      <c r="AE14" s="359"/>
      <c r="AF14" s="359"/>
      <c r="AG14" s="359"/>
      <c r="AH14" s="650"/>
      <c r="AI14" s="651"/>
      <c r="AJ14" s="651"/>
      <c r="AK14" s="164"/>
      <c r="AL14" s="164"/>
      <c r="AM14" s="164"/>
      <c r="AN14" s="164"/>
      <c r="AO14" s="164"/>
      <c r="AP14" s="164"/>
      <c r="AQ14" s="164"/>
      <c r="AR14" s="164"/>
      <c r="AS14" s="164"/>
      <c r="AT14" s="164"/>
      <c r="AU14" s="164"/>
      <c r="AV14" s="367"/>
      <c r="AW14" s="253"/>
      <c r="AX14" s="164"/>
      <c r="AY14" s="164"/>
      <c r="AZ14" s="164"/>
      <c r="BA14" s="253"/>
      <c r="BB14" s="253"/>
      <c r="BC14" s="253"/>
      <c r="BD14" s="253"/>
      <c r="BE14" s="253"/>
      <c r="BF14" s="253"/>
      <c r="BG14" s="253"/>
      <c r="BH14" s="253"/>
      <c r="BI14" s="253"/>
      <c r="BJ14" s="253"/>
      <c r="BK14" s="253"/>
      <c r="BL14" s="253"/>
      <c r="BM14" s="253"/>
      <c r="BN14" s="253"/>
      <c r="BO14" s="454">
        <f t="shared" si="10"/>
        <v>0</v>
      </c>
      <c r="BP14" s="454">
        <f t="shared" si="11"/>
        <v>0</v>
      </c>
      <c r="BQ14" s="454">
        <f t="shared" si="12"/>
        <v>0</v>
      </c>
      <c r="BR14" s="454">
        <f t="shared" si="0"/>
        <v>0</v>
      </c>
      <c r="BS14" s="173">
        <f t="shared" si="1"/>
        <v>0</v>
      </c>
      <c r="BT14" s="653"/>
      <c r="BU14" s="653"/>
      <c r="BV14" s="164"/>
      <c r="BW14" s="164"/>
      <c r="BX14" s="654"/>
      <c r="BY14" s="654"/>
      <c r="BZ14" s="654"/>
      <c r="CA14" s="654"/>
      <c r="CB14" s="164"/>
      <c r="CC14" s="655"/>
      <c r="CD14" s="656"/>
      <c r="CE14" s="656"/>
      <c r="CF14" s="657"/>
      <c r="CG14" s="657"/>
      <c r="CH14" s="657"/>
      <c r="CI14" s="656"/>
      <c r="CJ14" s="656"/>
      <c r="CK14" s="656"/>
      <c r="CL14" s="656"/>
      <c r="CM14" s="656"/>
      <c r="CN14" s="656"/>
      <c r="CO14" s="656"/>
      <c r="CP14" s="656"/>
      <c r="CQ14" s="656"/>
      <c r="CR14" s="656"/>
      <c r="CS14" s="656"/>
      <c r="CT14" s="656"/>
      <c r="CU14" s="658"/>
      <c r="CV14" s="656"/>
      <c r="CW14" s="662"/>
      <c r="CX14" s="164"/>
      <c r="CY14" s="164"/>
      <c r="CZ14" s="164"/>
      <c r="DA14" s="164"/>
      <c r="DB14" s="164"/>
      <c r="DC14" s="164"/>
      <c r="DD14" s="164"/>
      <c r="DE14" s="164"/>
      <c r="DF14" s="164"/>
      <c r="DG14" s="164"/>
      <c r="DH14" s="164"/>
      <c r="DI14" s="656"/>
      <c r="DJ14" s="253"/>
      <c r="DK14" s="164"/>
      <c r="DL14" s="164"/>
      <c r="DM14" s="659"/>
      <c r="DN14" s="253"/>
      <c r="DO14" s="659"/>
      <c r="DP14" s="253"/>
      <c r="DQ14" s="253"/>
      <c r="DR14" s="253"/>
      <c r="DS14" s="253"/>
      <c r="DT14" s="253"/>
      <c r="DU14" s="253"/>
      <c r="DV14" s="253"/>
      <c r="DW14" s="454">
        <f t="shared" si="2"/>
        <v>0</v>
      </c>
      <c r="DX14" s="454">
        <f t="shared" si="3"/>
        <v>0</v>
      </c>
      <c r="DY14" s="454">
        <f t="shared" si="4"/>
        <v>0</v>
      </c>
      <c r="DZ14" s="173">
        <f t="shared" si="5"/>
        <v>0</v>
      </c>
      <c r="EA14" s="379"/>
      <c r="EB14" s="379"/>
      <c r="EC14" s="660"/>
      <c r="ED14" s="660"/>
      <c r="EE14" s="660"/>
      <c r="EF14" s="660"/>
      <c r="EG14" s="660"/>
      <c r="EH14" s="660"/>
      <c r="EI14" s="660"/>
      <c r="EJ14" s="660"/>
      <c r="EK14" s="660"/>
      <c r="EL14" s="660"/>
      <c r="EM14" s="660"/>
      <c r="EN14" s="660"/>
      <c r="EO14" s="660"/>
      <c r="EP14" s="660"/>
      <c r="EQ14" s="660"/>
      <c r="ER14" s="660"/>
      <c r="ES14" s="660"/>
      <c r="ET14" s="660"/>
      <c r="EU14" s="660"/>
      <c r="EV14" s="660"/>
      <c r="EW14" s="660"/>
      <c r="EX14" s="660"/>
      <c r="EY14" s="660"/>
      <c r="EZ14" s="660"/>
      <c r="FA14" s="660"/>
      <c r="FB14" s="660"/>
      <c r="FC14" s="660"/>
      <c r="FD14" s="660"/>
      <c r="FE14" s="660"/>
      <c r="FF14" s="660"/>
      <c r="FG14" s="660"/>
      <c r="FH14" s="660"/>
      <c r="FI14" s="660"/>
      <c r="FJ14" s="660"/>
      <c r="FK14" s="660"/>
      <c r="FL14" s="263" t="e">
        <f t="shared" si="6"/>
        <v>#VALUE!</v>
      </c>
      <c r="FM14" s="263" t="e">
        <f t="shared" si="7"/>
        <v>#DIV/0!</v>
      </c>
      <c r="FN14" s="263">
        <f t="shared" si="8"/>
        <v>0</v>
      </c>
      <c r="FO14" s="264" t="e">
        <f t="shared" si="9"/>
        <v>#VALUE!</v>
      </c>
    </row>
    <row r="15" spans="1:171" x14ac:dyDescent="0.25">
      <c r="A15" s="52"/>
      <c r="B15" s="13">
        <v>8</v>
      </c>
      <c r="C15" s="13" t="s">
        <v>146</v>
      </c>
      <c r="D15" s="644"/>
      <c r="E15" s="644"/>
      <c r="F15" s="645"/>
      <c r="G15" s="661"/>
      <c r="H15" s="164"/>
      <c r="I15" s="164"/>
      <c r="J15" s="164"/>
      <c r="K15" s="647"/>
      <c r="L15" s="647"/>
      <c r="M15" s="647"/>
      <c r="N15" s="647"/>
      <c r="O15" s="647"/>
      <c r="P15" s="648"/>
      <c r="Q15" s="359"/>
      <c r="R15" s="359"/>
      <c r="S15" s="649"/>
      <c r="T15" s="649"/>
      <c r="U15" s="649"/>
      <c r="V15" s="359"/>
      <c r="W15" s="359"/>
      <c r="X15" s="359"/>
      <c r="Y15" s="359"/>
      <c r="Z15" s="359"/>
      <c r="AA15" s="359"/>
      <c r="AB15" s="359"/>
      <c r="AC15" s="359"/>
      <c r="AD15" s="359"/>
      <c r="AE15" s="359"/>
      <c r="AF15" s="359"/>
      <c r="AG15" s="359"/>
      <c r="AH15" s="650"/>
      <c r="AI15" s="651"/>
      <c r="AJ15" s="651"/>
      <c r="AK15" s="164"/>
      <c r="AL15" s="164"/>
      <c r="AM15" s="164"/>
      <c r="AN15" s="164"/>
      <c r="AO15" s="164"/>
      <c r="AP15" s="164"/>
      <c r="AQ15" s="164"/>
      <c r="AR15" s="164"/>
      <c r="AS15" s="164"/>
      <c r="AT15" s="164"/>
      <c r="AU15" s="164"/>
      <c r="AV15" s="359"/>
      <c r="AW15" s="253"/>
      <c r="AX15" s="164"/>
      <c r="AY15" s="164"/>
      <c r="AZ15" s="164"/>
      <c r="BA15" s="253"/>
      <c r="BB15" s="253"/>
      <c r="BC15" s="253"/>
      <c r="BD15" s="253"/>
      <c r="BE15" s="253"/>
      <c r="BF15" s="253"/>
      <c r="BG15" s="253"/>
      <c r="BH15" s="253"/>
      <c r="BI15" s="253"/>
      <c r="BJ15" s="253"/>
      <c r="BK15" s="253"/>
      <c r="BL15" s="253"/>
      <c r="BM15" s="253"/>
      <c r="BN15" s="253"/>
      <c r="BO15" s="454">
        <f t="shared" si="10"/>
        <v>0</v>
      </c>
      <c r="BP15" s="454">
        <f t="shared" si="11"/>
        <v>0</v>
      </c>
      <c r="BQ15" s="454">
        <f t="shared" si="12"/>
        <v>0</v>
      </c>
      <c r="BR15" s="454">
        <f t="shared" si="0"/>
        <v>0</v>
      </c>
      <c r="BS15" s="173">
        <f t="shared" si="1"/>
        <v>0</v>
      </c>
      <c r="BT15" s="653"/>
      <c r="BU15" s="653"/>
      <c r="BV15" s="164"/>
      <c r="BW15" s="164"/>
      <c r="BX15" s="654"/>
      <c r="BY15" s="654"/>
      <c r="BZ15" s="654"/>
      <c r="CA15" s="654"/>
      <c r="CB15" s="164"/>
      <c r="CC15" s="655"/>
      <c r="CD15" s="656"/>
      <c r="CE15" s="656"/>
      <c r="CF15" s="657"/>
      <c r="CG15" s="657"/>
      <c r="CH15" s="657"/>
      <c r="CI15" s="656"/>
      <c r="CJ15" s="656"/>
      <c r="CK15" s="656"/>
      <c r="CL15" s="656"/>
      <c r="CM15" s="656"/>
      <c r="CN15" s="656"/>
      <c r="CO15" s="656"/>
      <c r="CP15" s="656"/>
      <c r="CQ15" s="656"/>
      <c r="CR15" s="656"/>
      <c r="CS15" s="656"/>
      <c r="CT15" s="656"/>
      <c r="CU15" s="658"/>
      <c r="CV15" s="656"/>
      <c r="CW15" s="656"/>
      <c r="CX15" s="164"/>
      <c r="CY15" s="164"/>
      <c r="CZ15" s="164"/>
      <c r="DA15" s="164"/>
      <c r="DB15" s="164"/>
      <c r="DC15" s="164"/>
      <c r="DD15" s="164"/>
      <c r="DE15" s="164"/>
      <c r="DF15" s="164"/>
      <c r="DG15" s="164"/>
      <c r="DH15" s="164"/>
      <c r="DI15" s="656"/>
      <c r="DJ15" s="253"/>
      <c r="DK15" s="164"/>
      <c r="DL15" s="164"/>
      <c r="DM15" s="659"/>
      <c r="DN15" s="253"/>
      <c r="DO15" s="253"/>
      <c r="DP15" s="253"/>
      <c r="DQ15" s="253"/>
      <c r="DR15" s="253"/>
      <c r="DS15" s="253"/>
      <c r="DT15" s="253"/>
      <c r="DU15" s="253"/>
      <c r="DV15" s="253"/>
      <c r="DW15" s="454">
        <f t="shared" si="2"/>
        <v>0</v>
      </c>
      <c r="DX15" s="454">
        <f t="shared" si="3"/>
        <v>0</v>
      </c>
      <c r="DY15" s="454">
        <f t="shared" si="4"/>
        <v>0</v>
      </c>
      <c r="DZ15" s="173">
        <f t="shared" si="5"/>
        <v>0</v>
      </c>
      <c r="EA15" s="379"/>
      <c r="EB15" s="379"/>
      <c r="EC15" s="379"/>
      <c r="ED15" s="379"/>
      <c r="EE15" s="660"/>
      <c r="EF15" s="660"/>
      <c r="EG15" s="660"/>
      <c r="EH15" s="660"/>
      <c r="EI15" s="660"/>
      <c r="EJ15" s="660"/>
      <c r="EK15" s="379"/>
      <c r="EL15" s="379"/>
      <c r="EM15" s="379"/>
      <c r="EN15" s="379"/>
      <c r="EO15" s="379"/>
      <c r="EP15" s="379"/>
      <c r="EQ15" s="379"/>
      <c r="ER15" s="379"/>
      <c r="ES15" s="379"/>
      <c r="ET15" s="379"/>
      <c r="EU15" s="379"/>
      <c r="EV15" s="379"/>
      <c r="EW15" s="379"/>
      <c r="EX15" s="379"/>
      <c r="EY15" s="379"/>
      <c r="EZ15" s="379"/>
      <c r="FA15" s="379"/>
      <c r="FB15" s="379"/>
      <c r="FC15" s="379"/>
      <c r="FD15" s="379"/>
      <c r="FE15" s="379"/>
      <c r="FF15" s="379"/>
      <c r="FG15" s="379"/>
      <c r="FH15" s="379"/>
      <c r="FI15" s="379"/>
      <c r="FJ15" s="379"/>
      <c r="FK15" s="379"/>
      <c r="FL15" s="263" t="e">
        <f t="shared" si="6"/>
        <v>#VALUE!</v>
      </c>
      <c r="FM15" s="263" t="e">
        <f t="shared" si="7"/>
        <v>#DIV/0!</v>
      </c>
      <c r="FN15" s="263">
        <f t="shared" si="8"/>
        <v>0</v>
      </c>
      <c r="FO15" s="264" t="e">
        <f t="shared" si="9"/>
        <v>#VALUE!</v>
      </c>
    </row>
    <row r="16" spans="1:171" x14ac:dyDescent="0.25">
      <c r="A16" s="52"/>
      <c r="B16" s="13">
        <v>9</v>
      </c>
      <c r="C16" s="13" t="s">
        <v>147</v>
      </c>
      <c r="D16" s="644"/>
      <c r="E16" s="644"/>
      <c r="F16" s="645"/>
      <c r="G16" s="661"/>
      <c r="H16" s="164"/>
      <c r="I16" s="164"/>
      <c r="J16" s="164"/>
      <c r="K16" s="647"/>
      <c r="L16" s="647"/>
      <c r="M16" s="647"/>
      <c r="N16" s="647"/>
      <c r="O16" s="647"/>
      <c r="P16" s="648"/>
      <c r="Q16" s="359"/>
      <c r="R16" s="359"/>
      <c r="S16" s="649"/>
      <c r="T16" s="649"/>
      <c r="U16" s="649"/>
      <c r="V16" s="359"/>
      <c r="W16" s="359"/>
      <c r="X16" s="359"/>
      <c r="Y16" s="359"/>
      <c r="Z16" s="359"/>
      <c r="AA16" s="359"/>
      <c r="AB16" s="359"/>
      <c r="AC16" s="359"/>
      <c r="AD16" s="359"/>
      <c r="AE16" s="359"/>
      <c r="AF16" s="359"/>
      <c r="AG16" s="359"/>
      <c r="AH16" s="650"/>
      <c r="AI16" s="651"/>
      <c r="AJ16" s="651"/>
      <c r="AK16" s="164"/>
      <c r="AL16" s="164"/>
      <c r="AM16" s="164"/>
      <c r="AN16" s="164"/>
      <c r="AO16" s="164"/>
      <c r="AP16" s="164"/>
      <c r="AQ16" s="164"/>
      <c r="AR16" s="164"/>
      <c r="AS16" s="164"/>
      <c r="AT16" s="164"/>
      <c r="AU16" s="164"/>
      <c r="AV16" s="359"/>
      <c r="AW16" s="253"/>
      <c r="AX16" s="164"/>
      <c r="AY16" s="164"/>
      <c r="AZ16" s="164"/>
      <c r="BA16" s="253"/>
      <c r="BB16" s="253"/>
      <c r="BC16" s="253"/>
      <c r="BD16" s="253"/>
      <c r="BE16" s="253"/>
      <c r="BF16" s="253"/>
      <c r="BG16" s="253"/>
      <c r="BH16" s="253"/>
      <c r="BI16" s="253"/>
      <c r="BJ16" s="253"/>
      <c r="BK16" s="253"/>
      <c r="BL16" s="253"/>
      <c r="BM16" s="253"/>
      <c r="BN16" s="253"/>
      <c r="BO16" s="454">
        <f t="shared" si="10"/>
        <v>0</v>
      </c>
      <c r="BP16" s="454">
        <f t="shared" si="11"/>
        <v>0</v>
      </c>
      <c r="BQ16" s="454">
        <f t="shared" si="12"/>
        <v>0</v>
      </c>
      <c r="BR16" s="454">
        <f t="shared" si="0"/>
        <v>0</v>
      </c>
      <c r="BS16" s="173">
        <f t="shared" si="1"/>
        <v>0</v>
      </c>
      <c r="BT16" s="653"/>
      <c r="BU16" s="653"/>
      <c r="BV16" s="164"/>
      <c r="BW16" s="164"/>
      <c r="BX16" s="654"/>
      <c r="BY16" s="654"/>
      <c r="BZ16" s="654"/>
      <c r="CA16" s="654"/>
      <c r="CB16" s="164"/>
      <c r="CC16" s="655"/>
      <c r="CD16" s="656"/>
      <c r="CE16" s="656"/>
      <c r="CF16" s="657"/>
      <c r="CG16" s="657"/>
      <c r="CH16" s="657"/>
      <c r="CI16" s="656"/>
      <c r="CJ16" s="656"/>
      <c r="CK16" s="656"/>
      <c r="CL16" s="656"/>
      <c r="CM16" s="656"/>
      <c r="CN16" s="656"/>
      <c r="CO16" s="656"/>
      <c r="CP16" s="656"/>
      <c r="CQ16" s="656"/>
      <c r="CR16" s="656"/>
      <c r="CS16" s="656"/>
      <c r="CT16" s="656"/>
      <c r="CU16" s="658"/>
      <c r="CV16" s="656"/>
      <c r="CW16" s="656"/>
      <c r="CX16" s="164"/>
      <c r="CY16" s="164"/>
      <c r="CZ16" s="164"/>
      <c r="DA16" s="164"/>
      <c r="DB16" s="164"/>
      <c r="DC16" s="164"/>
      <c r="DD16" s="164"/>
      <c r="DE16" s="164"/>
      <c r="DF16" s="164"/>
      <c r="DG16" s="164"/>
      <c r="DH16" s="164"/>
      <c r="DI16" s="656"/>
      <c r="DJ16" s="253"/>
      <c r="DK16" s="164"/>
      <c r="DL16" s="164"/>
      <c r="DM16" s="659"/>
      <c r="DN16" s="253"/>
      <c r="DO16" s="253"/>
      <c r="DP16" s="253"/>
      <c r="DQ16" s="253"/>
      <c r="DR16" s="253"/>
      <c r="DS16" s="253"/>
      <c r="DT16" s="253"/>
      <c r="DU16" s="253"/>
      <c r="DV16" s="253"/>
      <c r="DW16" s="454">
        <f t="shared" si="2"/>
        <v>0</v>
      </c>
      <c r="DX16" s="454">
        <f t="shared" si="3"/>
        <v>0</v>
      </c>
      <c r="DY16" s="454">
        <f t="shared" si="4"/>
        <v>0</v>
      </c>
      <c r="DZ16" s="173">
        <f t="shared" si="5"/>
        <v>0</v>
      </c>
      <c r="EA16" s="379"/>
      <c r="EB16" s="379"/>
      <c r="EC16" s="379"/>
      <c r="ED16" s="379"/>
      <c r="EE16" s="660"/>
      <c r="EF16" s="660"/>
      <c r="EG16" s="660"/>
      <c r="EH16" s="660"/>
      <c r="EI16" s="660"/>
      <c r="EJ16" s="660"/>
      <c r="EK16" s="379"/>
      <c r="EL16" s="379"/>
      <c r="EM16" s="379"/>
      <c r="EN16" s="379"/>
      <c r="EO16" s="379"/>
      <c r="EP16" s="379"/>
      <c r="EQ16" s="379"/>
      <c r="ER16" s="379"/>
      <c r="ES16" s="379"/>
      <c r="ET16" s="379"/>
      <c r="EU16" s="379"/>
      <c r="EV16" s="379"/>
      <c r="EW16" s="379"/>
      <c r="EX16" s="379"/>
      <c r="EY16" s="379"/>
      <c r="EZ16" s="379"/>
      <c r="FA16" s="379"/>
      <c r="FB16" s="379"/>
      <c r="FC16" s="379"/>
      <c r="FD16" s="379"/>
      <c r="FE16" s="379"/>
      <c r="FF16" s="379"/>
      <c r="FG16" s="379"/>
      <c r="FH16" s="379"/>
      <c r="FI16" s="379"/>
      <c r="FJ16" s="379"/>
      <c r="FK16" s="379"/>
      <c r="FL16" s="263" t="e">
        <f t="shared" si="6"/>
        <v>#VALUE!</v>
      </c>
      <c r="FM16" s="263" t="e">
        <f t="shared" si="7"/>
        <v>#DIV/0!</v>
      </c>
      <c r="FN16" s="263">
        <f t="shared" si="8"/>
        <v>0</v>
      </c>
      <c r="FO16" s="264" t="e">
        <f t="shared" si="9"/>
        <v>#VALUE!</v>
      </c>
    </row>
    <row r="17" spans="1:172" x14ac:dyDescent="0.25">
      <c r="A17" s="52"/>
      <c r="B17" s="13">
        <v>10</v>
      </c>
      <c r="C17" s="13" t="s">
        <v>148</v>
      </c>
      <c r="D17" s="644"/>
      <c r="E17" s="644"/>
      <c r="F17" s="645"/>
      <c r="G17" s="661"/>
      <c r="H17" s="164"/>
      <c r="I17" s="164"/>
      <c r="J17" s="164"/>
      <c r="K17" s="647"/>
      <c r="L17" s="647"/>
      <c r="M17" s="647"/>
      <c r="N17" s="647"/>
      <c r="O17" s="647"/>
      <c r="P17" s="648"/>
      <c r="Q17" s="359"/>
      <c r="R17" s="359"/>
      <c r="S17" s="649"/>
      <c r="T17" s="649"/>
      <c r="U17" s="649"/>
      <c r="V17" s="359"/>
      <c r="W17" s="359"/>
      <c r="X17" s="359"/>
      <c r="Y17" s="359"/>
      <c r="Z17" s="359"/>
      <c r="AA17" s="359"/>
      <c r="AB17" s="359"/>
      <c r="AC17" s="359"/>
      <c r="AD17" s="359"/>
      <c r="AE17" s="359"/>
      <c r="AF17" s="359"/>
      <c r="AG17" s="359"/>
      <c r="AH17" s="650"/>
      <c r="AI17" s="651"/>
      <c r="AJ17" s="651"/>
      <c r="AK17" s="164"/>
      <c r="AL17" s="164"/>
      <c r="AM17" s="164"/>
      <c r="AN17" s="164"/>
      <c r="AO17" s="164"/>
      <c r="AP17" s="164"/>
      <c r="AQ17" s="164"/>
      <c r="AR17" s="164"/>
      <c r="AS17" s="164"/>
      <c r="AT17" s="164"/>
      <c r="AU17" s="164"/>
      <c r="AV17" s="359"/>
      <c r="AW17" s="253"/>
      <c r="AX17" s="164"/>
      <c r="AY17" s="164"/>
      <c r="AZ17" s="164"/>
      <c r="BA17" s="253"/>
      <c r="BB17" s="253"/>
      <c r="BC17" s="253"/>
      <c r="BD17" s="253"/>
      <c r="BE17" s="253"/>
      <c r="BF17" s="253"/>
      <c r="BG17" s="253"/>
      <c r="BH17" s="253"/>
      <c r="BI17" s="253"/>
      <c r="BJ17" s="253"/>
      <c r="BK17" s="253"/>
      <c r="BL17" s="253"/>
      <c r="BM17" s="253"/>
      <c r="BN17" s="253"/>
      <c r="BO17" s="454">
        <f t="shared" si="10"/>
        <v>0</v>
      </c>
      <c r="BP17" s="454">
        <f t="shared" si="11"/>
        <v>0</v>
      </c>
      <c r="BQ17" s="454">
        <f t="shared" si="12"/>
        <v>0</v>
      </c>
      <c r="BR17" s="454">
        <f t="shared" si="0"/>
        <v>0</v>
      </c>
      <c r="BS17" s="173">
        <f t="shared" si="1"/>
        <v>0</v>
      </c>
      <c r="BT17" s="653"/>
      <c r="BU17" s="653"/>
      <c r="BV17" s="164"/>
      <c r="BW17" s="164"/>
      <c r="BX17" s="654"/>
      <c r="BY17" s="654"/>
      <c r="BZ17" s="654"/>
      <c r="CA17" s="654"/>
      <c r="CB17" s="164"/>
      <c r="CC17" s="655"/>
      <c r="CD17" s="656"/>
      <c r="CE17" s="656"/>
      <c r="CF17" s="657"/>
      <c r="CG17" s="657"/>
      <c r="CH17" s="657"/>
      <c r="CI17" s="656"/>
      <c r="CJ17" s="656"/>
      <c r="CK17" s="656"/>
      <c r="CL17" s="656"/>
      <c r="CM17" s="656"/>
      <c r="CN17" s="656"/>
      <c r="CO17" s="656"/>
      <c r="CP17" s="656"/>
      <c r="CQ17" s="656"/>
      <c r="CR17" s="656"/>
      <c r="CS17" s="656"/>
      <c r="CT17" s="656"/>
      <c r="CU17" s="658"/>
      <c r="CV17" s="656"/>
      <c r="CW17" s="656"/>
      <c r="CX17" s="164"/>
      <c r="CY17" s="164"/>
      <c r="CZ17" s="164"/>
      <c r="DA17" s="164"/>
      <c r="DB17" s="164"/>
      <c r="DC17" s="164"/>
      <c r="DD17" s="164"/>
      <c r="DE17" s="164"/>
      <c r="DF17" s="164"/>
      <c r="DG17" s="164"/>
      <c r="DH17" s="164"/>
      <c r="DI17" s="656"/>
      <c r="DJ17" s="253"/>
      <c r="DK17" s="164"/>
      <c r="DL17" s="164"/>
      <c r="DM17" s="659"/>
      <c r="DN17" s="253"/>
      <c r="DO17" s="253"/>
      <c r="DP17" s="253"/>
      <c r="DQ17" s="253"/>
      <c r="DR17" s="253"/>
      <c r="DS17" s="253"/>
      <c r="DT17" s="253"/>
      <c r="DU17" s="253"/>
      <c r="DV17" s="253"/>
      <c r="DW17" s="454">
        <f t="shared" si="2"/>
        <v>0</v>
      </c>
      <c r="DX17" s="454">
        <f t="shared" si="3"/>
        <v>0</v>
      </c>
      <c r="DY17" s="454">
        <f t="shared" si="4"/>
        <v>0</v>
      </c>
      <c r="DZ17" s="173">
        <f t="shared" si="5"/>
        <v>0</v>
      </c>
      <c r="EA17" s="379"/>
      <c r="EB17" s="379"/>
      <c r="EC17" s="379"/>
      <c r="ED17" s="379"/>
      <c r="EE17" s="660"/>
      <c r="EF17" s="660"/>
      <c r="EG17" s="660"/>
      <c r="EH17" s="660"/>
      <c r="EI17" s="660"/>
      <c r="EJ17" s="660"/>
      <c r="EK17" s="379"/>
      <c r="EL17" s="379"/>
      <c r="EM17" s="379"/>
      <c r="EN17" s="379"/>
      <c r="EO17" s="379"/>
      <c r="EP17" s="379"/>
      <c r="EQ17" s="379"/>
      <c r="ER17" s="379"/>
      <c r="ES17" s="379"/>
      <c r="ET17" s="379"/>
      <c r="EU17" s="379"/>
      <c r="EV17" s="379"/>
      <c r="EW17" s="379"/>
      <c r="EX17" s="379"/>
      <c r="EY17" s="379"/>
      <c r="EZ17" s="379"/>
      <c r="FA17" s="379"/>
      <c r="FB17" s="379"/>
      <c r="FC17" s="379"/>
      <c r="FD17" s="379"/>
      <c r="FE17" s="379"/>
      <c r="FF17" s="379"/>
      <c r="FG17" s="379"/>
      <c r="FH17" s="379"/>
      <c r="FI17" s="379"/>
      <c r="FJ17" s="379"/>
      <c r="FK17" s="379"/>
      <c r="FL17" s="263" t="e">
        <f t="shared" si="6"/>
        <v>#VALUE!</v>
      </c>
      <c r="FM17" s="263" t="e">
        <f t="shared" si="7"/>
        <v>#DIV/0!</v>
      </c>
      <c r="FN17" s="263">
        <f t="shared" si="8"/>
        <v>0</v>
      </c>
      <c r="FO17" s="264" t="e">
        <f t="shared" si="9"/>
        <v>#VALUE!</v>
      </c>
    </row>
    <row r="18" spans="1:172" x14ac:dyDescent="0.25">
      <c r="A18" s="52"/>
      <c r="B18" s="13">
        <v>11</v>
      </c>
      <c r="C18" s="13" t="s">
        <v>149</v>
      </c>
      <c r="D18" s="644"/>
      <c r="E18" s="644"/>
      <c r="F18" s="645"/>
      <c r="G18" s="661"/>
      <c r="H18" s="164"/>
      <c r="I18" s="164"/>
      <c r="J18" s="164"/>
      <c r="K18" s="647"/>
      <c r="L18" s="647"/>
      <c r="M18" s="647"/>
      <c r="N18" s="647"/>
      <c r="O18" s="647"/>
      <c r="P18" s="648"/>
      <c r="Q18" s="359"/>
      <c r="R18" s="359"/>
      <c r="S18" s="649"/>
      <c r="T18" s="649"/>
      <c r="U18" s="649"/>
      <c r="V18" s="359"/>
      <c r="W18" s="359"/>
      <c r="X18" s="359"/>
      <c r="Y18" s="359"/>
      <c r="Z18" s="359"/>
      <c r="AA18" s="359"/>
      <c r="AB18" s="359"/>
      <c r="AC18" s="359"/>
      <c r="AD18" s="359"/>
      <c r="AE18" s="359"/>
      <c r="AF18" s="359"/>
      <c r="AG18" s="359"/>
      <c r="AH18" s="650"/>
      <c r="AI18" s="651"/>
      <c r="AJ18" s="651"/>
      <c r="AK18" s="164"/>
      <c r="AL18" s="164"/>
      <c r="AM18" s="164"/>
      <c r="AN18" s="164"/>
      <c r="AO18" s="164"/>
      <c r="AP18" s="164"/>
      <c r="AQ18" s="164"/>
      <c r="AR18" s="164"/>
      <c r="AS18" s="164"/>
      <c r="AT18" s="164"/>
      <c r="AU18" s="164"/>
      <c r="AV18" s="359"/>
      <c r="AW18" s="253"/>
      <c r="AX18" s="164"/>
      <c r="AY18" s="164"/>
      <c r="AZ18" s="164"/>
      <c r="BA18" s="253"/>
      <c r="BB18" s="253"/>
      <c r="BC18" s="253"/>
      <c r="BD18" s="253"/>
      <c r="BE18" s="253"/>
      <c r="BF18" s="253"/>
      <c r="BG18" s="253"/>
      <c r="BH18" s="253"/>
      <c r="BI18" s="253"/>
      <c r="BJ18" s="253"/>
      <c r="BK18" s="253"/>
      <c r="BL18" s="253"/>
      <c r="BM18" s="253"/>
      <c r="BN18" s="253"/>
      <c r="BO18" s="454">
        <f t="shared" si="10"/>
        <v>0</v>
      </c>
      <c r="BP18" s="454">
        <f t="shared" si="11"/>
        <v>0</v>
      </c>
      <c r="BQ18" s="454">
        <f t="shared" si="12"/>
        <v>0</v>
      </c>
      <c r="BR18" s="454">
        <f t="shared" si="0"/>
        <v>0</v>
      </c>
      <c r="BS18" s="173">
        <f t="shared" si="1"/>
        <v>0</v>
      </c>
      <c r="BT18" s="653"/>
      <c r="BU18" s="653"/>
      <c r="BV18" s="164"/>
      <c r="BW18" s="164"/>
      <c r="BX18" s="654"/>
      <c r="BY18" s="654"/>
      <c r="BZ18" s="654"/>
      <c r="CA18" s="654"/>
      <c r="CB18" s="164"/>
      <c r="CC18" s="655"/>
      <c r="CD18" s="656"/>
      <c r="CE18" s="656"/>
      <c r="CF18" s="657"/>
      <c r="CG18" s="657"/>
      <c r="CH18" s="657"/>
      <c r="CI18" s="656"/>
      <c r="CJ18" s="656"/>
      <c r="CK18" s="656"/>
      <c r="CL18" s="656"/>
      <c r="CM18" s="656"/>
      <c r="CN18" s="656"/>
      <c r="CO18" s="656"/>
      <c r="CP18" s="656"/>
      <c r="CQ18" s="656"/>
      <c r="CR18" s="656"/>
      <c r="CS18" s="656"/>
      <c r="CT18" s="656"/>
      <c r="CU18" s="658"/>
      <c r="CV18" s="656"/>
      <c r="CW18" s="656"/>
      <c r="CX18" s="164"/>
      <c r="CY18" s="164"/>
      <c r="CZ18" s="164"/>
      <c r="DA18" s="164"/>
      <c r="DB18" s="164"/>
      <c r="DC18" s="164"/>
      <c r="DD18" s="164"/>
      <c r="DE18" s="164"/>
      <c r="DF18" s="164"/>
      <c r="DG18" s="164"/>
      <c r="DH18" s="164"/>
      <c r="DI18" s="656"/>
      <c r="DJ18" s="253"/>
      <c r="DK18" s="164"/>
      <c r="DL18" s="164"/>
      <c r="DM18" s="659"/>
      <c r="DN18" s="253"/>
      <c r="DO18" s="253"/>
      <c r="DP18" s="253"/>
      <c r="DQ18" s="253"/>
      <c r="DR18" s="253"/>
      <c r="DS18" s="253"/>
      <c r="DT18" s="253"/>
      <c r="DU18" s="253"/>
      <c r="DV18" s="253"/>
      <c r="DW18" s="454">
        <f t="shared" si="2"/>
        <v>0</v>
      </c>
      <c r="DX18" s="454">
        <f t="shared" si="3"/>
        <v>0</v>
      </c>
      <c r="DY18" s="454">
        <f t="shared" si="4"/>
        <v>0</v>
      </c>
      <c r="DZ18" s="173">
        <f t="shared" si="5"/>
        <v>0</v>
      </c>
      <c r="EA18" s="379"/>
      <c r="EB18" s="379"/>
      <c r="EC18" s="379"/>
      <c r="ED18" s="379"/>
      <c r="EE18" s="660"/>
      <c r="EF18" s="660"/>
      <c r="EG18" s="660"/>
      <c r="EH18" s="660"/>
      <c r="EI18" s="660"/>
      <c r="EJ18" s="660"/>
      <c r="EK18" s="379"/>
      <c r="EL18" s="379"/>
      <c r="EM18" s="379"/>
      <c r="EN18" s="379"/>
      <c r="EO18" s="379"/>
      <c r="EP18" s="379"/>
      <c r="EQ18" s="379"/>
      <c r="ER18" s="379"/>
      <c r="ES18" s="379"/>
      <c r="ET18" s="379"/>
      <c r="EU18" s="379"/>
      <c r="EV18" s="379"/>
      <c r="EW18" s="379"/>
      <c r="EX18" s="379"/>
      <c r="EY18" s="379"/>
      <c r="EZ18" s="379"/>
      <c r="FA18" s="379"/>
      <c r="FB18" s="379"/>
      <c r="FC18" s="379"/>
      <c r="FD18" s="379"/>
      <c r="FE18" s="379"/>
      <c r="FF18" s="379"/>
      <c r="FG18" s="379"/>
      <c r="FH18" s="379"/>
      <c r="FI18" s="379"/>
      <c r="FJ18" s="379"/>
      <c r="FK18" s="379"/>
      <c r="FL18" s="263" t="e">
        <f t="shared" si="6"/>
        <v>#VALUE!</v>
      </c>
      <c r="FM18" s="263" t="e">
        <f t="shared" si="7"/>
        <v>#DIV/0!</v>
      </c>
      <c r="FN18" s="263">
        <f t="shared" si="8"/>
        <v>0</v>
      </c>
      <c r="FO18" s="264" t="e">
        <f t="shared" si="9"/>
        <v>#VALUE!</v>
      </c>
    </row>
    <row r="19" spans="1:172" x14ac:dyDescent="0.25">
      <c r="A19" s="52"/>
      <c r="B19" s="13">
        <v>12</v>
      </c>
      <c r="C19" s="13" t="s">
        <v>150</v>
      </c>
      <c r="D19" s="644"/>
      <c r="E19" s="644"/>
      <c r="F19" s="645"/>
      <c r="G19" s="661"/>
      <c r="H19" s="164"/>
      <c r="I19" s="164"/>
      <c r="J19" s="164"/>
      <c r="K19" s="647"/>
      <c r="L19" s="647"/>
      <c r="M19" s="647"/>
      <c r="N19" s="647"/>
      <c r="O19" s="647"/>
      <c r="P19" s="648"/>
      <c r="Q19" s="359"/>
      <c r="R19" s="359"/>
      <c r="S19" s="649"/>
      <c r="T19" s="649"/>
      <c r="U19" s="649"/>
      <c r="V19" s="359"/>
      <c r="W19" s="359"/>
      <c r="X19" s="359"/>
      <c r="Y19" s="359"/>
      <c r="Z19" s="359"/>
      <c r="AA19" s="359"/>
      <c r="AB19" s="359"/>
      <c r="AC19" s="359"/>
      <c r="AD19" s="359"/>
      <c r="AE19" s="359"/>
      <c r="AF19" s="359"/>
      <c r="AG19" s="359"/>
      <c r="AH19" s="650"/>
      <c r="AI19" s="651"/>
      <c r="AJ19" s="651"/>
      <c r="AK19" s="164"/>
      <c r="AL19" s="164"/>
      <c r="AM19" s="164"/>
      <c r="AN19" s="164"/>
      <c r="AO19" s="164"/>
      <c r="AP19" s="164"/>
      <c r="AQ19" s="164"/>
      <c r="AR19" s="164"/>
      <c r="AS19" s="164"/>
      <c r="AT19" s="164"/>
      <c r="AU19" s="164"/>
      <c r="AV19" s="359"/>
      <c r="AW19" s="253"/>
      <c r="AX19" s="164"/>
      <c r="AY19" s="164"/>
      <c r="AZ19" s="164"/>
      <c r="BA19" s="253"/>
      <c r="BB19" s="253"/>
      <c r="BC19" s="253"/>
      <c r="BD19" s="253"/>
      <c r="BE19" s="253"/>
      <c r="BF19" s="253"/>
      <c r="BG19" s="253"/>
      <c r="BH19" s="253"/>
      <c r="BI19" s="253"/>
      <c r="BJ19" s="253"/>
      <c r="BK19" s="253"/>
      <c r="BL19" s="253"/>
      <c r="BM19" s="253"/>
      <c r="BN19" s="253"/>
      <c r="BO19" s="454">
        <f t="shared" si="10"/>
        <v>0</v>
      </c>
      <c r="BP19" s="454">
        <f t="shared" si="11"/>
        <v>0</v>
      </c>
      <c r="BQ19" s="454">
        <f t="shared" si="12"/>
        <v>0</v>
      </c>
      <c r="BR19" s="454">
        <f t="shared" si="0"/>
        <v>0</v>
      </c>
      <c r="BS19" s="173">
        <f t="shared" si="1"/>
        <v>0</v>
      </c>
      <c r="BT19" s="653"/>
      <c r="BU19" s="653"/>
      <c r="BV19" s="164"/>
      <c r="BW19" s="164"/>
      <c r="BX19" s="654"/>
      <c r="BY19" s="654"/>
      <c r="BZ19" s="654"/>
      <c r="CA19" s="654"/>
      <c r="CB19" s="164"/>
      <c r="CC19" s="655"/>
      <c r="CD19" s="656"/>
      <c r="CE19" s="656"/>
      <c r="CF19" s="657"/>
      <c r="CG19" s="657"/>
      <c r="CH19" s="657"/>
      <c r="CI19" s="656"/>
      <c r="CJ19" s="656"/>
      <c r="CK19" s="656"/>
      <c r="CL19" s="656"/>
      <c r="CM19" s="656"/>
      <c r="CN19" s="656"/>
      <c r="CO19" s="656"/>
      <c r="CP19" s="656"/>
      <c r="CQ19" s="656"/>
      <c r="CR19" s="656"/>
      <c r="CS19" s="656"/>
      <c r="CT19" s="656"/>
      <c r="CU19" s="658"/>
      <c r="CV19" s="656"/>
      <c r="CW19" s="656"/>
      <c r="CX19" s="164"/>
      <c r="CY19" s="164"/>
      <c r="CZ19" s="164"/>
      <c r="DA19" s="164"/>
      <c r="DB19" s="164"/>
      <c r="DC19" s="164"/>
      <c r="DD19" s="164"/>
      <c r="DE19" s="164"/>
      <c r="DF19" s="164"/>
      <c r="DG19" s="164"/>
      <c r="DH19" s="164"/>
      <c r="DI19" s="656"/>
      <c r="DJ19" s="253"/>
      <c r="DK19" s="164"/>
      <c r="DL19" s="164"/>
      <c r="DM19" s="659"/>
      <c r="DN19" s="253"/>
      <c r="DO19" s="253"/>
      <c r="DP19" s="253"/>
      <c r="DQ19" s="253"/>
      <c r="DR19" s="253"/>
      <c r="DS19" s="253"/>
      <c r="DT19" s="253"/>
      <c r="DU19" s="253"/>
      <c r="DV19" s="253"/>
      <c r="DW19" s="454">
        <f t="shared" si="2"/>
        <v>0</v>
      </c>
      <c r="DX19" s="454">
        <f t="shared" si="3"/>
        <v>0</v>
      </c>
      <c r="DY19" s="454">
        <f t="shared" si="4"/>
        <v>0</v>
      </c>
      <c r="DZ19" s="173">
        <f t="shared" si="5"/>
        <v>0</v>
      </c>
      <c r="EA19" s="379"/>
      <c r="EB19" s="379"/>
      <c r="EC19" s="660"/>
      <c r="ED19" s="660"/>
      <c r="EE19" s="660"/>
      <c r="EF19" s="660"/>
      <c r="EG19" s="660"/>
      <c r="EH19" s="660"/>
      <c r="EI19" s="660"/>
      <c r="EJ19" s="660"/>
      <c r="EK19" s="660"/>
      <c r="EL19" s="660"/>
      <c r="EM19" s="660"/>
      <c r="EN19" s="660"/>
      <c r="EO19" s="660"/>
      <c r="EP19" s="660"/>
      <c r="EQ19" s="660"/>
      <c r="ER19" s="660"/>
      <c r="ES19" s="660"/>
      <c r="ET19" s="660"/>
      <c r="EU19" s="660"/>
      <c r="EV19" s="660"/>
      <c r="EW19" s="660"/>
      <c r="EX19" s="660"/>
      <c r="EY19" s="660"/>
      <c r="EZ19" s="660"/>
      <c r="FA19" s="660"/>
      <c r="FB19" s="660"/>
      <c r="FC19" s="660"/>
      <c r="FD19" s="660"/>
      <c r="FE19" s="660"/>
      <c r="FF19" s="660"/>
      <c r="FG19" s="660"/>
      <c r="FH19" s="660"/>
      <c r="FI19" s="660"/>
      <c r="FJ19" s="660"/>
      <c r="FK19" s="660"/>
      <c r="FL19" s="263" t="e">
        <f t="shared" si="6"/>
        <v>#VALUE!</v>
      </c>
      <c r="FM19" s="263" t="e">
        <f t="shared" si="7"/>
        <v>#DIV/0!</v>
      </c>
      <c r="FN19" s="263">
        <f t="shared" si="8"/>
        <v>0</v>
      </c>
      <c r="FO19" s="264" t="e">
        <f t="shared" si="9"/>
        <v>#VALUE!</v>
      </c>
    </row>
    <row r="20" spans="1:172" x14ac:dyDescent="0.25">
      <c r="A20" s="52"/>
      <c r="B20" s="13">
        <v>13</v>
      </c>
      <c r="C20" s="13" t="s">
        <v>151</v>
      </c>
      <c r="D20" s="644"/>
      <c r="E20" s="644"/>
      <c r="F20" s="645"/>
      <c r="G20" s="661"/>
      <c r="H20" s="164"/>
      <c r="I20" s="164"/>
      <c r="J20" s="164"/>
      <c r="K20" s="647"/>
      <c r="L20" s="647"/>
      <c r="M20" s="647"/>
      <c r="N20" s="647"/>
      <c r="O20" s="647"/>
      <c r="P20" s="648"/>
      <c r="Q20" s="359"/>
      <c r="R20" s="359"/>
      <c r="S20" s="649"/>
      <c r="T20" s="649"/>
      <c r="U20" s="649"/>
      <c r="V20" s="359"/>
      <c r="W20" s="359"/>
      <c r="X20" s="359"/>
      <c r="Y20" s="359"/>
      <c r="Z20" s="359"/>
      <c r="AA20" s="359"/>
      <c r="AB20" s="359"/>
      <c r="AC20" s="359"/>
      <c r="AD20" s="359"/>
      <c r="AE20" s="359"/>
      <c r="AF20" s="359"/>
      <c r="AG20" s="359"/>
      <c r="AH20" s="650"/>
      <c r="AI20" s="651"/>
      <c r="AJ20" s="651"/>
      <c r="AK20" s="164"/>
      <c r="AL20" s="164"/>
      <c r="AM20" s="164"/>
      <c r="AN20" s="164"/>
      <c r="AO20" s="164"/>
      <c r="AP20" s="164"/>
      <c r="AQ20" s="164"/>
      <c r="AR20" s="164"/>
      <c r="AS20" s="164"/>
      <c r="AT20" s="164"/>
      <c r="AU20" s="164"/>
      <c r="AV20" s="359"/>
      <c r="AW20" s="253"/>
      <c r="AX20" s="164"/>
      <c r="AY20" s="164"/>
      <c r="AZ20" s="164"/>
      <c r="BA20" s="253"/>
      <c r="BB20" s="253"/>
      <c r="BC20" s="253"/>
      <c r="BD20" s="253"/>
      <c r="BE20" s="253"/>
      <c r="BF20" s="253"/>
      <c r="BG20" s="253"/>
      <c r="BH20" s="253"/>
      <c r="BI20" s="253"/>
      <c r="BJ20" s="253"/>
      <c r="BK20" s="253"/>
      <c r="BL20" s="253"/>
      <c r="BM20" s="253"/>
      <c r="BN20" s="253"/>
      <c r="BO20" s="454">
        <f t="shared" si="10"/>
        <v>0</v>
      </c>
      <c r="BP20" s="454">
        <f t="shared" si="11"/>
        <v>0</v>
      </c>
      <c r="BQ20" s="454">
        <f t="shared" si="12"/>
        <v>0</v>
      </c>
      <c r="BR20" s="454">
        <f t="shared" si="0"/>
        <v>0</v>
      </c>
      <c r="BS20" s="173">
        <f t="shared" si="1"/>
        <v>0</v>
      </c>
      <c r="BT20" s="653"/>
      <c r="BU20" s="653"/>
      <c r="BV20" s="164"/>
      <c r="BW20" s="164"/>
      <c r="BX20" s="654"/>
      <c r="BY20" s="654"/>
      <c r="BZ20" s="654"/>
      <c r="CA20" s="654"/>
      <c r="CB20" s="164"/>
      <c r="CC20" s="655"/>
      <c r="CD20" s="656"/>
      <c r="CE20" s="656"/>
      <c r="CF20" s="657"/>
      <c r="CG20" s="657"/>
      <c r="CH20" s="657"/>
      <c r="CI20" s="656"/>
      <c r="CJ20" s="656"/>
      <c r="CK20" s="656"/>
      <c r="CL20" s="656"/>
      <c r="CM20" s="656"/>
      <c r="CN20" s="656"/>
      <c r="CO20" s="656"/>
      <c r="CP20" s="656"/>
      <c r="CQ20" s="656"/>
      <c r="CR20" s="656"/>
      <c r="CS20" s="656"/>
      <c r="CT20" s="656"/>
      <c r="CU20" s="658"/>
      <c r="CV20" s="656"/>
      <c r="CW20" s="656"/>
      <c r="CX20" s="164"/>
      <c r="CY20" s="164"/>
      <c r="CZ20" s="164"/>
      <c r="DA20" s="164"/>
      <c r="DB20" s="164"/>
      <c r="DC20" s="164"/>
      <c r="DD20" s="164"/>
      <c r="DE20" s="164"/>
      <c r="DF20" s="164"/>
      <c r="DG20" s="164"/>
      <c r="DH20" s="164"/>
      <c r="DI20" s="656"/>
      <c r="DJ20" s="253"/>
      <c r="DK20" s="164"/>
      <c r="DL20" s="164"/>
      <c r="DM20" s="659"/>
      <c r="DN20" s="253"/>
      <c r="DO20" s="253"/>
      <c r="DP20" s="253"/>
      <c r="DQ20" s="253"/>
      <c r="DR20" s="253"/>
      <c r="DS20" s="253"/>
      <c r="DT20" s="253"/>
      <c r="DU20" s="253"/>
      <c r="DV20" s="253"/>
      <c r="DW20" s="454">
        <f t="shared" si="2"/>
        <v>0</v>
      </c>
      <c r="DX20" s="454">
        <f t="shared" si="3"/>
        <v>0</v>
      </c>
      <c r="DY20" s="454">
        <f t="shared" si="4"/>
        <v>0</v>
      </c>
      <c r="DZ20" s="173">
        <f t="shared" si="5"/>
        <v>0</v>
      </c>
      <c r="EA20" s="379"/>
      <c r="EB20" s="379"/>
      <c r="EC20" s="660"/>
      <c r="ED20" s="660"/>
      <c r="EE20" s="660"/>
      <c r="EF20" s="660"/>
      <c r="EG20" s="660"/>
      <c r="EH20" s="660"/>
      <c r="EI20" s="660"/>
      <c r="EJ20" s="660"/>
      <c r="EK20" s="660"/>
      <c r="EL20" s="660"/>
      <c r="EM20" s="660"/>
      <c r="EN20" s="660"/>
      <c r="EO20" s="660"/>
      <c r="EP20" s="660"/>
      <c r="EQ20" s="660"/>
      <c r="ER20" s="660"/>
      <c r="ES20" s="660"/>
      <c r="ET20" s="660"/>
      <c r="EU20" s="660"/>
      <c r="EV20" s="660"/>
      <c r="EW20" s="660"/>
      <c r="EX20" s="660"/>
      <c r="EY20" s="660"/>
      <c r="EZ20" s="660"/>
      <c r="FA20" s="660"/>
      <c r="FB20" s="660"/>
      <c r="FC20" s="660"/>
      <c r="FD20" s="660"/>
      <c r="FE20" s="660"/>
      <c r="FF20" s="660"/>
      <c r="FG20" s="660"/>
      <c r="FH20" s="660"/>
      <c r="FI20" s="660"/>
      <c r="FJ20" s="660"/>
      <c r="FK20" s="660"/>
      <c r="FL20" s="263" t="e">
        <f t="shared" si="6"/>
        <v>#VALUE!</v>
      </c>
      <c r="FM20" s="263" t="e">
        <f t="shared" si="7"/>
        <v>#DIV/0!</v>
      </c>
      <c r="FN20" s="263">
        <f t="shared" si="8"/>
        <v>0</v>
      </c>
      <c r="FO20" s="264" t="e">
        <f t="shared" si="9"/>
        <v>#VALUE!</v>
      </c>
    </row>
    <row r="21" spans="1:172" x14ac:dyDescent="0.25">
      <c r="A21" s="52"/>
      <c r="B21" s="13">
        <v>14</v>
      </c>
      <c r="C21" s="13" t="s">
        <v>152</v>
      </c>
      <c r="D21" s="644"/>
      <c r="E21" s="644"/>
      <c r="F21" s="645"/>
      <c r="G21" s="661"/>
      <c r="H21" s="164"/>
      <c r="I21" s="164"/>
      <c r="J21" s="164"/>
      <c r="K21" s="647"/>
      <c r="L21" s="647"/>
      <c r="M21" s="647"/>
      <c r="N21" s="647"/>
      <c r="O21" s="647"/>
      <c r="P21" s="648"/>
      <c r="Q21" s="359"/>
      <c r="R21" s="359"/>
      <c r="S21" s="649"/>
      <c r="T21" s="649"/>
      <c r="U21" s="649"/>
      <c r="V21" s="359"/>
      <c r="W21" s="359"/>
      <c r="X21" s="359"/>
      <c r="Y21" s="359"/>
      <c r="Z21" s="359"/>
      <c r="AA21" s="359"/>
      <c r="AB21" s="359"/>
      <c r="AC21" s="359"/>
      <c r="AD21" s="359"/>
      <c r="AE21" s="359"/>
      <c r="AF21" s="359"/>
      <c r="AG21" s="359"/>
      <c r="AH21" s="650"/>
      <c r="AI21" s="651"/>
      <c r="AJ21" s="651"/>
      <c r="AK21" s="164"/>
      <c r="AL21" s="164"/>
      <c r="AM21" s="164"/>
      <c r="AN21" s="164"/>
      <c r="AO21" s="164"/>
      <c r="AP21" s="164"/>
      <c r="AQ21" s="164"/>
      <c r="AR21" s="164"/>
      <c r="AS21" s="164"/>
      <c r="AT21" s="164"/>
      <c r="AU21" s="164"/>
      <c r="AV21" s="359"/>
      <c r="AW21" s="253"/>
      <c r="AX21" s="164"/>
      <c r="AY21" s="164"/>
      <c r="AZ21" s="164"/>
      <c r="BA21" s="253"/>
      <c r="BB21" s="253"/>
      <c r="BC21" s="253"/>
      <c r="BD21" s="253"/>
      <c r="BE21" s="253"/>
      <c r="BF21" s="253"/>
      <c r="BG21" s="253"/>
      <c r="BH21" s="253"/>
      <c r="BI21" s="253"/>
      <c r="BJ21" s="253"/>
      <c r="BK21" s="253"/>
      <c r="BL21" s="253"/>
      <c r="BM21" s="253"/>
      <c r="BN21" s="253"/>
      <c r="BO21" s="454">
        <f t="shared" si="10"/>
        <v>0</v>
      </c>
      <c r="BP21" s="454">
        <f t="shared" si="11"/>
        <v>0</v>
      </c>
      <c r="BQ21" s="454">
        <f t="shared" si="12"/>
        <v>0</v>
      </c>
      <c r="BR21" s="454">
        <f t="shared" si="0"/>
        <v>0</v>
      </c>
      <c r="BS21" s="173">
        <f t="shared" si="1"/>
        <v>0</v>
      </c>
      <c r="BT21" s="653"/>
      <c r="BU21" s="653"/>
      <c r="BV21" s="164"/>
      <c r="BW21" s="164"/>
      <c r="BX21" s="654"/>
      <c r="BY21" s="654"/>
      <c r="BZ21" s="654"/>
      <c r="CA21" s="654"/>
      <c r="CB21" s="164"/>
      <c r="CC21" s="655"/>
      <c r="CD21" s="656"/>
      <c r="CE21" s="656"/>
      <c r="CF21" s="657"/>
      <c r="CG21" s="657"/>
      <c r="CH21" s="657"/>
      <c r="CI21" s="656"/>
      <c r="CJ21" s="656"/>
      <c r="CK21" s="656"/>
      <c r="CL21" s="656"/>
      <c r="CM21" s="656"/>
      <c r="CN21" s="656"/>
      <c r="CO21" s="656"/>
      <c r="CP21" s="656"/>
      <c r="CQ21" s="656"/>
      <c r="CR21" s="656"/>
      <c r="CS21" s="656"/>
      <c r="CT21" s="656"/>
      <c r="CU21" s="658"/>
      <c r="CV21" s="656"/>
      <c r="CW21" s="656"/>
      <c r="CX21" s="164"/>
      <c r="CY21" s="164"/>
      <c r="CZ21" s="164"/>
      <c r="DA21" s="164"/>
      <c r="DB21" s="164"/>
      <c r="DC21" s="164"/>
      <c r="DD21" s="164"/>
      <c r="DE21" s="164"/>
      <c r="DF21" s="164"/>
      <c r="DG21" s="164"/>
      <c r="DH21" s="164"/>
      <c r="DI21" s="656"/>
      <c r="DJ21" s="253"/>
      <c r="DK21" s="164"/>
      <c r="DL21" s="164"/>
      <c r="DM21" s="659"/>
      <c r="DN21" s="253"/>
      <c r="DO21" s="253"/>
      <c r="DP21" s="253"/>
      <c r="DQ21" s="253"/>
      <c r="DR21" s="253"/>
      <c r="DS21" s="253"/>
      <c r="DT21" s="253"/>
      <c r="DU21" s="253"/>
      <c r="DV21" s="253"/>
      <c r="DW21" s="454">
        <f t="shared" si="2"/>
        <v>0</v>
      </c>
      <c r="DX21" s="454">
        <f t="shared" si="3"/>
        <v>0</v>
      </c>
      <c r="DY21" s="454">
        <f t="shared" si="4"/>
        <v>0</v>
      </c>
      <c r="DZ21" s="173">
        <f t="shared" si="5"/>
        <v>0</v>
      </c>
      <c r="EA21" s="379"/>
      <c r="EB21" s="379"/>
      <c r="EC21" s="660"/>
      <c r="ED21" s="660"/>
      <c r="EE21" s="660"/>
      <c r="EF21" s="660"/>
      <c r="EG21" s="660"/>
      <c r="EH21" s="660"/>
      <c r="EI21" s="660"/>
      <c r="EJ21" s="660"/>
      <c r="EK21" s="660"/>
      <c r="EL21" s="660"/>
      <c r="EM21" s="660"/>
      <c r="EN21" s="660"/>
      <c r="EO21" s="660"/>
      <c r="EP21" s="660"/>
      <c r="EQ21" s="660"/>
      <c r="ER21" s="660"/>
      <c r="ES21" s="660"/>
      <c r="ET21" s="660"/>
      <c r="EU21" s="660"/>
      <c r="EV21" s="660"/>
      <c r="EW21" s="660"/>
      <c r="EX21" s="660"/>
      <c r="EY21" s="660"/>
      <c r="EZ21" s="660"/>
      <c r="FA21" s="660"/>
      <c r="FB21" s="660"/>
      <c r="FC21" s="660"/>
      <c r="FD21" s="660"/>
      <c r="FE21" s="660"/>
      <c r="FF21" s="660"/>
      <c r="FG21" s="660"/>
      <c r="FH21" s="660"/>
      <c r="FI21" s="660"/>
      <c r="FJ21" s="660"/>
      <c r="FK21" s="660"/>
      <c r="FL21" s="263" t="e">
        <f t="shared" si="6"/>
        <v>#VALUE!</v>
      </c>
      <c r="FM21" s="263" t="e">
        <f t="shared" si="7"/>
        <v>#DIV/0!</v>
      </c>
      <c r="FN21" s="263">
        <f t="shared" si="8"/>
        <v>0</v>
      </c>
      <c r="FO21" s="264" t="e">
        <f t="shared" si="9"/>
        <v>#VALUE!</v>
      </c>
    </row>
    <row r="22" spans="1:172" x14ac:dyDescent="0.25">
      <c r="A22" s="52"/>
      <c r="B22" s="13">
        <v>15</v>
      </c>
      <c r="C22" s="13" t="s">
        <v>153</v>
      </c>
      <c r="D22" s="644"/>
      <c r="E22" s="644"/>
      <c r="F22" s="645"/>
      <c r="G22" s="661"/>
      <c r="H22" s="164"/>
      <c r="I22" s="164"/>
      <c r="J22" s="164"/>
      <c r="K22" s="647"/>
      <c r="L22" s="647"/>
      <c r="M22" s="647"/>
      <c r="N22" s="647"/>
      <c r="O22" s="647"/>
      <c r="P22" s="648"/>
      <c r="Q22" s="359"/>
      <c r="R22" s="359"/>
      <c r="S22" s="649"/>
      <c r="T22" s="649"/>
      <c r="U22" s="649"/>
      <c r="V22" s="359"/>
      <c r="W22" s="359"/>
      <c r="X22" s="359"/>
      <c r="Y22" s="359"/>
      <c r="Z22" s="359"/>
      <c r="AA22" s="359"/>
      <c r="AB22" s="359"/>
      <c r="AC22" s="359"/>
      <c r="AD22" s="359"/>
      <c r="AE22" s="359"/>
      <c r="AF22" s="359"/>
      <c r="AG22" s="359"/>
      <c r="AH22" s="650"/>
      <c r="AI22" s="651"/>
      <c r="AJ22" s="651"/>
      <c r="AK22" s="164"/>
      <c r="AL22" s="164"/>
      <c r="AM22" s="164"/>
      <c r="AN22" s="164"/>
      <c r="AO22" s="164"/>
      <c r="AP22" s="164"/>
      <c r="AQ22" s="164"/>
      <c r="AR22" s="164"/>
      <c r="AS22" s="164"/>
      <c r="AT22" s="164"/>
      <c r="AU22" s="164"/>
      <c r="AV22" s="359"/>
      <c r="AW22" s="253"/>
      <c r="AX22" s="164"/>
      <c r="AY22" s="164"/>
      <c r="AZ22" s="164"/>
      <c r="BA22" s="253"/>
      <c r="BB22" s="253"/>
      <c r="BC22" s="253"/>
      <c r="BD22" s="253"/>
      <c r="BE22" s="253"/>
      <c r="BF22" s="253"/>
      <c r="BG22" s="253"/>
      <c r="BH22" s="253"/>
      <c r="BI22" s="253"/>
      <c r="BJ22" s="253"/>
      <c r="BK22" s="253"/>
      <c r="BL22" s="253"/>
      <c r="BM22" s="253"/>
      <c r="BN22" s="253"/>
      <c r="BO22" s="454">
        <f t="shared" si="10"/>
        <v>0</v>
      </c>
      <c r="BP22" s="454">
        <f t="shared" si="11"/>
        <v>0</v>
      </c>
      <c r="BQ22" s="454">
        <f t="shared" si="12"/>
        <v>0</v>
      </c>
      <c r="BR22" s="454">
        <f t="shared" si="0"/>
        <v>0</v>
      </c>
      <c r="BS22" s="173">
        <f t="shared" si="1"/>
        <v>0</v>
      </c>
      <c r="BT22" s="653"/>
      <c r="BU22" s="653"/>
      <c r="BV22" s="164"/>
      <c r="BW22" s="164"/>
      <c r="BX22" s="654"/>
      <c r="BY22" s="654"/>
      <c r="BZ22" s="654"/>
      <c r="CA22" s="654"/>
      <c r="CB22" s="164"/>
      <c r="CC22" s="655"/>
      <c r="CD22" s="656"/>
      <c r="CE22" s="656"/>
      <c r="CF22" s="657"/>
      <c r="CG22" s="657"/>
      <c r="CH22" s="657"/>
      <c r="CI22" s="656"/>
      <c r="CJ22" s="656"/>
      <c r="CK22" s="656"/>
      <c r="CL22" s="656"/>
      <c r="CM22" s="656"/>
      <c r="CN22" s="656"/>
      <c r="CO22" s="656"/>
      <c r="CP22" s="656"/>
      <c r="CQ22" s="656"/>
      <c r="CR22" s="656"/>
      <c r="CS22" s="656"/>
      <c r="CT22" s="656"/>
      <c r="CU22" s="658"/>
      <c r="CV22" s="656"/>
      <c r="CW22" s="656"/>
      <c r="CX22" s="164"/>
      <c r="CY22" s="164"/>
      <c r="CZ22" s="164"/>
      <c r="DA22" s="164"/>
      <c r="DB22" s="164"/>
      <c r="DC22" s="164"/>
      <c r="DD22" s="164"/>
      <c r="DE22" s="164"/>
      <c r="DF22" s="164"/>
      <c r="DG22" s="164"/>
      <c r="DH22" s="164"/>
      <c r="DI22" s="656"/>
      <c r="DJ22" s="253"/>
      <c r="DK22" s="164"/>
      <c r="DL22" s="164"/>
      <c r="DM22" s="659"/>
      <c r="DN22" s="253"/>
      <c r="DO22" s="253"/>
      <c r="DP22" s="253"/>
      <c r="DQ22" s="253"/>
      <c r="DR22" s="253"/>
      <c r="DS22" s="253"/>
      <c r="DT22" s="253"/>
      <c r="DU22" s="253"/>
      <c r="DV22" s="253"/>
      <c r="DW22" s="454">
        <f t="shared" si="2"/>
        <v>0</v>
      </c>
      <c r="DX22" s="454">
        <f t="shared" si="3"/>
        <v>0</v>
      </c>
      <c r="DY22" s="454">
        <f t="shared" si="4"/>
        <v>0</v>
      </c>
      <c r="DZ22" s="173">
        <f t="shared" si="5"/>
        <v>0</v>
      </c>
      <c r="EA22" s="379"/>
      <c r="EB22" s="379"/>
      <c r="EC22" s="660"/>
      <c r="ED22" s="660"/>
      <c r="EE22" s="660"/>
      <c r="EF22" s="660"/>
      <c r="EG22" s="660"/>
      <c r="EH22" s="660"/>
      <c r="EI22" s="660"/>
      <c r="EJ22" s="660"/>
      <c r="EK22" s="660"/>
      <c r="EL22" s="660"/>
      <c r="EM22" s="660"/>
      <c r="EN22" s="660"/>
      <c r="EO22" s="660"/>
      <c r="EP22" s="660"/>
      <c r="EQ22" s="660"/>
      <c r="ER22" s="660"/>
      <c r="ES22" s="660"/>
      <c r="ET22" s="660"/>
      <c r="EU22" s="660"/>
      <c r="EV22" s="660"/>
      <c r="EW22" s="660"/>
      <c r="EX22" s="660"/>
      <c r="EY22" s="660"/>
      <c r="EZ22" s="660"/>
      <c r="FA22" s="660"/>
      <c r="FB22" s="660"/>
      <c r="FC22" s="660"/>
      <c r="FD22" s="660"/>
      <c r="FE22" s="660"/>
      <c r="FF22" s="660"/>
      <c r="FG22" s="660"/>
      <c r="FH22" s="660"/>
      <c r="FI22" s="660"/>
      <c r="FJ22" s="660"/>
      <c r="FK22" s="660"/>
      <c r="FL22" s="263" t="e">
        <f t="shared" si="6"/>
        <v>#VALUE!</v>
      </c>
      <c r="FM22" s="263" t="e">
        <f t="shared" si="7"/>
        <v>#DIV/0!</v>
      </c>
      <c r="FN22" s="263">
        <f t="shared" si="8"/>
        <v>0</v>
      </c>
      <c r="FO22" s="264" t="e">
        <f t="shared" si="9"/>
        <v>#VALUE!</v>
      </c>
    </row>
    <row r="23" spans="1:172" x14ac:dyDescent="0.25">
      <c r="A23" s="52"/>
      <c r="B23" s="13">
        <v>16</v>
      </c>
      <c r="C23" s="13" t="s">
        <v>154</v>
      </c>
      <c r="D23" s="644"/>
      <c r="E23" s="644"/>
      <c r="F23" s="645"/>
      <c r="G23" s="646"/>
      <c r="H23" s="163"/>
      <c r="I23" s="164"/>
      <c r="J23" s="164"/>
      <c r="K23" s="647"/>
      <c r="L23" s="647"/>
      <c r="M23" s="647"/>
      <c r="N23" s="647"/>
      <c r="O23" s="647"/>
      <c r="P23" s="648"/>
      <c r="Q23" s="359"/>
      <c r="R23" s="359"/>
      <c r="S23" s="649"/>
      <c r="T23" s="649"/>
      <c r="U23" s="649"/>
      <c r="V23" s="359"/>
      <c r="W23" s="359"/>
      <c r="X23" s="359"/>
      <c r="Y23" s="359"/>
      <c r="Z23" s="359"/>
      <c r="AA23" s="359"/>
      <c r="AB23" s="359"/>
      <c r="AC23" s="359"/>
      <c r="AD23" s="359"/>
      <c r="AE23" s="359"/>
      <c r="AF23" s="359"/>
      <c r="AG23" s="359"/>
      <c r="AH23" s="650"/>
      <c r="AI23" s="651"/>
      <c r="AJ23" s="651"/>
      <c r="AK23" s="164"/>
      <c r="AL23" s="164"/>
      <c r="AM23" s="164"/>
      <c r="AN23" s="164"/>
      <c r="AO23" s="164"/>
      <c r="AP23" s="164"/>
      <c r="AQ23" s="164"/>
      <c r="AR23" s="164"/>
      <c r="AS23" s="164"/>
      <c r="AT23" s="164"/>
      <c r="AU23" s="164"/>
      <c r="AV23" s="359"/>
      <c r="AW23" s="253"/>
      <c r="AX23" s="164"/>
      <c r="AY23" s="164"/>
      <c r="AZ23" s="164"/>
      <c r="BA23" s="253"/>
      <c r="BB23" s="253"/>
      <c r="BC23" s="253"/>
      <c r="BD23" s="253"/>
      <c r="BE23" s="253"/>
      <c r="BF23" s="253"/>
      <c r="BG23" s="253"/>
      <c r="BH23" s="253"/>
      <c r="BI23" s="253"/>
      <c r="BJ23" s="253"/>
      <c r="BK23" s="253"/>
      <c r="BL23" s="253"/>
      <c r="BM23" s="253"/>
      <c r="BN23" s="253"/>
      <c r="BO23" s="454">
        <f t="shared" si="10"/>
        <v>0</v>
      </c>
      <c r="BP23" s="454">
        <f t="shared" si="11"/>
        <v>0</v>
      </c>
      <c r="BQ23" s="454">
        <f t="shared" si="12"/>
        <v>0</v>
      </c>
      <c r="BR23" s="454">
        <f t="shared" si="0"/>
        <v>0</v>
      </c>
      <c r="BS23" s="173">
        <f t="shared" si="1"/>
        <v>0</v>
      </c>
      <c r="BT23" s="653"/>
      <c r="BU23" s="653"/>
      <c r="BV23" s="164"/>
      <c r="BW23" s="164"/>
      <c r="BX23" s="654"/>
      <c r="BY23" s="654"/>
      <c r="BZ23" s="654"/>
      <c r="CA23" s="654"/>
      <c r="CB23" s="164"/>
      <c r="CC23" s="655"/>
      <c r="CD23" s="656"/>
      <c r="CE23" s="656"/>
      <c r="CF23" s="657"/>
      <c r="CG23" s="657"/>
      <c r="CH23" s="657"/>
      <c r="CI23" s="656"/>
      <c r="CJ23" s="656"/>
      <c r="CK23" s="656"/>
      <c r="CL23" s="656"/>
      <c r="CM23" s="656"/>
      <c r="CN23" s="656"/>
      <c r="CO23" s="656"/>
      <c r="CP23" s="656"/>
      <c r="CQ23" s="656"/>
      <c r="CR23" s="656"/>
      <c r="CS23" s="656"/>
      <c r="CT23" s="656"/>
      <c r="CU23" s="658"/>
      <c r="CV23" s="656"/>
      <c r="CW23" s="656"/>
      <c r="CX23" s="164"/>
      <c r="CY23" s="164"/>
      <c r="CZ23" s="164"/>
      <c r="DA23" s="164"/>
      <c r="DB23" s="164"/>
      <c r="DC23" s="164"/>
      <c r="DD23" s="164"/>
      <c r="DE23" s="164"/>
      <c r="DF23" s="164"/>
      <c r="DG23" s="164"/>
      <c r="DH23" s="164"/>
      <c r="DI23" s="656"/>
      <c r="DJ23" s="253"/>
      <c r="DK23" s="164"/>
      <c r="DL23" s="164"/>
      <c r="DM23" s="659"/>
      <c r="DN23" s="253"/>
      <c r="DO23" s="253"/>
      <c r="DP23" s="253"/>
      <c r="DQ23" s="253"/>
      <c r="DR23" s="253"/>
      <c r="DS23" s="253"/>
      <c r="DT23" s="253"/>
      <c r="DU23" s="253"/>
      <c r="DV23" s="253"/>
      <c r="DW23" s="454">
        <f t="shared" si="2"/>
        <v>0</v>
      </c>
      <c r="DX23" s="454">
        <f t="shared" si="3"/>
        <v>0</v>
      </c>
      <c r="DY23" s="454">
        <f t="shared" si="4"/>
        <v>0</v>
      </c>
      <c r="DZ23" s="173">
        <f t="shared" si="5"/>
        <v>0</v>
      </c>
      <c r="EA23" s="379"/>
      <c r="EB23" s="379"/>
      <c r="EC23" s="660"/>
      <c r="ED23" s="660"/>
      <c r="EE23" s="660"/>
      <c r="EF23" s="660"/>
      <c r="EG23" s="660"/>
      <c r="EH23" s="660"/>
      <c r="EI23" s="660"/>
      <c r="EJ23" s="660"/>
      <c r="EK23" s="660"/>
      <c r="EL23" s="660"/>
      <c r="EM23" s="660"/>
      <c r="EN23" s="660"/>
      <c r="EO23" s="660"/>
      <c r="EP23" s="660"/>
      <c r="EQ23" s="660"/>
      <c r="ER23" s="660"/>
      <c r="ES23" s="660"/>
      <c r="ET23" s="660"/>
      <c r="EU23" s="660"/>
      <c r="EV23" s="660"/>
      <c r="EW23" s="660"/>
      <c r="EX23" s="660"/>
      <c r="EY23" s="660"/>
      <c r="EZ23" s="660"/>
      <c r="FA23" s="660"/>
      <c r="FB23" s="660"/>
      <c r="FC23" s="660"/>
      <c r="FD23" s="660"/>
      <c r="FE23" s="660"/>
      <c r="FF23" s="660"/>
      <c r="FG23" s="660"/>
      <c r="FH23" s="660"/>
      <c r="FI23" s="660"/>
      <c r="FJ23" s="660"/>
      <c r="FK23" s="660"/>
      <c r="FL23" s="263" t="e">
        <f t="shared" si="6"/>
        <v>#VALUE!</v>
      </c>
      <c r="FM23" s="263" t="e">
        <f t="shared" si="7"/>
        <v>#DIV/0!</v>
      </c>
      <c r="FN23" s="263">
        <f t="shared" si="8"/>
        <v>0</v>
      </c>
      <c r="FO23" s="264" t="e">
        <f t="shared" si="9"/>
        <v>#VALUE!</v>
      </c>
    </row>
    <row r="24" spans="1:172" x14ac:dyDescent="0.25">
      <c r="A24" s="52"/>
      <c r="B24" s="13">
        <v>17</v>
      </c>
      <c r="C24" s="13" t="s">
        <v>155</v>
      </c>
      <c r="D24" s="644"/>
      <c r="E24" s="644"/>
      <c r="F24" s="645"/>
      <c r="G24" s="646"/>
      <c r="H24" s="653"/>
      <c r="I24" s="164"/>
      <c r="J24" s="164"/>
      <c r="K24" s="647"/>
      <c r="L24" s="647"/>
      <c r="M24" s="647"/>
      <c r="N24" s="647"/>
      <c r="O24" s="647"/>
      <c r="P24" s="648"/>
      <c r="Q24" s="359"/>
      <c r="R24" s="359"/>
      <c r="S24" s="649"/>
      <c r="T24" s="649"/>
      <c r="U24" s="649"/>
      <c r="V24" s="359"/>
      <c r="W24" s="359"/>
      <c r="X24" s="359"/>
      <c r="Y24" s="359"/>
      <c r="Z24" s="359"/>
      <c r="AA24" s="359"/>
      <c r="AB24" s="359"/>
      <c r="AC24" s="359"/>
      <c r="AD24" s="359"/>
      <c r="AE24" s="359"/>
      <c r="AF24" s="359"/>
      <c r="AG24" s="359"/>
      <c r="AH24" s="650"/>
      <c r="AI24" s="651"/>
      <c r="AJ24" s="651"/>
      <c r="AK24" s="164"/>
      <c r="AL24" s="164"/>
      <c r="AM24" s="164"/>
      <c r="AN24" s="164"/>
      <c r="AO24" s="164"/>
      <c r="AP24" s="164"/>
      <c r="AQ24" s="164"/>
      <c r="AR24" s="164"/>
      <c r="AS24" s="164"/>
      <c r="AT24" s="164"/>
      <c r="AU24" s="164"/>
      <c r="AV24" s="359"/>
      <c r="AW24" s="253"/>
      <c r="AX24" s="164"/>
      <c r="AY24" s="164"/>
      <c r="AZ24" s="164"/>
      <c r="BA24" s="253"/>
      <c r="BB24" s="253"/>
      <c r="BC24" s="253"/>
      <c r="BD24" s="253"/>
      <c r="BE24" s="253"/>
      <c r="BF24" s="253"/>
      <c r="BG24" s="253"/>
      <c r="BH24" s="253"/>
      <c r="BI24" s="253"/>
      <c r="BJ24" s="253"/>
      <c r="BK24" s="253"/>
      <c r="BL24" s="253"/>
      <c r="BM24" s="253"/>
      <c r="BN24" s="253"/>
      <c r="BO24" s="454">
        <f t="shared" si="10"/>
        <v>0</v>
      </c>
      <c r="BP24" s="454">
        <f t="shared" si="11"/>
        <v>0</v>
      </c>
      <c r="BQ24" s="454">
        <f t="shared" si="12"/>
        <v>0</v>
      </c>
      <c r="BR24" s="454">
        <f t="shared" si="0"/>
        <v>0</v>
      </c>
      <c r="BS24" s="173">
        <f t="shared" si="1"/>
        <v>0</v>
      </c>
      <c r="BT24" s="653"/>
      <c r="BU24" s="653"/>
      <c r="BV24" s="164"/>
      <c r="BW24" s="164"/>
      <c r="BX24" s="654"/>
      <c r="BY24" s="654"/>
      <c r="BZ24" s="654"/>
      <c r="CA24" s="654"/>
      <c r="CB24" s="164"/>
      <c r="CC24" s="655"/>
      <c r="CD24" s="656"/>
      <c r="CE24" s="656"/>
      <c r="CF24" s="657"/>
      <c r="CG24" s="657"/>
      <c r="CH24" s="657"/>
      <c r="CI24" s="656"/>
      <c r="CJ24" s="656"/>
      <c r="CK24" s="656"/>
      <c r="CL24" s="656"/>
      <c r="CM24" s="656"/>
      <c r="CN24" s="656"/>
      <c r="CO24" s="656"/>
      <c r="CP24" s="656"/>
      <c r="CQ24" s="656"/>
      <c r="CR24" s="656"/>
      <c r="CS24" s="656"/>
      <c r="CT24" s="656"/>
      <c r="CU24" s="658"/>
      <c r="CV24" s="656"/>
      <c r="CW24" s="656"/>
      <c r="CX24" s="164"/>
      <c r="CY24" s="164"/>
      <c r="CZ24" s="164"/>
      <c r="DA24" s="164"/>
      <c r="DB24" s="164"/>
      <c r="DC24" s="164"/>
      <c r="DD24" s="164"/>
      <c r="DE24" s="164"/>
      <c r="DF24" s="164"/>
      <c r="DG24" s="164"/>
      <c r="DH24" s="164"/>
      <c r="DI24" s="656"/>
      <c r="DJ24" s="253"/>
      <c r="DK24" s="164"/>
      <c r="DL24" s="164"/>
      <c r="DM24" s="659"/>
      <c r="DN24" s="253"/>
      <c r="DO24" s="253"/>
      <c r="DP24" s="253"/>
      <c r="DQ24" s="253"/>
      <c r="DR24" s="253"/>
      <c r="DS24" s="253"/>
      <c r="DT24" s="253"/>
      <c r="DU24" s="253"/>
      <c r="DV24" s="253"/>
      <c r="DW24" s="454">
        <f t="shared" si="2"/>
        <v>0</v>
      </c>
      <c r="DX24" s="454">
        <f t="shared" si="3"/>
        <v>0</v>
      </c>
      <c r="DY24" s="454">
        <f t="shared" si="4"/>
        <v>0</v>
      </c>
      <c r="DZ24" s="173">
        <f t="shared" si="5"/>
        <v>0</v>
      </c>
      <c r="EA24" s="379"/>
      <c r="EB24" s="379"/>
      <c r="EC24" s="660"/>
      <c r="ED24" s="660"/>
      <c r="EE24" s="660"/>
      <c r="EF24" s="660"/>
      <c r="EG24" s="660"/>
      <c r="EH24" s="660"/>
      <c r="EI24" s="660"/>
      <c r="EJ24" s="660"/>
      <c r="EK24" s="660"/>
      <c r="EL24" s="660"/>
      <c r="EM24" s="660"/>
      <c r="EN24" s="660"/>
      <c r="EO24" s="660"/>
      <c r="EP24" s="660"/>
      <c r="EQ24" s="660"/>
      <c r="ER24" s="660"/>
      <c r="ES24" s="660"/>
      <c r="ET24" s="660"/>
      <c r="EU24" s="660"/>
      <c r="EV24" s="660"/>
      <c r="EW24" s="660"/>
      <c r="EX24" s="660"/>
      <c r="EY24" s="660"/>
      <c r="EZ24" s="660"/>
      <c r="FA24" s="660"/>
      <c r="FB24" s="660"/>
      <c r="FC24" s="660"/>
      <c r="FD24" s="660"/>
      <c r="FE24" s="660"/>
      <c r="FF24" s="660"/>
      <c r="FG24" s="660"/>
      <c r="FH24" s="660"/>
      <c r="FI24" s="660"/>
      <c r="FJ24" s="660"/>
      <c r="FK24" s="660"/>
      <c r="FL24" s="263" t="e">
        <f t="shared" si="6"/>
        <v>#VALUE!</v>
      </c>
      <c r="FM24" s="263" t="e">
        <f t="shared" si="7"/>
        <v>#DIV/0!</v>
      </c>
      <c r="FN24" s="263">
        <f t="shared" si="8"/>
        <v>0</v>
      </c>
      <c r="FO24" s="264" t="e">
        <f t="shared" si="9"/>
        <v>#VALUE!</v>
      </c>
    </row>
    <row r="25" spans="1:172" x14ac:dyDescent="0.25">
      <c r="A25" s="52"/>
      <c r="B25" s="13">
        <v>18</v>
      </c>
      <c r="C25" s="13" t="s">
        <v>156</v>
      </c>
      <c r="D25" s="644"/>
      <c r="E25" s="644"/>
      <c r="F25" s="645"/>
      <c r="G25" s="661"/>
      <c r="H25" s="653"/>
      <c r="I25" s="164"/>
      <c r="J25" s="164"/>
      <c r="K25" s="651"/>
      <c r="L25" s="651"/>
      <c r="M25" s="651"/>
      <c r="N25" s="651"/>
      <c r="O25" s="647"/>
      <c r="P25" s="648"/>
      <c r="Q25" s="359"/>
      <c r="R25" s="359"/>
      <c r="S25" s="649"/>
      <c r="T25" s="649"/>
      <c r="U25" s="649"/>
      <c r="V25" s="359"/>
      <c r="W25" s="359"/>
      <c r="X25" s="359"/>
      <c r="Y25" s="359"/>
      <c r="Z25" s="359"/>
      <c r="AA25" s="359"/>
      <c r="AB25" s="359"/>
      <c r="AC25" s="359"/>
      <c r="AD25" s="359"/>
      <c r="AE25" s="359"/>
      <c r="AF25" s="359"/>
      <c r="AG25" s="359"/>
      <c r="AH25" s="650"/>
      <c r="AI25" s="651"/>
      <c r="AJ25" s="651"/>
      <c r="AK25" s="164"/>
      <c r="AL25" s="164"/>
      <c r="AM25" s="164"/>
      <c r="AN25" s="164"/>
      <c r="AO25" s="164"/>
      <c r="AP25" s="164"/>
      <c r="AQ25" s="164"/>
      <c r="AR25" s="164"/>
      <c r="AS25" s="164"/>
      <c r="AT25" s="164"/>
      <c r="AU25" s="164"/>
      <c r="AV25" s="359"/>
      <c r="AW25" s="253"/>
      <c r="AX25" s="164"/>
      <c r="AY25" s="164"/>
      <c r="AZ25" s="164"/>
      <c r="BA25" s="253"/>
      <c r="BB25" s="253"/>
      <c r="BC25" s="253"/>
      <c r="BD25" s="253"/>
      <c r="BE25" s="253"/>
      <c r="BF25" s="253"/>
      <c r="BG25" s="253"/>
      <c r="BH25" s="253"/>
      <c r="BI25" s="253"/>
      <c r="BJ25" s="253"/>
      <c r="BK25" s="253"/>
      <c r="BL25" s="253"/>
      <c r="BM25" s="253"/>
      <c r="BN25" s="253"/>
      <c r="BO25" s="454">
        <f t="shared" si="10"/>
        <v>0</v>
      </c>
      <c r="BP25" s="454">
        <f t="shared" si="11"/>
        <v>0</v>
      </c>
      <c r="BQ25" s="454">
        <f t="shared" si="12"/>
        <v>0</v>
      </c>
      <c r="BR25" s="454">
        <f t="shared" si="0"/>
        <v>0</v>
      </c>
      <c r="BS25" s="173">
        <f t="shared" si="1"/>
        <v>0</v>
      </c>
      <c r="BT25" s="653"/>
      <c r="BU25" s="653"/>
      <c r="BV25" s="164"/>
      <c r="BW25" s="164"/>
      <c r="BX25" s="654"/>
      <c r="BY25" s="654"/>
      <c r="BZ25" s="654"/>
      <c r="CA25" s="654"/>
      <c r="CB25" s="164"/>
      <c r="CC25" s="655"/>
      <c r="CD25" s="656"/>
      <c r="CE25" s="656"/>
      <c r="CF25" s="657"/>
      <c r="CG25" s="657"/>
      <c r="CH25" s="657"/>
      <c r="CI25" s="656"/>
      <c r="CJ25" s="656"/>
      <c r="CK25" s="656"/>
      <c r="CL25" s="656"/>
      <c r="CM25" s="656"/>
      <c r="CN25" s="656"/>
      <c r="CO25" s="656"/>
      <c r="CP25" s="656"/>
      <c r="CQ25" s="656"/>
      <c r="CR25" s="656"/>
      <c r="CS25" s="656"/>
      <c r="CT25" s="656"/>
      <c r="CU25" s="658"/>
      <c r="CV25" s="656"/>
      <c r="CW25" s="656"/>
      <c r="CX25" s="164"/>
      <c r="CY25" s="164"/>
      <c r="CZ25" s="164"/>
      <c r="DA25" s="164"/>
      <c r="DB25" s="164"/>
      <c r="DC25" s="164"/>
      <c r="DD25" s="164"/>
      <c r="DE25" s="164"/>
      <c r="DF25" s="164"/>
      <c r="DG25" s="164"/>
      <c r="DH25" s="164"/>
      <c r="DI25" s="656"/>
      <c r="DJ25" s="253"/>
      <c r="DK25" s="164"/>
      <c r="DL25" s="164"/>
      <c r="DM25" s="659"/>
      <c r="DN25" s="253"/>
      <c r="DO25" s="253"/>
      <c r="DP25" s="253"/>
      <c r="DQ25" s="253"/>
      <c r="DR25" s="253"/>
      <c r="DS25" s="253"/>
      <c r="DT25" s="253"/>
      <c r="DU25" s="253"/>
      <c r="DV25" s="253"/>
      <c r="DW25" s="454">
        <f t="shared" si="2"/>
        <v>0</v>
      </c>
      <c r="DX25" s="454">
        <f t="shared" si="3"/>
        <v>0</v>
      </c>
      <c r="DY25" s="454">
        <f t="shared" si="4"/>
        <v>0</v>
      </c>
      <c r="DZ25" s="173">
        <f t="shared" si="5"/>
        <v>0</v>
      </c>
      <c r="EA25" s="379"/>
      <c r="EB25" s="379"/>
      <c r="EC25" s="660"/>
      <c r="ED25" s="660"/>
      <c r="EE25" s="660"/>
      <c r="EF25" s="660"/>
      <c r="EG25" s="660"/>
      <c r="EH25" s="660"/>
      <c r="EI25" s="660"/>
      <c r="EJ25" s="660"/>
      <c r="EK25" s="660"/>
      <c r="EL25" s="660"/>
      <c r="EM25" s="660"/>
      <c r="EN25" s="660"/>
      <c r="EO25" s="660"/>
      <c r="EP25" s="660"/>
      <c r="EQ25" s="660"/>
      <c r="ER25" s="660"/>
      <c r="ES25" s="660"/>
      <c r="ET25" s="660"/>
      <c r="EU25" s="660"/>
      <c r="EV25" s="660"/>
      <c r="EW25" s="660"/>
      <c r="EX25" s="660"/>
      <c r="EY25" s="660"/>
      <c r="EZ25" s="660"/>
      <c r="FA25" s="660"/>
      <c r="FB25" s="660"/>
      <c r="FC25" s="660"/>
      <c r="FD25" s="660"/>
      <c r="FE25" s="660"/>
      <c r="FF25" s="660"/>
      <c r="FG25" s="660"/>
      <c r="FH25" s="660"/>
      <c r="FI25" s="660"/>
      <c r="FJ25" s="660"/>
      <c r="FK25" s="660"/>
      <c r="FL25" s="263" t="e">
        <f t="shared" si="6"/>
        <v>#VALUE!</v>
      </c>
      <c r="FM25" s="263" t="e">
        <f t="shared" si="7"/>
        <v>#DIV/0!</v>
      </c>
      <c r="FN25" s="263">
        <f t="shared" si="8"/>
        <v>0</v>
      </c>
      <c r="FO25" s="264" t="e">
        <f t="shared" si="9"/>
        <v>#VALUE!</v>
      </c>
    </row>
    <row r="26" spans="1:172" x14ac:dyDescent="0.25">
      <c r="A26" s="52"/>
      <c r="B26" s="13">
        <v>19</v>
      </c>
      <c r="C26" s="13" t="s">
        <v>157</v>
      </c>
      <c r="D26" s="644"/>
      <c r="E26" s="644"/>
      <c r="F26" s="645"/>
      <c r="G26" s="646"/>
      <c r="H26" s="653"/>
      <c r="I26" s="164"/>
      <c r="J26" s="164"/>
      <c r="K26" s="647"/>
      <c r="L26" s="647"/>
      <c r="M26" s="647"/>
      <c r="N26" s="647"/>
      <c r="O26" s="647"/>
      <c r="P26" s="648"/>
      <c r="Q26" s="359"/>
      <c r="R26" s="359"/>
      <c r="S26" s="649"/>
      <c r="T26" s="649"/>
      <c r="U26" s="649"/>
      <c r="V26" s="359"/>
      <c r="W26" s="359"/>
      <c r="X26" s="359"/>
      <c r="Y26" s="359"/>
      <c r="Z26" s="359"/>
      <c r="AA26" s="359"/>
      <c r="AB26" s="359"/>
      <c r="AC26" s="359"/>
      <c r="AD26" s="359"/>
      <c r="AE26" s="359"/>
      <c r="AF26" s="359"/>
      <c r="AG26" s="359"/>
      <c r="AH26" s="650"/>
      <c r="AI26" s="651"/>
      <c r="AJ26" s="651"/>
      <c r="AK26" s="164"/>
      <c r="AL26" s="164"/>
      <c r="AM26" s="164"/>
      <c r="AN26" s="164"/>
      <c r="AO26" s="164"/>
      <c r="AP26" s="164"/>
      <c r="AQ26" s="164"/>
      <c r="AR26" s="164"/>
      <c r="AS26" s="164"/>
      <c r="AT26" s="164"/>
      <c r="AU26" s="164"/>
      <c r="AV26" s="359"/>
      <c r="AW26" s="253"/>
      <c r="AX26" s="164"/>
      <c r="AY26" s="164"/>
      <c r="AZ26" s="164"/>
      <c r="BA26" s="253"/>
      <c r="BB26" s="253"/>
      <c r="BC26" s="253"/>
      <c r="BD26" s="253"/>
      <c r="BE26" s="253"/>
      <c r="BF26" s="253"/>
      <c r="BG26" s="253"/>
      <c r="BH26" s="253"/>
      <c r="BI26" s="253"/>
      <c r="BJ26" s="253"/>
      <c r="BK26" s="253"/>
      <c r="BL26" s="253"/>
      <c r="BM26" s="253"/>
      <c r="BN26" s="253"/>
      <c r="BO26" s="454">
        <f t="shared" si="10"/>
        <v>0</v>
      </c>
      <c r="BP26" s="454">
        <f t="shared" si="11"/>
        <v>0</v>
      </c>
      <c r="BQ26" s="454">
        <f t="shared" si="12"/>
        <v>0</v>
      </c>
      <c r="BR26" s="454">
        <f t="shared" si="0"/>
        <v>0</v>
      </c>
      <c r="BS26" s="173">
        <f t="shared" si="1"/>
        <v>0</v>
      </c>
      <c r="BT26" s="653"/>
      <c r="BU26" s="653"/>
      <c r="BV26" s="164"/>
      <c r="BW26" s="164"/>
      <c r="BX26" s="654"/>
      <c r="BY26" s="654"/>
      <c r="BZ26" s="654"/>
      <c r="CA26" s="654"/>
      <c r="CB26" s="164"/>
      <c r="CC26" s="655"/>
      <c r="CD26" s="656"/>
      <c r="CE26" s="656"/>
      <c r="CF26" s="657"/>
      <c r="CG26" s="657"/>
      <c r="CH26" s="657"/>
      <c r="CI26" s="656"/>
      <c r="CJ26" s="656"/>
      <c r="CK26" s="656"/>
      <c r="CL26" s="656"/>
      <c r="CM26" s="656"/>
      <c r="CN26" s="656"/>
      <c r="CO26" s="656"/>
      <c r="CP26" s="656"/>
      <c r="CQ26" s="656"/>
      <c r="CR26" s="656"/>
      <c r="CS26" s="656"/>
      <c r="CT26" s="656"/>
      <c r="CU26" s="658"/>
      <c r="CV26" s="656"/>
      <c r="CW26" s="656"/>
      <c r="CX26" s="164"/>
      <c r="CY26" s="164"/>
      <c r="CZ26" s="164"/>
      <c r="DA26" s="164"/>
      <c r="DB26" s="164"/>
      <c r="DC26" s="164"/>
      <c r="DD26" s="164"/>
      <c r="DE26" s="164"/>
      <c r="DF26" s="164"/>
      <c r="DG26" s="164"/>
      <c r="DH26" s="164"/>
      <c r="DI26" s="656"/>
      <c r="DJ26" s="253"/>
      <c r="DK26" s="164"/>
      <c r="DL26" s="164"/>
      <c r="DM26" s="659"/>
      <c r="DN26" s="253"/>
      <c r="DO26" s="253"/>
      <c r="DP26" s="253"/>
      <c r="DQ26" s="253"/>
      <c r="DR26" s="253"/>
      <c r="DS26" s="253"/>
      <c r="DT26" s="253"/>
      <c r="DU26" s="253"/>
      <c r="DV26" s="253"/>
      <c r="DW26" s="454">
        <f t="shared" si="2"/>
        <v>0</v>
      </c>
      <c r="DX26" s="454">
        <f t="shared" si="3"/>
        <v>0</v>
      </c>
      <c r="DY26" s="454">
        <f t="shared" si="4"/>
        <v>0</v>
      </c>
      <c r="DZ26" s="173">
        <f t="shared" si="5"/>
        <v>0</v>
      </c>
      <c r="EA26" s="379"/>
      <c r="EB26" s="379"/>
      <c r="EC26" s="660"/>
      <c r="ED26" s="660"/>
      <c r="EE26" s="660"/>
      <c r="EF26" s="660"/>
      <c r="EG26" s="660"/>
      <c r="EH26" s="660"/>
      <c r="EI26" s="660"/>
      <c r="EJ26" s="660"/>
      <c r="EK26" s="660"/>
      <c r="EL26" s="660"/>
      <c r="EM26" s="660"/>
      <c r="EN26" s="660"/>
      <c r="EO26" s="660"/>
      <c r="EP26" s="660"/>
      <c r="EQ26" s="660"/>
      <c r="ER26" s="660"/>
      <c r="ES26" s="660"/>
      <c r="ET26" s="660"/>
      <c r="EU26" s="660"/>
      <c r="EV26" s="660"/>
      <c r="EW26" s="660"/>
      <c r="EX26" s="660"/>
      <c r="EY26" s="660"/>
      <c r="EZ26" s="660"/>
      <c r="FA26" s="660"/>
      <c r="FB26" s="660"/>
      <c r="FC26" s="660"/>
      <c r="FD26" s="660"/>
      <c r="FE26" s="660"/>
      <c r="FF26" s="660"/>
      <c r="FG26" s="660"/>
      <c r="FH26" s="660"/>
      <c r="FI26" s="660"/>
      <c r="FJ26" s="660"/>
      <c r="FK26" s="660"/>
      <c r="FL26" s="263" t="e">
        <f t="shared" si="6"/>
        <v>#VALUE!</v>
      </c>
      <c r="FM26" s="263" t="e">
        <f t="shared" si="7"/>
        <v>#DIV/0!</v>
      </c>
      <c r="FN26" s="263">
        <f t="shared" si="8"/>
        <v>0</v>
      </c>
      <c r="FO26" s="264" t="e">
        <f t="shared" si="9"/>
        <v>#VALUE!</v>
      </c>
    </row>
    <row r="27" spans="1:172" x14ac:dyDescent="0.25">
      <c r="A27" s="52"/>
      <c r="B27" s="13">
        <v>20</v>
      </c>
      <c r="C27" s="13" t="s">
        <v>158</v>
      </c>
      <c r="D27" s="644"/>
      <c r="E27" s="644"/>
      <c r="F27" s="645"/>
      <c r="G27" s="646"/>
      <c r="H27" s="653"/>
      <c r="I27" s="164"/>
      <c r="J27" s="164"/>
      <c r="K27" s="647"/>
      <c r="L27" s="647"/>
      <c r="M27" s="647"/>
      <c r="N27" s="647"/>
      <c r="O27" s="647"/>
      <c r="P27" s="648"/>
      <c r="Q27" s="359"/>
      <c r="R27" s="359"/>
      <c r="S27" s="649"/>
      <c r="T27" s="649"/>
      <c r="U27" s="649"/>
      <c r="V27" s="359"/>
      <c r="W27" s="359"/>
      <c r="X27" s="359"/>
      <c r="Y27" s="359"/>
      <c r="Z27" s="359"/>
      <c r="AA27" s="359"/>
      <c r="AB27" s="359"/>
      <c r="AC27" s="359"/>
      <c r="AD27" s="359"/>
      <c r="AE27" s="359"/>
      <c r="AF27" s="359"/>
      <c r="AG27" s="359"/>
      <c r="AH27" s="650"/>
      <c r="AI27" s="651"/>
      <c r="AJ27" s="651"/>
      <c r="AK27" s="164"/>
      <c r="AL27" s="164"/>
      <c r="AM27" s="164"/>
      <c r="AN27" s="164"/>
      <c r="AO27" s="164"/>
      <c r="AP27" s="164"/>
      <c r="AQ27" s="164"/>
      <c r="AR27" s="164"/>
      <c r="AS27" s="164"/>
      <c r="AT27" s="164"/>
      <c r="AU27" s="164"/>
      <c r="AV27" s="359"/>
      <c r="AW27" s="253"/>
      <c r="AX27" s="164"/>
      <c r="AY27" s="164"/>
      <c r="AZ27" s="164"/>
      <c r="BA27" s="253"/>
      <c r="BB27" s="253"/>
      <c r="BC27" s="253"/>
      <c r="BD27" s="253"/>
      <c r="BE27" s="253"/>
      <c r="BF27" s="253"/>
      <c r="BG27" s="253"/>
      <c r="BH27" s="253"/>
      <c r="BI27" s="253"/>
      <c r="BJ27" s="253"/>
      <c r="BK27" s="253"/>
      <c r="BL27" s="253"/>
      <c r="BM27" s="253"/>
      <c r="BN27" s="253"/>
      <c r="BO27" s="454">
        <f t="shared" si="10"/>
        <v>0</v>
      </c>
      <c r="BP27" s="454">
        <f t="shared" si="11"/>
        <v>0</v>
      </c>
      <c r="BQ27" s="454">
        <f t="shared" si="12"/>
        <v>0</v>
      </c>
      <c r="BR27" s="454">
        <f t="shared" si="0"/>
        <v>0</v>
      </c>
      <c r="BS27" s="173">
        <f t="shared" si="1"/>
        <v>0</v>
      </c>
      <c r="BT27" s="653"/>
      <c r="BU27" s="653"/>
      <c r="BV27" s="164"/>
      <c r="BW27" s="164"/>
      <c r="BX27" s="654"/>
      <c r="BY27" s="654"/>
      <c r="BZ27" s="654"/>
      <c r="CA27" s="654"/>
      <c r="CB27" s="164"/>
      <c r="CC27" s="655"/>
      <c r="CD27" s="656"/>
      <c r="CE27" s="656"/>
      <c r="CF27" s="657"/>
      <c r="CG27" s="657"/>
      <c r="CH27" s="657"/>
      <c r="CI27" s="656"/>
      <c r="CJ27" s="656"/>
      <c r="CK27" s="656"/>
      <c r="CL27" s="656"/>
      <c r="CM27" s="656"/>
      <c r="CN27" s="656"/>
      <c r="CO27" s="656"/>
      <c r="CP27" s="656"/>
      <c r="CQ27" s="656"/>
      <c r="CR27" s="656"/>
      <c r="CS27" s="656"/>
      <c r="CT27" s="656"/>
      <c r="CU27" s="658"/>
      <c r="CV27" s="656"/>
      <c r="CW27" s="656"/>
      <c r="CX27" s="164"/>
      <c r="CY27" s="164"/>
      <c r="CZ27" s="164"/>
      <c r="DA27" s="164"/>
      <c r="DB27" s="164"/>
      <c r="DC27" s="164"/>
      <c r="DD27" s="164"/>
      <c r="DE27" s="164"/>
      <c r="DF27" s="164"/>
      <c r="DG27" s="164"/>
      <c r="DH27" s="164"/>
      <c r="DI27" s="656"/>
      <c r="DJ27" s="253"/>
      <c r="DK27" s="164"/>
      <c r="DL27" s="164"/>
      <c r="DM27" s="659"/>
      <c r="DN27" s="253"/>
      <c r="DO27" s="253"/>
      <c r="DP27" s="253"/>
      <c r="DQ27" s="253"/>
      <c r="DR27" s="253"/>
      <c r="DS27" s="663"/>
      <c r="DT27" s="253"/>
      <c r="DU27" s="253"/>
      <c r="DV27" s="253"/>
      <c r="DW27" s="454">
        <f t="shared" si="2"/>
        <v>0</v>
      </c>
      <c r="DX27" s="454">
        <f t="shared" si="3"/>
        <v>0</v>
      </c>
      <c r="DY27" s="454">
        <f t="shared" si="4"/>
        <v>0</v>
      </c>
      <c r="DZ27" s="173">
        <f t="shared" si="5"/>
        <v>0</v>
      </c>
      <c r="EA27" s="379"/>
      <c r="EB27" s="379"/>
      <c r="EC27" s="660"/>
      <c r="ED27" s="660"/>
      <c r="EE27" s="660"/>
      <c r="EF27" s="660"/>
      <c r="EG27" s="660"/>
      <c r="EH27" s="660"/>
      <c r="EI27" s="660"/>
      <c r="EJ27" s="660"/>
      <c r="EK27" s="660"/>
      <c r="EL27" s="660"/>
      <c r="EM27" s="660"/>
      <c r="EN27" s="660"/>
      <c r="EO27" s="660"/>
      <c r="EP27" s="660"/>
      <c r="EQ27" s="660"/>
      <c r="ER27" s="660"/>
      <c r="ES27" s="660"/>
      <c r="ET27" s="660"/>
      <c r="EU27" s="660"/>
      <c r="EV27" s="660"/>
      <c r="EW27" s="660"/>
      <c r="EX27" s="660"/>
      <c r="EY27" s="660"/>
      <c r="EZ27" s="660"/>
      <c r="FA27" s="660"/>
      <c r="FB27" s="660"/>
      <c r="FC27" s="660"/>
      <c r="FD27" s="660"/>
      <c r="FE27" s="660"/>
      <c r="FF27" s="660"/>
      <c r="FG27" s="660"/>
      <c r="FH27" s="660"/>
      <c r="FI27" s="660"/>
      <c r="FJ27" s="660"/>
      <c r="FK27" s="660"/>
      <c r="FL27" s="263" t="e">
        <f t="shared" si="6"/>
        <v>#VALUE!</v>
      </c>
      <c r="FM27" s="263" t="e">
        <f t="shared" si="7"/>
        <v>#DIV/0!</v>
      </c>
      <c r="FN27" s="263">
        <f t="shared" si="8"/>
        <v>0</v>
      </c>
      <c r="FO27" s="264" t="e">
        <f t="shared" si="9"/>
        <v>#VALUE!</v>
      </c>
    </row>
    <row r="28" spans="1:172" x14ac:dyDescent="0.25">
      <c r="A28" s="52"/>
      <c r="B28" s="13">
        <v>21</v>
      </c>
      <c r="C28" s="13" t="s">
        <v>159</v>
      </c>
      <c r="D28" s="644"/>
      <c r="E28" s="644"/>
      <c r="F28" s="645"/>
      <c r="G28" s="646"/>
      <c r="H28" s="653"/>
      <c r="I28" s="164"/>
      <c r="J28" s="164"/>
      <c r="K28" s="647"/>
      <c r="L28" s="647"/>
      <c r="M28" s="647"/>
      <c r="N28" s="647"/>
      <c r="O28" s="647"/>
      <c r="P28" s="648"/>
      <c r="Q28" s="359"/>
      <c r="R28" s="359"/>
      <c r="S28" s="649"/>
      <c r="T28" s="649"/>
      <c r="U28" s="649"/>
      <c r="V28" s="359"/>
      <c r="W28" s="359"/>
      <c r="X28" s="359"/>
      <c r="Y28" s="359"/>
      <c r="Z28" s="359"/>
      <c r="AA28" s="359"/>
      <c r="AB28" s="359"/>
      <c r="AC28" s="359"/>
      <c r="AD28" s="359"/>
      <c r="AE28" s="359"/>
      <c r="AF28" s="359"/>
      <c r="AG28" s="359"/>
      <c r="AH28" s="650"/>
      <c r="AI28" s="651"/>
      <c r="AJ28" s="651"/>
      <c r="AK28" s="164"/>
      <c r="AL28" s="164"/>
      <c r="AM28" s="164"/>
      <c r="AN28" s="164"/>
      <c r="AO28" s="164"/>
      <c r="AP28" s="164"/>
      <c r="AQ28" s="164"/>
      <c r="AR28" s="164"/>
      <c r="AS28" s="164"/>
      <c r="AT28" s="164"/>
      <c r="AU28" s="164"/>
      <c r="AV28" s="359"/>
      <c r="AW28" s="253"/>
      <c r="AX28" s="164"/>
      <c r="AY28" s="164"/>
      <c r="AZ28" s="164"/>
      <c r="BA28" s="253"/>
      <c r="BB28" s="253"/>
      <c r="BC28" s="253"/>
      <c r="BD28" s="253"/>
      <c r="BE28" s="253"/>
      <c r="BF28" s="253"/>
      <c r="BG28" s="253"/>
      <c r="BH28" s="253"/>
      <c r="BI28" s="253"/>
      <c r="BJ28" s="253"/>
      <c r="BK28" s="253"/>
      <c r="BL28" s="253"/>
      <c r="BM28" s="253"/>
      <c r="BN28" s="253"/>
      <c r="BO28" s="454">
        <f t="shared" si="10"/>
        <v>0</v>
      </c>
      <c r="BP28" s="454">
        <f t="shared" si="11"/>
        <v>0</v>
      </c>
      <c r="BQ28" s="454">
        <f t="shared" si="12"/>
        <v>0</v>
      </c>
      <c r="BR28" s="454">
        <f t="shared" si="0"/>
        <v>0</v>
      </c>
      <c r="BS28" s="173">
        <f t="shared" si="1"/>
        <v>0</v>
      </c>
      <c r="BT28" s="653"/>
      <c r="BU28" s="653"/>
      <c r="BV28" s="164"/>
      <c r="BW28" s="164"/>
      <c r="BX28" s="654"/>
      <c r="BY28" s="654"/>
      <c r="BZ28" s="654"/>
      <c r="CA28" s="654"/>
      <c r="CB28" s="164"/>
      <c r="CC28" s="655"/>
      <c r="CD28" s="656"/>
      <c r="CE28" s="656"/>
      <c r="CF28" s="657"/>
      <c r="CG28" s="657"/>
      <c r="CH28" s="657"/>
      <c r="CI28" s="656"/>
      <c r="CJ28" s="656"/>
      <c r="CK28" s="656"/>
      <c r="CL28" s="656"/>
      <c r="CM28" s="656"/>
      <c r="CN28" s="656"/>
      <c r="CO28" s="656"/>
      <c r="CP28" s="656"/>
      <c r="CQ28" s="656"/>
      <c r="CR28" s="656"/>
      <c r="CS28" s="656"/>
      <c r="CT28" s="656"/>
      <c r="CU28" s="658"/>
      <c r="CV28" s="656"/>
      <c r="CW28" s="656"/>
      <c r="CX28" s="164"/>
      <c r="CY28" s="164"/>
      <c r="CZ28" s="164"/>
      <c r="DA28" s="164"/>
      <c r="DB28" s="164"/>
      <c r="DC28" s="164"/>
      <c r="DD28" s="164"/>
      <c r="DE28" s="164"/>
      <c r="DF28" s="164"/>
      <c r="DG28" s="164"/>
      <c r="DH28" s="164"/>
      <c r="DI28" s="656"/>
      <c r="DJ28" s="253"/>
      <c r="DK28" s="164"/>
      <c r="DL28" s="164"/>
      <c r="DM28" s="659"/>
      <c r="DN28" s="253"/>
      <c r="DO28" s="253"/>
      <c r="DP28" s="253"/>
      <c r="DQ28" s="253"/>
      <c r="DR28" s="253"/>
      <c r="DS28" s="253"/>
      <c r="DT28" s="253"/>
      <c r="DU28" s="253"/>
      <c r="DV28" s="253"/>
      <c r="DW28" s="454">
        <f t="shared" si="2"/>
        <v>0</v>
      </c>
      <c r="DX28" s="454">
        <f t="shared" si="3"/>
        <v>0</v>
      </c>
      <c r="DY28" s="454">
        <f t="shared" si="4"/>
        <v>0</v>
      </c>
      <c r="DZ28" s="173">
        <f t="shared" si="5"/>
        <v>0</v>
      </c>
      <c r="EA28" s="379"/>
      <c r="EB28" s="379"/>
      <c r="EC28" s="660"/>
      <c r="ED28" s="660"/>
      <c r="EE28" s="660"/>
      <c r="EF28" s="660"/>
      <c r="EG28" s="660"/>
      <c r="EH28" s="660"/>
      <c r="EI28" s="660"/>
      <c r="EJ28" s="660"/>
      <c r="EK28" s="660"/>
      <c r="EL28" s="660"/>
      <c r="EM28" s="660"/>
      <c r="EN28" s="660"/>
      <c r="EO28" s="660"/>
      <c r="EP28" s="660"/>
      <c r="EQ28" s="660"/>
      <c r="ER28" s="660"/>
      <c r="ES28" s="660"/>
      <c r="ET28" s="660"/>
      <c r="EU28" s="660"/>
      <c r="EV28" s="660"/>
      <c r="EW28" s="660"/>
      <c r="EX28" s="660"/>
      <c r="EY28" s="660"/>
      <c r="EZ28" s="660"/>
      <c r="FA28" s="660"/>
      <c r="FB28" s="660"/>
      <c r="FC28" s="660"/>
      <c r="FD28" s="660"/>
      <c r="FE28" s="660"/>
      <c r="FF28" s="660"/>
      <c r="FG28" s="660"/>
      <c r="FH28" s="660"/>
      <c r="FI28" s="660"/>
      <c r="FJ28" s="660"/>
      <c r="FK28" s="660"/>
      <c r="FL28" s="263" t="e">
        <f t="shared" si="6"/>
        <v>#VALUE!</v>
      </c>
      <c r="FM28" s="263" t="e">
        <f t="shared" si="7"/>
        <v>#DIV/0!</v>
      </c>
      <c r="FN28" s="263">
        <f t="shared" si="8"/>
        <v>0</v>
      </c>
      <c r="FO28" s="264" t="e">
        <f t="shared" si="9"/>
        <v>#VALUE!</v>
      </c>
    </row>
    <row r="29" spans="1:172" x14ac:dyDescent="0.25">
      <c r="A29" s="52"/>
      <c r="B29" s="13">
        <v>22</v>
      </c>
      <c r="C29" s="13" t="s">
        <v>160</v>
      </c>
      <c r="D29" s="644"/>
      <c r="E29" s="644"/>
      <c r="F29" s="645"/>
      <c r="G29" s="646"/>
      <c r="H29" s="653"/>
      <c r="I29" s="164"/>
      <c r="J29" s="164"/>
      <c r="K29" s="647"/>
      <c r="L29" s="647"/>
      <c r="M29" s="647"/>
      <c r="N29" s="647"/>
      <c r="O29" s="647"/>
      <c r="P29" s="648"/>
      <c r="Q29" s="359"/>
      <c r="R29" s="359"/>
      <c r="S29" s="664"/>
      <c r="T29" s="649"/>
      <c r="U29" s="649"/>
      <c r="V29" s="359"/>
      <c r="W29" s="359"/>
      <c r="X29" s="359"/>
      <c r="Y29" s="359"/>
      <c r="Z29" s="359"/>
      <c r="AA29" s="359"/>
      <c r="AB29" s="359"/>
      <c r="AC29" s="359"/>
      <c r="AD29" s="359"/>
      <c r="AE29" s="359"/>
      <c r="AF29" s="359"/>
      <c r="AG29" s="359"/>
      <c r="AH29" s="650"/>
      <c r="AI29" s="651"/>
      <c r="AJ29" s="651"/>
      <c r="AK29" s="164"/>
      <c r="AL29" s="164"/>
      <c r="AM29" s="164"/>
      <c r="AN29" s="164"/>
      <c r="AO29" s="164"/>
      <c r="AP29" s="164"/>
      <c r="AQ29" s="164"/>
      <c r="AR29" s="164"/>
      <c r="AS29" s="164"/>
      <c r="AT29" s="164"/>
      <c r="AU29" s="164"/>
      <c r="AV29" s="359"/>
      <c r="AW29" s="253"/>
      <c r="AX29" s="164"/>
      <c r="AY29" s="164"/>
      <c r="AZ29" s="164"/>
      <c r="BA29" s="253"/>
      <c r="BB29" s="253"/>
      <c r="BC29" s="253"/>
      <c r="BD29" s="253"/>
      <c r="BE29" s="253"/>
      <c r="BF29" s="253"/>
      <c r="BG29" s="253"/>
      <c r="BH29" s="253"/>
      <c r="BI29" s="253"/>
      <c r="BJ29" s="253"/>
      <c r="BK29" s="253"/>
      <c r="BL29" s="253"/>
      <c r="BM29" s="253"/>
      <c r="BN29" s="253"/>
      <c r="BO29" s="454">
        <f t="shared" si="10"/>
        <v>0</v>
      </c>
      <c r="BP29" s="454">
        <f t="shared" si="11"/>
        <v>0</v>
      </c>
      <c r="BQ29" s="454">
        <f t="shared" si="12"/>
        <v>0</v>
      </c>
      <c r="BR29" s="454">
        <f t="shared" si="0"/>
        <v>0</v>
      </c>
      <c r="BS29" s="173">
        <f t="shared" si="1"/>
        <v>0</v>
      </c>
      <c r="BT29" s="653"/>
      <c r="BU29" s="653"/>
      <c r="BV29" s="164"/>
      <c r="BW29" s="164"/>
      <c r="BX29" s="654"/>
      <c r="BY29" s="654"/>
      <c r="BZ29" s="654"/>
      <c r="CA29" s="654"/>
      <c r="CB29" s="164"/>
      <c r="CC29" s="655"/>
      <c r="CD29" s="656"/>
      <c r="CE29" s="656"/>
      <c r="CF29" s="657"/>
      <c r="CG29" s="657"/>
      <c r="CH29" s="657"/>
      <c r="CI29" s="656"/>
      <c r="CJ29" s="656"/>
      <c r="CK29" s="656"/>
      <c r="CL29" s="656"/>
      <c r="CM29" s="656"/>
      <c r="CN29" s="656"/>
      <c r="CO29" s="656"/>
      <c r="CP29" s="656"/>
      <c r="CQ29" s="656"/>
      <c r="CR29" s="656"/>
      <c r="CS29" s="656"/>
      <c r="CT29" s="656"/>
      <c r="CU29" s="658"/>
      <c r="CV29" s="656"/>
      <c r="CW29" s="656"/>
      <c r="CX29" s="164"/>
      <c r="CY29" s="164"/>
      <c r="CZ29" s="164"/>
      <c r="DA29" s="164"/>
      <c r="DB29" s="164"/>
      <c r="DC29" s="164"/>
      <c r="DD29" s="164"/>
      <c r="DE29" s="164"/>
      <c r="DF29" s="164"/>
      <c r="DG29" s="164"/>
      <c r="DH29" s="164"/>
      <c r="DI29" s="656"/>
      <c r="DJ29" s="253"/>
      <c r="DK29" s="164"/>
      <c r="DL29" s="164"/>
      <c r="DM29" s="659"/>
      <c r="DN29" s="253"/>
      <c r="DO29" s="253"/>
      <c r="DP29" s="253"/>
      <c r="DQ29" s="253"/>
      <c r="DR29" s="253"/>
      <c r="DS29" s="253"/>
      <c r="DT29" s="253"/>
      <c r="DU29" s="253"/>
      <c r="DV29" s="253"/>
      <c r="DW29" s="454">
        <f t="shared" si="2"/>
        <v>0</v>
      </c>
      <c r="DX29" s="454">
        <f t="shared" si="3"/>
        <v>0</v>
      </c>
      <c r="DY29" s="454">
        <f t="shared" si="4"/>
        <v>0</v>
      </c>
      <c r="DZ29" s="173">
        <f t="shared" si="5"/>
        <v>0</v>
      </c>
      <c r="EA29" s="379"/>
      <c r="EB29" s="379"/>
      <c r="EC29" s="660"/>
      <c r="ED29" s="660"/>
      <c r="EE29" s="660"/>
      <c r="EF29" s="660"/>
      <c r="EG29" s="660"/>
      <c r="EH29" s="660"/>
      <c r="EI29" s="660"/>
      <c r="EJ29" s="660"/>
      <c r="EK29" s="660"/>
      <c r="EL29" s="660"/>
      <c r="EM29" s="660"/>
      <c r="EN29" s="660"/>
      <c r="EO29" s="660"/>
      <c r="EP29" s="660"/>
      <c r="EQ29" s="660"/>
      <c r="ER29" s="660"/>
      <c r="ES29" s="660"/>
      <c r="ET29" s="660"/>
      <c r="EU29" s="660"/>
      <c r="EV29" s="660"/>
      <c r="EW29" s="660"/>
      <c r="EX29" s="660"/>
      <c r="EY29" s="660"/>
      <c r="EZ29" s="660"/>
      <c r="FA29" s="660"/>
      <c r="FB29" s="660"/>
      <c r="FC29" s="660"/>
      <c r="FD29" s="660"/>
      <c r="FE29" s="660"/>
      <c r="FF29" s="660"/>
      <c r="FG29" s="660"/>
      <c r="FH29" s="660"/>
      <c r="FI29" s="660"/>
      <c r="FJ29" s="660"/>
      <c r="FK29" s="660"/>
      <c r="FL29" s="263" t="e">
        <f t="shared" si="6"/>
        <v>#VALUE!</v>
      </c>
      <c r="FM29" s="263" t="e">
        <f t="shared" si="7"/>
        <v>#DIV/0!</v>
      </c>
      <c r="FN29" s="263">
        <f t="shared" si="8"/>
        <v>0</v>
      </c>
      <c r="FO29" s="264" t="e">
        <f t="shared" si="9"/>
        <v>#VALUE!</v>
      </c>
    </row>
    <row r="30" spans="1:172" x14ac:dyDescent="0.25">
      <c r="A30" s="52"/>
      <c r="B30" s="13">
        <v>23</v>
      </c>
      <c r="C30" s="13" t="s">
        <v>161</v>
      </c>
      <c r="D30" s="644"/>
      <c r="E30" s="644"/>
      <c r="F30" s="645"/>
      <c r="G30" s="646"/>
      <c r="H30" s="653"/>
      <c r="I30" s="164"/>
      <c r="J30" s="164"/>
      <c r="K30" s="647"/>
      <c r="L30" s="647"/>
      <c r="M30" s="647"/>
      <c r="N30" s="647"/>
      <c r="O30" s="647"/>
      <c r="P30" s="648"/>
      <c r="Q30" s="359"/>
      <c r="R30" s="359"/>
      <c r="S30" s="649"/>
      <c r="T30" s="649"/>
      <c r="U30" s="649"/>
      <c r="V30" s="359"/>
      <c r="W30" s="359"/>
      <c r="X30" s="359"/>
      <c r="Y30" s="359"/>
      <c r="Z30" s="359"/>
      <c r="AA30" s="359"/>
      <c r="AB30" s="359"/>
      <c r="AC30" s="359"/>
      <c r="AD30" s="359"/>
      <c r="AE30" s="359"/>
      <c r="AF30" s="359"/>
      <c r="AG30" s="359"/>
      <c r="AH30" s="650"/>
      <c r="AI30" s="651"/>
      <c r="AJ30" s="651"/>
      <c r="AK30" s="164"/>
      <c r="AL30" s="164"/>
      <c r="AM30" s="665"/>
      <c r="AN30" s="665"/>
      <c r="AO30" s="164"/>
      <c r="AP30" s="164"/>
      <c r="AQ30" s="164"/>
      <c r="AR30" s="164"/>
      <c r="AS30" s="164"/>
      <c r="AT30" s="164"/>
      <c r="AU30" s="164"/>
      <c r="AV30" s="359"/>
      <c r="AW30" s="253"/>
      <c r="AX30" s="164"/>
      <c r="AY30" s="164"/>
      <c r="AZ30" s="164"/>
      <c r="BA30" s="253"/>
      <c r="BB30" s="164"/>
      <c r="BC30" s="253"/>
      <c r="BD30" s="253"/>
      <c r="BE30" s="253"/>
      <c r="BF30" s="253"/>
      <c r="BG30" s="253"/>
      <c r="BH30" s="253"/>
      <c r="BI30" s="253"/>
      <c r="BJ30" s="253"/>
      <c r="BK30" s="253"/>
      <c r="BL30" s="253"/>
      <c r="BM30" s="253"/>
      <c r="BN30" s="253"/>
      <c r="BO30" s="454">
        <f t="shared" si="10"/>
        <v>0</v>
      </c>
      <c r="BP30" s="454">
        <f t="shared" si="11"/>
        <v>0</v>
      </c>
      <c r="BQ30" s="454">
        <f t="shared" si="12"/>
        <v>0</v>
      </c>
      <c r="BR30" s="454">
        <f t="shared" si="0"/>
        <v>0</v>
      </c>
      <c r="BS30" s="173">
        <f t="shared" si="1"/>
        <v>0</v>
      </c>
      <c r="BT30" s="653"/>
      <c r="BU30" s="653"/>
      <c r="BV30" s="164"/>
      <c r="BW30" s="164"/>
      <c r="BX30" s="654"/>
      <c r="BY30" s="654"/>
      <c r="BZ30" s="654"/>
      <c r="CA30" s="654"/>
      <c r="CB30" s="164"/>
      <c r="CC30" s="655"/>
      <c r="CD30" s="656"/>
      <c r="CE30" s="656"/>
      <c r="CF30" s="657"/>
      <c r="CG30" s="657"/>
      <c r="CH30" s="657"/>
      <c r="CI30" s="656"/>
      <c r="CJ30" s="656"/>
      <c r="CK30" s="656"/>
      <c r="CL30" s="656"/>
      <c r="CM30" s="656"/>
      <c r="CN30" s="656"/>
      <c r="CO30" s="656"/>
      <c r="CP30" s="656"/>
      <c r="CQ30" s="656"/>
      <c r="CR30" s="656"/>
      <c r="CS30" s="656"/>
      <c r="CT30" s="656"/>
      <c r="CU30" s="658"/>
      <c r="CV30" s="656"/>
      <c r="CW30" s="656"/>
      <c r="CX30" s="164"/>
      <c r="CY30" s="164"/>
      <c r="CZ30" s="164"/>
      <c r="DA30" s="164"/>
      <c r="DB30" s="164"/>
      <c r="DC30" s="164"/>
      <c r="DD30" s="164"/>
      <c r="DE30" s="164"/>
      <c r="DF30" s="164"/>
      <c r="DG30" s="164"/>
      <c r="DH30" s="164"/>
      <c r="DI30" s="656"/>
      <c r="DJ30" s="253"/>
      <c r="DK30" s="164"/>
      <c r="DL30" s="164"/>
      <c r="DM30" s="659"/>
      <c r="DN30" s="253"/>
      <c r="DO30" s="253"/>
      <c r="DP30" s="253"/>
      <c r="DQ30" s="253"/>
      <c r="DR30" s="253"/>
      <c r="DS30" s="253"/>
      <c r="DT30" s="253"/>
      <c r="DU30" s="253"/>
      <c r="DV30" s="253"/>
      <c r="DW30" s="454">
        <f t="shared" ref="DW30" si="13">SUM(BT30:DP30)</f>
        <v>0</v>
      </c>
      <c r="DX30" s="454">
        <f t="shared" si="3"/>
        <v>0</v>
      </c>
      <c r="DY30" s="454">
        <f t="shared" si="4"/>
        <v>0</v>
      </c>
      <c r="DZ30" s="173">
        <f t="shared" si="5"/>
        <v>0</v>
      </c>
      <c r="EA30" s="379"/>
      <c r="EB30" s="379"/>
      <c r="EC30" s="660"/>
      <c r="ED30" s="660"/>
      <c r="EE30" s="660"/>
      <c r="EF30" s="660"/>
      <c r="EG30" s="660"/>
      <c r="EH30" s="660"/>
      <c r="EI30" s="660"/>
      <c r="EJ30" s="660"/>
      <c r="EK30" s="660"/>
      <c r="EL30" s="660"/>
      <c r="EM30" s="660"/>
      <c r="EN30" s="660"/>
      <c r="EO30" s="660"/>
      <c r="EP30" s="660"/>
      <c r="EQ30" s="660"/>
      <c r="ER30" s="660"/>
      <c r="ES30" s="660"/>
      <c r="ET30" s="660"/>
      <c r="EU30" s="660"/>
      <c r="EV30" s="660"/>
      <c r="EW30" s="660"/>
      <c r="EX30" s="660"/>
      <c r="EY30" s="660"/>
      <c r="EZ30" s="660"/>
      <c r="FA30" s="660"/>
      <c r="FB30" s="660"/>
      <c r="FC30" s="660"/>
      <c r="FD30" s="660"/>
      <c r="FE30" s="660"/>
      <c r="FF30" s="660"/>
      <c r="FG30" s="660"/>
      <c r="FH30" s="660"/>
      <c r="FI30" s="660"/>
      <c r="FJ30" s="660"/>
      <c r="FK30" s="660"/>
      <c r="FL30" s="263">
        <v>0</v>
      </c>
      <c r="FM30" s="263">
        <v>0</v>
      </c>
      <c r="FN30" s="263">
        <f t="shared" si="8"/>
        <v>0</v>
      </c>
      <c r="FO30" s="264" t="e">
        <f t="shared" si="9"/>
        <v>#DIV/0!</v>
      </c>
    </row>
    <row r="31" spans="1:172" x14ac:dyDescent="0.25">
      <c r="A31" s="52"/>
      <c r="B31" s="13">
        <v>24</v>
      </c>
      <c r="C31" s="13" t="s">
        <v>162</v>
      </c>
      <c r="D31" s="644"/>
      <c r="E31" s="644"/>
      <c r="F31" s="645"/>
      <c r="G31" s="646"/>
      <c r="H31" s="653"/>
      <c r="I31" s="164"/>
      <c r="J31" s="164"/>
      <c r="K31" s="647"/>
      <c r="L31" s="647"/>
      <c r="M31" s="647"/>
      <c r="N31" s="647"/>
      <c r="O31" s="647"/>
      <c r="P31" s="648"/>
      <c r="Q31" s="359"/>
      <c r="R31" s="359"/>
      <c r="S31" s="649"/>
      <c r="T31" s="649"/>
      <c r="U31" s="649"/>
      <c r="V31" s="359"/>
      <c r="W31" s="359"/>
      <c r="X31" s="359"/>
      <c r="Y31" s="359"/>
      <c r="Z31" s="359"/>
      <c r="AA31" s="359"/>
      <c r="AB31" s="359"/>
      <c r="AC31" s="359"/>
      <c r="AD31" s="359"/>
      <c r="AE31" s="359"/>
      <c r="AF31" s="359"/>
      <c r="AG31" s="359"/>
      <c r="AH31" s="650"/>
      <c r="AI31" s="651"/>
      <c r="AJ31" s="651"/>
      <c r="AK31" s="164"/>
      <c r="AL31" s="164"/>
      <c r="AM31" s="164"/>
      <c r="AN31" s="164"/>
      <c r="AO31" s="164"/>
      <c r="AP31" s="164"/>
      <c r="AQ31" s="164"/>
      <c r="AR31" s="164"/>
      <c r="AS31" s="164"/>
      <c r="AT31" s="164"/>
      <c r="AU31" s="164"/>
      <c r="AV31" s="359"/>
      <c r="AW31" s="253"/>
      <c r="AX31" s="164"/>
      <c r="AY31" s="164"/>
      <c r="AZ31" s="164"/>
      <c r="BA31" s="253"/>
      <c r="BB31" s="164"/>
      <c r="BC31" s="253"/>
      <c r="BD31" s="253"/>
      <c r="BE31" s="253"/>
      <c r="BF31" s="253"/>
      <c r="BG31" s="253"/>
      <c r="BH31" s="253"/>
      <c r="BI31" s="253"/>
      <c r="BJ31" s="253"/>
      <c r="BK31" s="253"/>
      <c r="BL31" s="253"/>
      <c r="BM31" s="253"/>
      <c r="BN31" s="253"/>
      <c r="BO31" s="454">
        <f t="shared" si="10"/>
        <v>0</v>
      </c>
      <c r="BP31" s="454">
        <f t="shared" si="11"/>
        <v>0</v>
      </c>
      <c r="BQ31" s="454">
        <f t="shared" si="12"/>
        <v>0</v>
      </c>
      <c r="BR31" s="454">
        <f t="shared" si="0"/>
        <v>0</v>
      </c>
      <c r="BS31" s="173">
        <f t="shared" si="1"/>
        <v>0</v>
      </c>
      <c r="BT31" s="653"/>
      <c r="BU31" s="653"/>
      <c r="BV31" s="164"/>
      <c r="BW31" s="164"/>
      <c r="BX31" s="654"/>
      <c r="BY31" s="654"/>
      <c r="BZ31" s="654"/>
      <c r="CA31" s="654"/>
      <c r="CB31" s="164"/>
      <c r="CC31" s="655"/>
      <c r="CD31" s="656"/>
      <c r="CE31" s="656"/>
      <c r="CF31" s="657"/>
      <c r="CG31" s="657"/>
      <c r="CH31" s="657"/>
      <c r="CI31" s="656"/>
      <c r="CJ31" s="656"/>
      <c r="CK31" s="656"/>
      <c r="CL31" s="656"/>
      <c r="CM31" s="656"/>
      <c r="CN31" s="656"/>
      <c r="CO31" s="656"/>
      <c r="CP31" s="656"/>
      <c r="CQ31" s="656"/>
      <c r="CR31" s="656"/>
      <c r="CS31" s="656"/>
      <c r="CT31" s="656"/>
      <c r="CU31" s="658"/>
      <c r="CV31" s="656"/>
      <c r="CW31" s="656"/>
      <c r="CX31" s="164"/>
      <c r="CY31" s="164"/>
      <c r="CZ31" s="164"/>
      <c r="DA31" s="164"/>
      <c r="DB31" s="164"/>
      <c r="DC31" s="164"/>
      <c r="DD31" s="164"/>
      <c r="DE31" s="164"/>
      <c r="DF31" s="164"/>
      <c r="DG31" s="164"/>
      <c r="DH31" s="164"/>
      <c r="DI31" s="656"/>
      <c r="DJ31" s="253"/>
      <c r="DK31" s="164"/>
      <c r="DL31" s="164"/>
      <c r="DM31" s="659"/>
      <c r="DN31" s="253"/>
      <c r="DO31" s="253"/>
      <c r="DP31" s="253"/>
      <c r="DQ31" s="253"/>
      <c r="DR31" s="253"/>
      <c r="DS31" s="253"/>
      <c r="DT31" s="253"/>
      <c r="DU31" s="253"/>
      <c r="DV31" s="253"/>
      <c r="DW31" s="454">
        <f>SUM(BT31:DP31)</f>
        <v>0</v>
      </c>
      <c r="DX31" s="454">
        <f>SUM(DQ31:DU31)</f>
        <v>0</v>
      </c>
      <c r="DY31" s="454">
        <f t="shared" si="4"/>
        <v>0</v>
      </c>
      <c r="DZ31" s="173">
        <f>DW31+DX31+DY31</f>
        <v>0</v>
      </c>
      <c r="EA31" s="379"/>
      <c r="EB31" s="379"/>
      <c r="EC31" s="660"/>
      <c r="ED31" s="660"/>
      <c r="EE31" s="660"/>
      <c r="EF31" s="660"/>
      <c r="EG31" s="660"/>
      <c r="EH31" s="660"/>
      <c r="EI31" s="660"/>
      <c r="EJ31" s="660"/>
      <c r="EK31" s="660"/>
      <c r="EL31" s="660"/>
      <c r="EM31" s="660"/>
      <c r="EN31" s="660"/>
      <c r="EO31" s="660"/>
      <c r="EP31" s="660"/>
      <c r="EQ31" s="660"/>
      <c r="ER31" s="660"/>
      <c r="ES31" s="660"/>
      <c r="ET31" s="660"/>
      <c r="EU31" s="660"/>
      <c r="EV31" s="660"/>
      <c r="EW31" s="660"/>
      <c r="EX31" s="660"/>
      <c r="EY31" s="660"/>
      <c r="EZ31" s="660"/>
      <c r="FA31" s="660"/>
      <c r="FB31" s="660"/>
      <c r="FC31" s="660"/>
      <c r="FD31" s="660"/>
      <c r="FE31" s="660"/>
      <c r="FF31" s="660"/>
      <c r="FG31" s="660"/>
      <c r="FH31" s="660"/>
      <c r="FI31" s="660"/>
      <c r="FJ31" s="660"/>
      <c r="FK31" s="660"/>
      <c r="FL31" s="263" t="e">
        <f>SUMPRODUCT(EA31:FE31,G31:BC31)/BO31</f>
        <v>#VALUE!</v>
      </c>
      <c r="FM31" s="263" t="e">
        <f>SUMPRODUCT(FF31:FJ31,BD31:BH31)/BP31</f>
        <v>#DIV/0!</v>
      </c>
      <c r="FN31" s="263">
        <f t="shared" si="8"/>
        <v>0</v>
      </c>
      <c r="FO31" s="264" t="e">
        <f t="shared" si="9"/>
        <v>#VALUE!</v>
      </c>
    </row>
    <row r="32" spans="1:172" x14ac:dyDescent="0.25">
      <c r="B32" s="13"/>
      <c r="C32" s="15" t="s">
        <v>163</v>
      </c>
      <c r="D32" s="538">
        <f>SUMPRODUCT(D8:D31,$F$8:$F$31)</f>
        <v>0</v>
      </c>
      <c r="E32" s="538">
        <f>SUMPRODUCT(E8:E31,$F$8:$F$31)</f>
        <v>0</v>
      </c>
      <c r="F32" s="538">
        <f t="shared" ref="F32" si="14">SUM(F8:F31)</f>
        <v>0</v>
      </c>
      <c r="G32" s="538">
        <f>SUM(G8:G31)</f>
        <v>0</v>
      </c>
      <c r="H32" s="538">
        <f t="shared" ref="H32:BS32" si="15">SUM(H8:H31)</f>
        <v>0</v>
      </c>
      <c r="I32" s="538">
        <f t="shared" si="15"/>
        <v>0</v>
      </c>
      <c r="J32" s="538">
        <f t="shared" si="15"/>
        <v>0</v>
      </c>
      <c r="K32" s="538">
        <f t="shared" si="15"/>
        <v>0</v>
      </c>
      <c r="L32" s="538">
        <f t="shared" si="15"/>
        <v>0</v>
      </c>
      <c r="M32" s="538">
        <f t="shared" si="15"/>
        <v>0</v>
      </c>
      <c r="N32" s="538">
        <f t="shared" si="15"/>
        <v>0</v>
      </c>
      <c r="O32" s="538">
        <f t="shared" si="15"/>
        <v>0</v>
      </c>
      <c r="P32" s="538">
        <f t="shared" si="15"/>
        <v>0</v>
      </c>
      <c r="Q32" s="538">
        <f t="shared" si="15"/>
        <v>0</v>
      </c>
      <c r="R32" s="538">
        <f t="shared" si="15"/>
        <v>0</v>
      </c>
      <c r="S32" s="538">
        <f t="shared" si="15"/>
        <v>0</v>
      </c>
      <c r="T32" s="538">
        <f t="shared" si="15"/>
        <v>0</v>
      </c>
      <c r="U32" s="538">
        <f t="shared" si="15"/>
        <v>0</v>
      </c>
      <c r="V32" s="538">
        <f t="shared" si="15"/>
        <v>0</v>
      </c>
      <c r="W32" s="538">
        <f t="shared" si="15"/>
        <v>0</v>
      </c>
      <c r="X32" s="538">
        <f t="shared" si="15"/>
        <v>0</v>
      </c>
      <c r="Y32" s="538">
        <f t="shared" si="15"/>
        <v>0</v>
      </c>
      <c r="Z32" s="538">
        <f t="shared" si="15"/>
        <v>0</v>
      </c>
      <c r="AA32" s="538">
        <f t="shared" si="15"/>
        <v>0</v>
      </c>
      <c r="AB32" s="538">
        <f t="shared" si="15"/>
        <v>0</v>
      </c>
      <c r="AC32" s="538">
        <f t="shared" si="15"/>
        <v>0</v>
      </c>
      <c r="AD32" s="538">
        <f t="shared" si="15"/>
        <v>0</v>
      </c>
      <c r="AE32" s="538">
        <f t="shared" si="15"/>
        <v>0</v>
      </c>
      <c r="AF32" s="538">
        <f t="shared" si="15"/>
        <v>0</v>
      </c>
      <c r="AG32" s="538">
        <f t="shared" si="15"/>
        <v>0</v>
      </c>
      <c r="AH32" s="538">
        <f t="shared" si="15"/>
        <v>0</v>
      </c>
      <c r="AI32" s="538">
        <f t="shared" si="15"/>
        <v>0</v>
      </c>
      <c r="AJ32" s="538">
        <f t="shared" si="15"/>
        <v>0</v>
      </c>
      <c r="AK32" s="538">
        <f t="shared" si="15"/>
        <v>0</v>
      </c>
      <c r="AL32" s="538">
        <f t="shared" si="15"/>
        <v>0</v>
      </c>
      <c r="AM32" s="538">
        <f t="shared" si="15"/>
        <v>0</v>
      </c>
      <c r="AN32" s="538">
        <f t="shared" si="15"/>
        <v>0</v>
      </c>
      <c r="AO32" s="538">
        <f t="shared" si="15"/>
        <v>0</v>
      </c>
      <c r="AP32" s="538">
        <f t="shared" si="15"/>
        <v>0</v>
      </c>
      <c r="AQ32" s="538">
        <f t="shared" si="15"/>
        <v>0</v>
      </c>
      <c r="AR32" s="538">
        <f t="shared" si="15"/>
        <v>0</v>
      </c>
      <c r="AS32" s="538">
        <f t="shared" si="15"/>
        <v>0</v>
      </c>
      <c r="AT32" s="538">
        <f t="shared" si="15"/>
        <v>0</v>
      </c>
      <c r="AU32" s="538">
        <f t="shared" si="15"/>
        <v>0</v>
      </c>
      <c r="AV32" s="538">
        <f t="shared" si="15"/>
        <v>0</v>
      </c>
      <c r="AW32" s="538">
        <f t="shared" si="15"/>
        <v>0</v>
      </c>
      <c r="AX32" s="538">
        <f t="shared" si="15"/>
        <v>0</v>
      </c>
      <c r="AY32" s="538">
        <f t="shared" si="15"/>
        <v>0</v>
      </c>
      <c r="AZ32" s="538">
        <f t="shared" si="15"/>
        <v>0</v>
      </c>
      <c r="BA32" s="538">
        <f t="shared" si="15"/>
        <v>0</v>
      </c>
      <c r="BB32" s="538">
        <f t="shared" si="15"/>
        <v>0</v>
      </c>
      <c r="BC32" s="538">
        <f t="shared" si="15"/>
        <v>0</v>
      </c>
      <c r="BD32" s="538">
        <f t="shared" si="15"/>
        <v>0</v>
      </c>
      <c r="BE32" s="538">
        <f t="shared" si="15"/>
        <v>0</v>
      </c>
      <c r="BF32" s="538">
        <f t="shared" si="15"/>
        <v>0</v>
      </c>
      <c r="BG32" s="538">
        <f t="shared" si="15"/>
        <v>0</v>
      </c>
      <c r="BH32" s="538">
        <f t="shared" si="15"/>
        <v>0</v>
      </c>
      <c r="BI32" s="538">
        <f t="shared" si="15"/>
        <v>0</v>
      </c>
      <c r="BJ32" s="538">
        <f t="shared" si="15"/>
        <v>0</v>
      </c>
      <c r="BK32" s="538">
        <f t="shared" si="15"/>
        <v>0</v>
      </c>
      <c r="BL32" s="538">
        <f t="shared" si="15"/>
        <v>0</v>
      </c>
      <c r="BM32" s="538">
        <f t="shared" si="15"/>
        <v>0</v>
      </c>
      <c r="BN32" s="538">
        <f t="shared" si="15"/>
        <v>0</v>
      </c>
      <c r="BO32" s="538">
        <f t="shared" si="15"/>
        <v>0</v>
      </c>
      <c r="BP32" s="538">
        <f t="shared" si="15"/>
        <v>0</v>
      </c>
      <c r="BQ32" s="538">
        <f t="shared" si="15"/>
        <v>0</v>
      </c>
      <c r="BR32" s="538">
        <f t="shared" si="15"/>
        <v>0</v>
      </c>
      <c r="BS32" s="538">
        <f t="shared" si="15"/>
        <v>0</v>
      </c>
      <c r="BT32" s="538">
        <f t="shared" ref="BT32:DZ32" si="16">SUM(BT8:BT31)</f>
        <v>0</v>
      </c>
      <c r="BU32" s="538">
        <f t="shared" si="16"/>
        <v>0</v>
      </c>
      <c r="BV32" s="538">
        <f t="shared" si="16"/>
        <v>0</v>
      </c>
      <c r="BW32" s="538">
        <f t="shared" si="16"/>
        <v>0</v>
      </c>
      <c r="BX32" s="538">
        <f t="shared" si="16"/>
        <v>0</v>
      </c>
      <c r="BY32" s="538">
        <f t="shared" si="16"/>
        <v>0</v>
      </c>
      <c r="BZ32" s="538">
        <f t="shared" si="16"/>
        <v>0</v>
      </c>
      <c r="CA32" s="538">
        <f t="shared" si="16"/>
        <v>0</v>
      </c>
      <c r="CB32" s="538">
        <f t="shared" si="16"/>
        <v>0</v>
      </c>
      <c r="CC32" s="538">
        <f t="shared" si="16"/>
        <v>0</v>
      </c>
      <c r="CD32" s="538">
        <f t="shared" si="16"/>
        <v>0</v>
      </c>
      <c r="CE32" s="538">
        <f t="shared" si="16"/>
        <v>0</v>
      </c>
      <c r="CF32" s="538">
        <f t="shared" si="16"/>
        <v>0</v>
      </c>
      <c r="CG32" s="538">
        <f t="shared" si="16"/>
        <v>0</v>
      </c>
      <c r="CH32" s="538">
        <f t="shared" si="16"/>
        <v>0</v>
      </c>
      <c r="CI32" s="538">
        <f t="shared" si="16"/>
        <v>0</v>
      </c>
      <c r="CJ32" s="538">
        <f t="shared" si="16"/>
        <v>0</v>
      </c>
      <c r="CK32" s="538">
        <f t="shared" si="16"/>
        <v>0</v>
      </c>
      <c r="CL32" s="538">
        <f t="shared" si="16"/>
        <v>0</v>
      </c>
      <c r="CM32" s="538">
        <f t="shared" si="16"/>
        <v>0</v>
      </c>
      <c r="CN32" s="538">
        <f t="shared" si="16"/>
        <v>0</v>
      </c>
      <c r="CO32" s="538">
        <f t="shared" si="16"/>
        <v>0</v>
      </c>
      <c r="CP32" s="538">
        <f t="shared" si="16"/>
        <v>0</v>
      </c>
      <c r="CQ32" s="538">
        <f t="shared" si="16"/>
        <v>0</v>
      </c>
      <c r="CR32" s="538">
        <f t="shared" si="16"/>
        <v>0</v>
      </c>
      <c r="CS32" s="538">
        <f t="shared" si="16"/>
        <v>0</v>
      </c>
      <c r="CT32" s="538">
        <f t="shared" si="16"/>
        <v>0</v>
      </c>
      <c r="CU32" s="538">
        <f t="shared" si="16"/>
        <v>0</v>
      </c>
      <c r="CV32" s="538">
        <f t="shared" si="16"/>
        <v>0</v>
      </c>
      <c r="CW32" s="538">
        <f t="shared" si="16"/>
        <v>0</v>
      </c>
      <c r="CX32" s="538">
        <f t="shared" si="16"/>
        <v>0</v>
      </c>
      <c r="CY32" s="538">
        <f t="shared" si="16"/>
        <v>0</v>
      </c>
      <c r="CZ32" s="538">
        <f t="shared" si="16"/>
        <v>0</v>
      </c>
      <c r="DA32" s="538">
        <f t="shared" si="16"/>
        <v>0</v>
      </c>
      <c r="DB32" s="538">
        <f t="shared" si="16"/>
        <v>0</v>
      </c>
      <c r="DC32" s="538">
        <f t="shared" si="16"/>
        <v>0</v>
      </c>
      <c r="DD32" s="538">
        <f t="shared" si="16"/>
        <v>0</v>
      </c>
      <c r="DE32" s="538">
        <f t="shared" si="16"/>
        <v>0</v>
      </c>
      <c r="DF32" s="538">
        <f t="shared" si="16"/>
        <v>0</v>
      </c>
      <c r="DG32" s="538">
        <f t="shared" si="16"/>
        <v>0</v>
      </c>
      <c r="DH32" s="538">
        <f t="shared" si="16"/>
        <v>0</v>
      </c>
      <c r="DI32" s="538">
        <f t="shared" si="16"/>
        <v>0</v>
      </c>
      <c r="DJ32" s="538">
        <f t="shared" si="16"/>
        <v>0</v>
      </c>
      <c r="DK32" s="538">
        <f t="shared" si="16"/>
        <v>0</v>
      </c>
      <c r="DL32" s="538">
        <f t="shared" si="16"/>
        <v>0</v>
      </c>
      <c r="DM32" s="538">
        <f t="shared" si="16"/>
        <v>0</v>
      </c>
      <c r="DN32" s="538">
        <f t="shared" si="16"/>
        <v>0</v>
      </c>
      <c r="DO32" s="538">
        <f t="shared" si="16"/>
        <v>0</v>
      </c>
      <c r="DP32" s="538">
        <f t="shared" si="16"/>
        <v>0</v>
      </c>
      <c r="DQ32" s="538">
        <f t="shared" si="16"/>
        <v>0</v>
      </c>
      <c r="DR32" s="538">
        <f t="shared" si="16"/>
        <v>0</v>
      </c>
      <c r="DS32" s="538">
        <f t="shared" si="16"/>
        <v>0</v>
      </c>
      <c r="DT32" s="538">
        <f t="shared" si="16"/>
        <v>0</v>
      </c>
      <c r="DU32" s="538">
        <f t="shared" si="16"/>
        <v>0</v>
      </c>
      <c r="DV32" s="538">
        <f t="shared" si="16"/>
        <v>0</v>
      </c>
      <c r="DW32" s="538">
        <f t="shared" si="16"/>
        <v>0</v>
      </c>
      <c r="DX32" s="538">
        <f t="shared" si="16"/>
        <v>0</v>
      </c>
      <c r="DY32" s="538">
        <f t="shared" si="16"/>
        <v>0</v>
      </c>
      <c r="DZ32" s="538">
        <f t="shared" si="16"/>
        <v>0</v>
      </c>
      <c r="EA32" s="666" t="e">
        <f>SUMPRODUCT(EA8:EA31,G8:G31)/G32</f>
        <v>#DIV/0!</v>
      </c>
      <c r="EB32" s="666" t="e">
        <f>SUMPRODUCT(EB8:EB31,H8:H31)/H32</f>
        <v>#DIV/0!</v>
      </c>
      <c r="EC32" s="666" t="e">
        <f>SUMPRODUCT(EC8:EC31,I8:I31)/I32</f>
        <v>#DIV/0!</v>
      </c>
      <c r="ED32" s="666" t="e">
        <f>SUMPRODUCT(ED8:ED31,J8:J31)/J32</f>
        <v>#DIV/0!</v>
      </c>
      <c r="EE32" s="666"/>
      <c r="EF32" s="666"/>
      <c r="EG32" s="666"/>
      <c r="EH32" s="666"/>
      <c r="EI32" s="666"/>
      <c r="EJ32" s="666"/>
      <c r="EK32" s="666"/>
      <c r="EL32" s="666"/>
      <c r="EM32" s="666"/>
      <c r="EN32" s="666"/>
      <c r="EO32" s="666" t="e">
        <f>SUMPRODUCT(EO8:EO31,AJ8:AJ31)/AJ32</f>
        <v>#DIV/0!</v>
      </c>
      <c r="EP32" s="666" t="e">
        <f>SUMPRODUCT(EP8:EP31,#REF!)/#REF!</f>
        <v>#REF!</v>
      </c>
      <c r="EQ32" s="666" t="e">
        <f>SUMPRODUCT(EQ8:EQ31,#REF!)/#REF!</f>
        <v>#REF!</v>
      </c>
      <c r="ER32" s="666" t="e">
        <f>SUMPRODUCT(ER8:ER31,#REF!)/#REF!</f>
        <v>#REF!</v>
      </c>
      <c r="ES32" s="666" t="e">
        <f>SUMPRODUCT(ES8:ES31,#REF!)/#REF!</f>
        <v>#REF!</v>
      </c>
      <c r="ET32" s="666" t="e">
        <f>SUMPRODUCT(ET8:ET31,AQ8:AQ31)/AQ32</f>
        <v>#DIV/0!</v>
      </c>
      <c r="EU32" s="666" t="e">
        <f>SUMPRODUCT(EU8:EU31,AR8:AR31)/AR32</f>
        <v>#DIV/0!</v>
      </c>
      <c r="EV32" s="666" t="e">
        <f>SUMPRODUCT(EV8:EV31,AS8:AS31)/AS32</f>
        <v>#DIV/0!</v>
      </c>
      <c r="EW32" s="666" t="e">
        <f>SUMPRODUCT(EW8:EW31,AT8:AT31)/AT32</f>
        <v>#DIV/0!</v>
      </c>
      <c r="EX32" s="666" t="e">
        <f>SUMPRODUCT(EX8:EX31,AU8:AU31)/AU32</f>
        <v>#DIV/0!</v>
      </c>
      <c r="EY32" s="666" t="e">
        <f t="shared" ref="EY32:FK32" si="17">SUMPRODUCT(EY8:EY31,AW8:AW31)/AW32</f>
        <v>#DIV/0!</v>
      </c>
      <c r="EZ32" s="666" t="e">
        <f t="shared" si="17"/>
        <v>#DIV/0!</v>
      </c>
      <c r="FA32" s="666" t="e">
        <f t="shared" si="17"/>
        <v>#DIV/0!</v>
      </c>
      <c r="FB32" s="666" t="e">
        <f t="shared" si="17"/>
        <v>#DIV/0!</v>
      </c>
      <c r="FC32" s="666" t="e">
        <f t="shared" si="17"/>
        <v>#DIV/0!</v>
      </c>
      <c r="FD32" s="666" t="e">
        <f t="shared" si="17"/>
        <v>#DIV/0!</v>
      </c>
      <c r="FE32" s="666" t="e">
        <f t="shared" si="17"/>
        <v>#DIV/0!</v>
      </c>
      <c r="FF32" s="666" t="e">
        <f t="shared" si="17"/>
        <v>#DIV/0!</v>
      </c>
      <c r="FG32" s="666" t="e">
        <f t="shared" si="17"/>
        <v>#DIV/0!</v>
      </c>
      <c r="FH32" s="666" t="e">
        <f t="shared" si="17"/>
        <v>#DIV/0!</v>
      </c>
      <c r="FI32" s="666" t="e">
        <f t="shared" si="17"/>
        <v>#DIV/0!</v>
      </c>
      <c r="FJ32" s="666" t="e">
        <f t="shared" si="17"/>
        <v>#DIV/0!</v>
      </c>
      <c r="FK32" s="666" t="e">
        <f t="shared" si="17"/>
        <v>#DIV/0!</v>
      </c>
      <c r="FL32" s="666" t="e">
        <f>SUMPRODUCT(FL8:FL31,BO8:BO31)/BO32</f>
        <v>#VALUE!</v>
      </c>
      <c r="FM32" s="666" t="e">
        <f>SUMPRODUCT(FM8:FM31,BP8:BP31)/BP32</f>
        <v>#DIV/0!</v>
      </c>
      <c r="FN32" s="666" t="e">
        <f>SUMPRODUCT(FN8:FN31,BQ8:BQ31)/BQ32</f>
        <v>#DIV/0!</v>
      </c>
      <c r="FO32" s="666" t="e">
        <f>SUMPRODUCT(FO8:FO31,BS8:BS31)/BS32</f>
        <v>#VALUE!</v>
      </c>
      <c r="FP32" s="618"/>
    </row>
    <row r="33" spans="1:171" x14ac:dyDescent="0.25">
      <c r="B33" s="13"/>
      <c r="C33" s="13" t="s">
        <v>1245</v>
      </c>
      <c r="D33" s="585" t="e">
        <f t="shared" ref="D33:E33" si="18">D32/$F$32</f>
        <v>#DIV/0!</v>
      </c>
      <c r="E33" s="585" t="e">
        <f t="shared" si="18"/>
        <v>#DIV/0!</v>
      </c>
      <c r="F33" s="585" t="e">
        <f>F32/$F$32</f>
        <v>#DIV/0!</v>
      </c>
      <c r="G33" s="667" t="e">
        <f>G32/$BS$32</f>
        <v>#DIV/0!</v>
      </c>
      <c r="H33" s="667" t="e">
        <f>H32/$BS$32</f>
        <v>#DIV/0!</v>
      </c>
      <c r="I33" s="667" t="e">
        <f>I32/$BS$32</f>
        <v>#DIV/0!</v>
      </c>
      <c r="J33" s="667" t="e">
        <f>J32/$BS$32</f>
        <v>#DIV/0!</v>
      </c>
      <c r="K33" s="667"/>
      <c r="L33" s="667"/>
      <c r="M33" s="667"/>
      <c r="N33" s="667"/>
      <c r="O33" s="667"/>
      <c r="P33" s="667"/>
      <c r="Q33" s="667"/>
      <c r="R33" s="667"/>
      <c r="S33" s="667"/>
      <c r="T33" s="667"/>
      <c r="U33" s="667"/>
      <c r="V33" s="667"/>
      <c r="W33" s="667"/>
      <c r="X33" s="667"/>
      <c r="Y33" s="667"/>
      <c r="Z33" s="667"/>
      <c r="AA33" s="667"/>
      <c r="AB33" s="667"/>
      <c r="AC33" s="667"/>
      <c r="AD33" s="667"/>
      <c r="AE33" s="667"/>
      <c r="AF33" s="667"/>
      <c r="AG33" s="667"/>
      <c r="AH33" s="667"/>
      <c r="AI33" s="667" t="e">
        <f t="shared" ref="AI33:AU33" si="19">AI32/$BS$32</f>
        <v>#DIV/0!</v>
      </c>
      <c r="AJ33" s="667" t="e">
        <f t="shared" si="19"/>
        <v>#DIV/0!</v>
      </c>
      <c r="AK33" s="667" t="e">
        <f t="shared" si="19"/>
        <v>#DIV/0!</v>
      </c>
      <c r="AL33" s="667" t="e">
        <f t="shared" si="19"/>
        <v>#DIV/0!</v>
      </c>
      <c r="AM33" s="667" t="e">
        <f t="shared" si="19"/>
        <v>#DIV/0!</v>
      </c>
      <c r="AN33" s="667" t="e">
        <f t="shared" si="19"/>
        <v>#DIV/0!</v>
      </c>
      <c r="AO33" s="667" t="e">
        <f t="shared" si="19"/>
        <v>#DIV/0!</v>
      </c>
      <c r="AP33" s="667" t="e">
        <f t="shared" si="19"/>
        <v>#DIV/0!</v>
      </c>
      <c r="AQ33" s="667" t="e">
        <f t="shared" si="19"/>
        <v>#DIV/0!</v>
      </c>
      <c r="AR33" s="667" t="e">
        <f t="shared" si="19"/>
        <v>#DIV/0!</v>
      </c>
      <c r="AS33" s="667" t="e">
        <f t="shared" si="19"/>
        <v>#DIV/0!</v>
      </c>
      <c r="AT33" s="667" t="e">
        <f t="shared" si="19"/>
        <v>#DIV/0!</v>
      </c>
      <c r="AU33" s="667" t="e">
        <f t="shared" si="19"/>
        <v>#DIV/0!</v>
      </c>
      <c r="AV33" s="667"/>
      <c r="AW33" s="667" t="e">
        <f t="shared" ref="AW33:BS33" si="20">AW32/$BS$32</f>
        <v>#DIV/0!</v>
      </c>
      <c r="AX33" s="667" t="e">
        <f t="shared" si="20"/>
        <v>#DIV/0!</v>
      </c>
      <c r="AY33" s="667" t="e">
        <f t="shared" si="20"/>
        <v>#DIV/0!</v>
      </c>
      <c r="AZ33" s="667" t="e">
        <f t="shared" si="20"/>
        <v>#DIV/0!</v>
      </c>
      <c r="BA33" s="667" t="e">
        <f t="shared" si="20"/>
        <v>#DIV/0!</v>
      </c>
      <c r="BB33" s="667" t="e">
        <f t="shared" si="20"/>
        <v>#DIV/0!</v>
      </c>
      <c r="BC33" s="667" t="e">
        <f t="shared" si="20"/>
        <v>#DIV/0!</v>
      </c>
      <c r="BD33" s="667" t="e">
        <f t="shared" si="20"/>
        <v>#DIV/0!</v>
      </c>
      <c r="BE33" s="667" t="e">
        <f t="shared" si="20"/>
        <v>#DIV/0!</v>
      </c>
      <c r="BF33" s="667" t="e">
        <f t="shared" si="20"/>
        <v>#DIV/0!</v>
      </c>
      <c r="BG33" s="667" t="e">
        <f t="shared" si="20"/>
        <v>#DIV/0!</v>
      </c>
      <c r="BH33" s="667" t="e">
        <f t="shared" si="20"/>
        <v>#DIV/0!</v>
      </c>
      <c r="BI33" s="667" t="e">
        <f t="shared" si="20"/>
        <v>#DIV/0!</v>
      </c>
      <c r="BJ33" s="667" t="e">
        <f t="shared" si="20"/>
        <v>#DIV/0!</v>
      </c>
      <c r="BK33" s="667" t="e">
        <f t="shared" si="20"/>
        <v>#DIV/0!</v>
      </c>
      <c r="BL33" s="667" t="e">
        <f t="shared" si="20"/>
        <v>#DIV/0!</v>
      </c>
      <c r="BM33" s="667" t="e">
        <f t="shared" si="20"/>
        <v>#DIV/0!</v>
      </c>
      <c r="BN33" s="667" t="e">
        <f t="shared" si="20"/>
        <v>#DIV/0!</v>
      </c>
      <c r="BO33" s="667" t="e">
        <f t="shared" si="20"/>
        <v>#DIV/0!</v>
      </c>
      <c r="BP33" s="667" t="e">
        <f t="shared" si="20"/>
        <v>#DIV/0!</v>
      </c>
      <c r="BQ33" s="667" t="e">
        <f t="shared" si="20"/>
        <v>#DIV/0!</v>
      </c>
      <c r="BR33" s="667" t="e">
        <f t="shared" si="20"/>
        <v>#DIV/0!</v>
      </c>
      <c r="BS33" s="667" t="e">
        <f t="shared" si="20"/>
        <v>#DIV/0!</v>
      </c>
      <c r="BT33" s="667" t="e">
        <f>BT32/$DZ$32</f>
        <v>#DIV/0!</v>
      </c>
      <c r="BU33" s="667" t="e">
        <f>BU32/$DZ$32</f>
        <v>#DIV/0!</v>
      </c>
      <c r="BV33" s="667" t="e">
        <f>BV32/$DZ$32</f>
        <v>#DIV/0!</v>
      </c>
      <c r="BW33" s="667" t="e">
        <f>BW32/$DZ$32</f>
        <v>#DIV/0!</v>
      </c>
      <c r="BX33" s="667"/>
      <c r="BY33" s="667"/>
      <c r="BZ33" s="667"/>
      <c r="CA33" s="667"/>
      <c r="CB33" s="667"/>
      <c r="CC33" s="667"/>
      <c r="CD33" s="667"/>
      <c r="CE33" s="667"/>
      <c r="CF33" s="667"/>
      <c r="CG33" s="667"/>
      <c r="CH33" s="667"/>
      <c r="CI33" s="667"/>
      <c r="CJ33" s="667"/>
      <c r="CK33" s="667"/>
      <c r="CL33" s="667"/>
      <c r="CM33" s="667"/>
      <c r="CN33" s="667"/>
      <c r="CO33" s="667"/>
      <c r="CP33" s="667"/>
      <c r="CQ33" s="667"/>
      <c r="CR33" s="667"/>
      <c r="CS33" s="667"/>
      <c r="CT33" s="667"/>
      <c r="CU33" s="667"/>
      <c r="CV33" s="781">
        <f>SUM(CV32:CW32)</f>
        <v>0</v>
      </c>
      <c r="CW33" s="782"/>
      <c r="CX33" s="667" t="e">
        <f>CX32/$DZ$32</f>
        <v>#DIV/0!</v>
      </c>
      <c r="CY33" s="667"/>
      <c r="CZ33" s="667" t="e">
        <f t="shared" ref="CZ33:DH33" si="21">CZ32/$DZ$32</f>
        <v>#DIV/0!</v>
      </c>
      <c r="DA33" s="667" t="e">
        <f t="shared" si="21"/>
        <v>#DIV/0!</v>
      </c>
      <c r="DB33" s="667" t="e">
        <f t="shared" si="21"/>
        <v>#DIV/0!</v>
      </c>
      <c r="DC33" s="667" t="e">
        <f t="shared" si="21"/>
        <v>#DIV/0!</v>
      </c>
      <c r="DD33" s="667" t="e">
        <f t="shared" si="21"/>
        <v>#DIV/0!</v>
      </c>
      <c r="DE33" s="667" t="e">
        <f t="shared" si="21"/>
        <v>#DIV/0!</v>
      </c>
      <c r="DF33" s="667" t="e">
        <f t="shared" si="21"/>
        <v>#DIV/0!</v>
      </c>
      <c r="DG33" s="667" t="e">
        <f t="shared" si="21"/>
        <v>#DIV/0!</v>
      </c>
      <c r="DH33" s="667" t="e">
        <f t="shared" si="21"/>
        <v>#DIV/0!</v>
      </c>
      <c r="DI33" s="667"/>
      <c r="DJ33" s="667" t="e">
        <f t="shared" ref="DJ33:DZ33" si="22">DJ32/$DZ$32</f>
        <v>#DIV/0!</v>
      </c>
      <c r="DK33" s="667" t="e">
        <f t="shared" si="22"/>
        <v>#DIV/0!</v>
      </c>
      <c r="DL33" s="667" t="e">
        <f t="shared" si="22"/>
        <v>#DIV/0!</v>
      </c>
      <c r="DM33" s="667" t="e">
        <f t="shared" si="22"/>
        <v>#DIV/0!</v>
      </c>
      <c r="DN33" s="667" t="e">
        <f t="shared" si="22"/>
        <v>#DIV/0!</v>
      </c>
      <c r="DO33" s="667" t="e">
        <f t="shared" si="22"/>
        <v>#DIV/0!</v>
      </c>
      <c r="DP33" s="667" t="e">
        <f t="shared" si="22"/>
        <v>#DIV/0!</v>
      </c>
      <c r="DQ33" s="667" t="e">
        <f t="shared" si="22"/>
        <v>#DIV/0!</v>
      </c>
      <c r="DR33" s="667" t="e">
        <f t="shared" si="22"/>
        <v>#DIV/0!</v>
      </c>
      <c r="DS33" s="667" t="e">
        <f t="shared" si="22"/>
        <v>#DIV/0!</v>
      </c>
      <c r="DT33" s="667" t="e">
        <f t="shared" si="22"/>
        <v>#DIV/0!</v>
      </c>
      <c r="DU33" s="667" t="e">
        <f t="shared" si="22"/>
        <v>#DIV/0!</v>
      </c>
      <c r="DV33" s="667" t="e">
        <f t="shared" si="22"/>
        <v>#DIV/0!</v>
      </c>
      <c r="DW33" s="667" t="e">
        <f t="shared" si="22"/>
        <v>#DIV/0!</v>
      </c>
      <c r="DX33" s="667" t="e">
        <f t="shared" si="22"/>
        <v>#DIV/0!</v>
      </c>
      <c r="DY33" s="667" t="e">
        <f t="shared" si="22"/>
        <v>#DIV/0!</v>
      </c>
      <c r="DZ33" s="667" t="e">
        <f t="shared" si="22"/>
        <v>#DIV/0!</v>
      </c>
      <c r="EA33" s="668" t="e">
        <f>(EA32*G32)/($BS32)</f>
        <v>#DIV/0!</v>
      </c>
      <c r="EB33" s="668" t="e">
        <f>(EB32*H32)/($BS32)</f>
        <v>#DIV/0!</v>
      </c>
      <c r="EC33" s="668" t="e">
        <f>(EC32*I32)/($BS32)</f>
        <v>#DIV/0!</v>
      </c>
      <c r="ED33" s="668" t="e">
        <f>(ED32*J32)/($BS32)</f>
        <v>#DIV/0!</v>
      </c>
      <c r="EE33" s="668"/>
      <c r="EF33" s="668"/>
      <c r="EG33" s="668"/>
      <c r="EH33" s="668"/>
      <c r="EI33" s="668"/>
      <c r="EJ33" s="668"/>
      <c r="EK33" s="668"/>
      <c r="EL33" s="668"/>
      <c r="EM33" s="668"/>
      <c r="EN33" s="668"/>
      <c r="EO33" s="668" t="e">
        <f>(EO32*AJ32)/($BS32)</f>
        <v>#DIV/0!</v>
      </c>
      <c r="EP33" s="668" t="e">
        <f>(EP32*#REF!)/($BS32)</f>
        <v>#REF!</v>
      </c>
      <c r="EQ33" s="668" t="e">
        <f>(EQ32*#REF!)/($BS32)</f>
        <v>#REF!</v>
      </c>
      <c r="ER33" s="668" t="e">
        <f>(ER32*#REF!)/($BS32)</f>
        <v>#REF!</v>
      </c>
      <c r="ES33" s="668" t="e">
        <f>(ES32*#REF!)/($BS32)</f>
        <v>#REF!</v>
      </c>
      <c r="ET33" s="668" t="e">
        <f>(ET32*AQ32)/($BS32)</f>
        <v>#DIV/0!</v>
      </c>
      <c r="EU33" s="668" t="e">
        <f>(EU32*AR32)/($BS32)</f>
        <v>#DIV/0!</v>
      </c>
      <c r="EV33" s="668" t="e">
        <f>(EV32*AS32)/($BS32)</f>
        <v>#DIV/0!</v>
      </c>
      <c r="EW33" s="668" t="e">
        <f>(EW32*AT32)/($BS32)</f>
        <v>#DIV/0!</v>
      </c>
      <c r="EX33" s="668" t="e">
        <f>(EX32*AU32)/($BS32)</f>
        <v>#DIV/0!</v>
      </c>
      <c r="EY33" s="668" t="e">
        <f t="shared" ref="EY33:FK33" si="23">(EY32*AW32)/($BS32)</f>
        <v>#DIV/0!</v>
      </c>
      <c r="EZ33" s="668" t="e">
        <f t="shared" si="23"/>
        <v>#DIV/0!</v>
      </c>
      <c r="FA33" s="668" t="e">
        <f t="shared" si="23"/>
        <v>#DIV/0!</v>
      </c>
      <c r="FB33" s="668" t="e">
        <f t="shared" si="23"/>
        <v>#DIV/0!</v>
      </c>
      <c r="FC33" s="668" t="e">
        <f t="shared" si="23"/>
        <v>#DIV/0!</v>
      </c>
      <c r="FD33" s="668" t="e">
        <f t="shared" si="23"/>
        <v>#DIV/0!</v>
      </c>
      <c r="FE33" s="668" t="e">
        <f t="shared" si="23"/>
        <v>#DIV/0!</v>
      </c>
      <c r="FF33" s="668" t="e">
        <f t="shared" si="23"/>
        <v>#DIV/0!</v>
      </c>
      <c r="FG33" s="668" t="e">
        <f t="shared" si="23"/>
        <v>#DIV/0!</v>
      </c>
      <c r="FH33" s="668" t="e">
        <f t="shared" si="23"/>
        <v>#DIV/0!</v>
      </c>
      <c r="FI33" s="668" t="e">
        <f t="shared" si="23"/>
        <v>#DIV/0!</v>
      </c>
      <c r="FJ33" s="668" t="e">
        <f t="shared" si="23"/>
        <v>#DIV/0!</v>
      </c>
      <c r="FK33" s="668" t="e">
        <f t="shared" si="23"/>
        <v>#DIV/0!</v>
      </c>
      <c r="FL33" s="668" t="e">
        <f>(FL32*BO32)/($BS32)</f>
        <v>#VALUE!</v>
      </c>
      <c r="FM33" s="668" t="e">
        <f>(FM32*BP32)/($BS32)</f>
        <v>#DIV/0!</v>
      </c>
      <c r="FN33" s="668" t="e">
        <f>(FN32*BQ32)/($BS32)</f>
        <v>#DIV/0!</v>
      </c>
      <c r="FO33" s="668" t="e">
        <f>(FO32*BS32)/($BS32)</f>
        <v>#VALUE!</v>
      </c>
    </row>
    <row r="34" spans="1:171" x14ac:dyDescent="0.25">
      <c r="G34" s="676">
        <f>G32+H32</f>
        <v>0</v>
      </c>
      <c r="H34" s="672"/>
      <c r="I34" s="673">
        <f>I32+AX32</f>
        <v>0</v>
      </c>
      <c r="P34" s="673">
        <f>SUM(P32:R32)</f>
        <v>0</v>
      </c>
      <c r="S34" s="673">
        <f>SUM(S32:U32)</f>
        <v>0</v>
      </c>
      <c r="V34" s="673">
        <f>SUM(V32:W32)</f>
        <v>0</v>
      </c>
      <c r="BT34" s="783">
        <f>BT32+BU32</f>
        <v>0</v>
      </c>
      <c r="BU34" s="784"/>
      <c r="CC34" s="369">
        <f>SUM(CC32:CE32)</f>
        <v>0</v>
      </c>
      <c r="CF34" s="369">
        <f>SUM(CF32:CH32)</f>
        <v>0</v>
      </c>
      <c r="CI34" s="369">
        <f>SUM(CI32:CJ32)</f>
        <v>0</v>
      </c>
      <c r="DZ34" s="213" t="b">
        <f>SUM(DW32:DY32)=DZ32</f>
        <v>1</v>
      </c>
    </row>
    <row r="35" spans="1:171" ht="18.75" x14ac:dyDescent="0.3">
      <c r="BP35" s="484" t="s">
        <v>169</v>
      </c>
      <c r="BQ35" s="484"/>
      <c r="BR35" s="484"/>
      <c r="BS35" s="485">
        <v>16361000</v>
      </c>
      <c r="DT35" t="s">
        <v>1246</v>
      </c>
      <c r="DV35" s="369">
        <f>DV32+DS32+DT32</f>
        <v>0</v>
      </c>
    </row>
    <row r="36" spans="1:171" ht="14.45" customHeight="1" x14ac:dyDescent="0.3">
      <c r="A36" s="2"/>
      <c r="B36" s="2"/>
      <c r="C36" s="2"/>
      <c r="D36" s="2"/>
      <c r="E36" s="2"/>
      <c r="F36" s="2"/>
      <c r="G36" s="2"/>
      <c r="H36" s="2"/>
      <c r="I36" s="2"/>
      <c r="J36" s="669"/>
      <c r="K36" s="669"/>
      <c r="L36" s="669"/>
      <c r="M36" s="669"/>
      <c r="N36" s="669"/>
      <c r="O36" s="669"/>
      <c r="P36" s="1" t="s">
        <v>168</v>
      </c>
      <c r="S36" s="669"/>
      <c r="T36" s="669"/>
      <c r="U36" s="669"/>
      <c r="V36" s="669"/>
      <c r="W36" s="669"/>
      <c r="X36" s="669"/>
      <c r="Y36" s="669"/>
      <c r="Z36" s="669"/>
      <c r="AA36" s="669"/>
      <c r="AB36" s="669"/>
      <c r="AC36" s="669"/>
      <c r="AD36" s="669"/>
      <c r="AE36" s="669"/>
      <c r="AF36" s="669"/>
      <c r="AG36" s="669"/>
      <c r="AH36" s="669"/>
      <c r="AI36" s="669"/>
      <c r="AJ36" s="2"/>
      <c r="AK36" s="2"/>
      <c r="AL36" s="2"/>
      <c r="AM36" s="2"/>
      <c r="AN36" s="2"/>
      <c r="AO36" s="2"/>
      <c r="AP36" s="2"/>
      <c r="BP36" s="486" t="s">
        <v>172</v>
      </c>
      <c r="BQ36" s="484"/>
      <c r="BR36" s="484"/>
      <c r="BS36" s="487">
        <f>BS32-BS35</f>
        <v>-16361000</v>
      </c>
      <c r="DT36" t="s">
        <v>1247</v>
      </c>
      <c r="DV36" s="175">
        <f>DV1*BI32</f>
        <v>0</v>
      </c>
    </row>
    <row r="37" spans="1:171" x14ac:dyDescent="0.25">
      <c r="A37" s="2"/>
      <c r="B37" s="2"/>
      <c r="C37" s="2"/>
      <c r="D37" s="2"/>
      <c r="E37" s="2"/>
      <c r="F37" s="2"/>
      <c r="G37" s="2"/>
      <c r="H37" s="2"/>
      <c r="I37" s="2"/>
      <c r="J37" s="2"/>
      <c r="K37" s="2"/>
      <c r="L37" s="2"/>
      <c r="M37" s="2"/>
      <c r="N37" s="2"/>
      <c r="O37" s="2"/>
      <c r="P37" t="s">
        <v>171</v>
      </c>
      <c r="Q37" s="673">
        <f>Q32+U32</f>
        <v>0</v>
      </c>
      <c r="S37" s="2"/>
      <c r="T37" s="2"/>
      <c r="U37" s="2"/>
      <c r="V37" s="2"/>
      <c r="W37" s="2"/>
      <c r="X37" s="2"/>
      <c r="Y37" s="2"/>
      <c r="Z37" s="2"/>
      <c r="AA37" s="2"/>
      <c r="AB37" s="2"/>
      <c r="AC37" s="2"/>
      <c r="AD37" s="2"/>
      <c r="AE37" s="2"/>
      <c r="AF37" s="2"/>
      <c r="AG37" s="2"/>
      <c r="AH37" s="2"/>
      <c r="AI37" s="2"/>
      <c r="AJ37" s="2"/>
      <c r="AK37" s="2"/>
      <c r="AL37" s="2"/>
      <c r="AM37" s="2"/>
      <c r="AN37" s="2"/>
      <c r="AO37" s="2"/>
      <c r="AP37" s="2"/>
      <c r="DT37" t="s">
        <v>1248</v>
      </c>
      <c r="DV37" s="30" t="e">
        <f>DV35/DV36</f>
        <v>#DIV/0!</v>
      </c>
    </row>
    <row r="38" spans="1:171" x14ac:dyDescent="0.25">
      <c r="J38" s="2"/>
      <c r="K38" s="2"/>
      <c r="L38" s="2"/>
      <c r="M38" s="2"/>
      <c r="N38" s="2"/>
      <c r="O38" s="2"/>
      <c r="P38" s="670" t="s">
        <v>173</v>
      </c>
      <c r="Q38" s="673">
        <f>P32+S32+V32+SUM(X32:AH32)</f>
        <v>0</v>
      </c>
      <c r="R38" s="669"/>
      <c r="S38" s="2"/>
      <c r="T38" s="2"/>
      <c r="U38" s="2"/>
      <c r="V38" s="2"/>
      <c r="W38" s="2"/>
      <c r="X38" s="2"/>
      <c r="Y38" s="2"/>
      <c r="Z38" s="2"/>
      <c r="AA38" s="2"/>
      <c r="AB38" s="2"/>
      <c r="AC38" s="2"/>
      <c r="AD38" s="2"/>
      <c r="AE38" s="2"/>
      <c r="AF38" s="2"/>
      <c r="AG38" s="2"/>
      <c r="AH38" s="2"/>
      <c r="AI38" s="2"/>
      <c r="AJ38" s="2"/>
      <c r="AK38" s="2"/>
      <c r="AL38" s="2"/>
      <c r="AM38" s="2"/>
      <c r="AN38" s="2"/>
      <c r="AO38" s="2"/>
      <c r="AP38" s="2"/>
    </row>
    <row r="39" spans="1:171" x14ac:dyDescent="0.25">
      <c r="J39" s="2"/>
      <c r="K39" s="2"/>
      <c r="L39" s="2"/>
      <c r="M39" s="2"/>
      <c r="N39" s="2"/>
      <c r="O39" s="2"/>
      <c r="P39" s="2" t="s">
        <v>174</v>
      </c>
      <c r="Q39" s="674">
        <f>R32+T32+W32</f>
        <v>0</v>
      </c>
      <c r="R39" s="2"/>
      <c r="S39" s="2"/>
      <c r="T39" s="2"/>
      <c r="U39" s="2"/>
      <c r="V39" s="2"/>
      <c r="W39" s="2"/>
      <c r="X39" s="2"/>
      <c r="Y39" s="2"/>
      <c r="Z39" s="2"/>
      <c r="AA39" s="2"/>
      <c r="AB39" s="2"/>
      <c r="AC39" s="2"/>
      <c r="AD39" s="2"/>
      <c r="AE39" s="2"/>
      <c r="AF39" s="2"/>
      <c r="AG39" s="2"/>
      <c r="AH39" s="2"/>
      <c r="AI39" s="2"/>
      <c r="AJ39" s="2"/>
      <c r="AK39" s="2"/>
      <c r="AL39" s="2"/>
      <c r="AM39" s="2"/>
      <c r="AN39" s="2"/>
      <c r="AO39" s="2"/>
      <c r="AP39" s="2"/>
    </row>
    <row r="40" spans="1:171" ht="14.45" customHeight="1" x14ac:dyDescent="0.25">
      <c r="J40" s="2"/>
      <c r="K40" s="2"/>
      <c r="L40" s="2"/>
      <c r="M40" s="2"/>
      <c r="N40" s="2"/>
      <c r="O40" s="2"/>
      <c r="P40" s="22" t="s">
        <v>120</v>
      </c>
      <c r="Q40" s="674">
        <f>SUM(Q37:Q39)</f>
        <v>0</v>
      </c>
      <c r="R40" s="671" t="b">
        <f>Q40=SUM(P32:AH32)</f>
        <v>1</v>
      </c>
      <c r="S40" s="2"/>
      <c r="T40" s="2"/>
      <c r="U40" s="2"/>
      <c r="V40" s="2"/>
      <c r="W40" s="2"/>
      <c r="X40" s="2"/>
      <c r="Y40" s="2"/>
      <c r="Z40" s="2"/>
      <c r="AA40" s="2"/>
      <c r="AB40" s="2"/>
      <c r="AC40" s="2"/>
      <c r="AD40" s="2"/>
      <c r="AE40" s="2"/>
      <c r="AF40" s="2"/>
      <c r="AG40" s="2"/>
      <c r="AH40" s="2"/>
      <c r="AI40" s="2"/>
      <c r="AJ40" s="2"/>
      <c r="AK40" s="2"/>
      <c r="AL40" s="2"/>
      <c r="AM40" s="2"/>
      <c r="AN40" s="2"/>
      <c r="AO40" s="2"/>
      <c r="AP40" s="2"/>
    </row>
    <row r="41" spans="1:171" x14ac:dyDescent="0.25">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row>
    <row r="42" spans="1:171" ht="45" x14ac:dyDescent="0.25">
      <c r="P42" s="18" t="s">
        <v>175</v>
      </c>
      <c r="Q42" s="18"/>
      <c r="R42" s="675">
        <f>Q37+Q39</f>
        <v>0</v>
      </c>
    </row>
  </sheetData>
  <mergeCells count="67">
    <mergeCell ref="FI6:FJ6"/>
    <mergeCell ref="CV33:CW33"/>
    <mergeCell ref="BT34:BU34"/>
    <mergeCell ref="EA6:ED6"/>
    <mergeCell ref="EE6:EI6"/>
    <mergeCell ref="EJ6:EN6"/>
    <mergeCell ref="EO6:ET6"/>
    <mergeCell ref="EZ6:FD6"/>
    <mergeCell ref="FG6:FH6"/>
    <mergeCell ref="DK6:DO6"/>
    <mergeCell ref="BG6:BH6"/>
    <mergeCell ref="BT6:BW6"/>
    <mergeCell ref="BX6:CB6"/>
    <mergeCell ref="CC6:CU6"/>
    <mergeCell ref="CV6:DJ6"/>
    <mergeCell ref="BK4:BK7"/>
    <mergeCell ref="BL4:BL7"/>
    <mergeCell ref="BM4:BM7"/>
    <mergeCell ref="BN4:BN7"/>
    <mergeCell ref="BO4:BO7"/>
    <mergeCell ref="G6:J6"/>
    <mergeCell ref="K6:O6"/>
    <mergeCell ref="P6:AH6"/>
    <mergeCell ref="AI6:AW6"/>
    <mergeCell ref="AX6:BB6"/>
    <mergeCell ref="BE6:BF6"/>
    <mergeCell ref="FK4:FK6"/>
    <mergeCell ref="FL4:FL7"/>
    <mergeCell ref="FM4:FM7"/>
    <mergeCell ref="FN4:FN7"/>
    <mergeCell ref="BP4:BP7"/>
    <mergeCell ref="BQ4:BQ7"/>
    <mergeCell ref="BS4:BS7"/>
    <mergeCell ref="BT4:DP4"/>
    <mergeCell ref="DQ4:DU4"/>
    <mergeCell ref="DV4:DV6"/>
    <mergeCell ref="DK5:DP5"/>
    <mergeCell ref="DQ5:DQ6"/>
    <mergeCell ref="DR5:DS6"/>
    <mergeCell ref="DT5:DU6"/>
    <mergeCell ref="BJ4:BJ7"/>
    <mergeCell ref="FF4:FJ4"/>
    <mergeCell ref="EA5:ET5"/>
    <mergeCell ref="EZ5:FE5"/>
    <mergeCell ref="FG5:FH5"/>
    <mergeCell ref="FI5:FJ5"/>
    <mergeCell ref="DW4:DW7"/>
    <mergeCell ref="DX4:DX7"/>
    <mergeCell ref="DY4:DY7"/>
    <mergeCell ref="DZ4:DZ7"/>
    <mergeCell ref="EA4:FE4"/>
    <mergeCell ref="DX1:EB1"/>
    <mergeCell ref="B3:B7"/>
    <mergeCell ref="C3:C7"/>
    <mergeCell ref="D3:F6"/>
    <mergeCell ref="G3:BS3"/>
    <mergeCell ref="BT3:DZ3"/>
    <mergeCell ref="EA3:FO3"/>
    <mergeCell ref="G4:BC4"/>
    <mergeCell ref="BD4:BH4"/>
    <mergeCell ref="BI4:BI7"/>
    <mergeCell ref="FO4:FO7"/>
    <mergeCell ref="G5:AW5"/>
    <mergeCell ref="AX5:BC5"/>
    <mergeCell ref="BE5:BF5"/>
    <mergeCell ref="BG5:BH5"/>
    <mergeCell ref="BT5:DJ5"/>
  </mergeCells>
  <conditionalFormatting sqref="K7:L7">
    <cfRule type="cellIs" dxfId="3" priority="2" operator="equal">
      <formula>0</formula>
    </cfRule>
  </conditionalFormatting>
  <conditionalFormatting sqref="BX7:BY7">
    <cfRule type="cellIs" dxfId="2" priority="1" operator="equal">
      <formula>0</formula>
    </cfRule>
  </conditionalFormatting>
  <hyperlinks>
    <hyperlink ref="DX1" r:id="rId1" xr:uid="{97A136EA-1422-4B1C-827D-2D33E2F6B51A}"/>
    <hyperlink ref="BS35" r:id="rId2" location=":~:text=Known%20for%20its%20ancient%20architecture,remaining%20territory%20is%20arable%20land." display="https://en.wikipedia.org/wiki/Tunisia - :~:text=Known%20for%20its%20ancient%20architecture,remaining%20territory%20is%20arable%20land." xr:uid="{9288F362-AAE1-4B34-8FE7-9B7CD8D6B66E}"/>
  </hyperlinks>
  <pageMargins left="0.7" right="0.7" top="0.75" bottom="0.75" header="0.3" footer="0.3"/>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A70FC-67A5-477F-BA1E-12C5C3E12872}">
  <dimension ref="A1:P112"/>
  <sheetViews>
    <sheetView topLeftCell="A56" workbookViewId="0">
      <selection activeCell="H57" sqref="H57:H59"/>
    </sheetView>
  </sheetViews>
  <sheetFormatPr defaultColWidth="9.140625" defaultRowHeight="15" x14ac:dyDescent="0.25"/>
  <cols>
    <col min="1" max="1" width="9.140625" style="309"/>
    <col min="2" max="2" width="22.140625" style="309" customWidth="1"/>
    <col min="3" max="4" width="14.85546875" style="309" customWidth="1"/>
    <col min="5" max="5" width="17.5703125" style="309" customWidth="1"/>
    <col min="6" max="6" width="14.85546875" style="309" customWidth="1"/>
    <col min="7" max="7" width="17.5703125" style="309" customWidth="1"/>
    <col min="8" max="8" width="16.5703125" style="309" customWidth="1"/>
    <col min="9" max="9" width="11.140625" style="309" bestFit="1" customWidth="1"/>
    <col min="10" max="10" width="11.140625" style="309" customWidth="1"/>
    <col min="11" max="11" width="16.42578125" style="309" customWidth="1"/>
    <col min="12" max="12" width="28.85546875" style="309" customWidth="1"/>
    <col min="13" max="13" width="27.42578125" style="309" customWidth="1"/>
    <col min="14" max="14" width="29.42578125" style="309" customWidth="1"/>
    <col min="15" max="15" width="11" style="309" customWidth="1"/>
    <col min="16" max="16384" width="9.140625" style="309"/>
  </cols>
  <sheetData>
    <row r="1" spans="1:16" ht="14.45" customHeight="1" x14ac:dyDescent="0.25">
      <c r="A1" s="786" t="s">
        <v>0</v>
      </c>
      <c r="B1" s="785" t="s">
        <v>1</v>
      </c>
      <c r="C1" s="785" t="s">
        <v>2</v>
      </c>
      <c r="D1" s="785"/>
      <c r="E1" s="785" t="s">
        <v>3</v>
      </c>
      <c r="F1" s="785"/>
      <c r="G1" s="785" t="s">
        <v>4</v>
      </c>
      <c r="H1" s="785"/>
      <c r="L1" s="310" t="s">
        <v>5</v>
      </c>
      <c r="M1" s="310">
        <v>2021</v>
      </c>
      <c r="N1" s="310">
        <v>2010</v>
      </c>
      <c r="P1" s="309" t="s">
        <v>6</v>
      </c>
    </row>
    <row r="2" spans="1:16" x14ac:dyDescent="0.25">
      <c r="A2" s="786"/>
      <c r="B2" s="785"/>
      <c r="C2" s="410">
        <v>2021</v>
      </c>
      <c r="D2" s="410">
        <v>2010</v>
      </c>
      <c r="E2" s="410">
        <v>2021</v>
      </c>
      <c r="F2" s="410">
        <v>2010</v>
      </c>
      <c r="G2" s="410">
        <v>2021</v>
      </c>
      <c r="H2" s="410">
        <f>F2</f>
        <v>2010</v>
      </c>
      <c r="I2" s="424" t="s">
        <v>7</v>
      </c>
      <c r="J2" s="424" t="s">
        <v>1259</v>
      </c>
      <c r="K2" s="424" t="s">
        <v>8</v>
      </c>
      <c r="L2" s="309" t="s">
        <v>9</v>
      </c>
      <c r="M2" s="414">
        <v>2.8759999999999999</v>
      </c>
      <c r="N2" s="414">
        <v>1.43</v>
      </c>
      <c r="O2" s="309" t="s">
        <v>10</v>
      </c>
    </row>
    <row r="3" spans="1:16" ht="14.45" customHeight="1" x14ac:dyDescent="0.25">
      <c r="A3" s="423" t="s">
        <v>11</v>
      </c>
      <c r="B3" s="397" t="s">
        <v>12</v>
      </c>
      <c r="C3" s="677"/>
      <c r="D3" s="677"/>
      <c r="E3" s="677"/>
      <c r="F3" s="677"/>
      <c r="G3" s="411">
        <f>E3/$M$2</f>
        <v>0</v>
      </c>
      <c r="H3" s="411">
        <f>F3/$N$2</f>
        <v>0</v>
      </c>
      <c r="I3" s="679">
        <f>'Crop-area&amp;production'!G34</f>
        <v>0</v>
      </c>
      <c r="J3" s="679"/>
      <c r="K3" s="685"/>
      <c r="L3" s="309" t="s">
        <v>13</v>
      </c>
      <c r="M3" s="624">
        <v>46690000000</v>
      </c>
      <c r="N3" s="625">
        <v>46210000000</v>
      </c>
      <c r="P3" s="626" t="s">
        <v>1184</v>
      </c>
    </row>
    <row r="4" spans="1:16" x14ac:dyDescent="0.25">
      <c r="A4" s="457"/>
      <c r="B4" s="397" t="s">
        <v>14</v>
      </c>
      <c r="C4" s="677"/>
      <c r="D4" s="677"/>
      <c r="E4" s="677"/>
      <c r="F4" s="677"/>
      <c r="G4" s="411">
        <f>E4/$M$2</f>
        <v>0</v>
      </c>
      <c r="H4" s="411">
        <f>F4/$N$2</f>
        <v>0</v>
      </c>
      <c r="I4" s="679">
        <f>'Crop-area&amp;production'!I34</f>
        <v>0</v>
      </c>
      <c r="J4" s="679"/>
      <c r="K4" s="685"/>
      <c r="L4" s="309" t="s">
        <v>15</v>
      </c>
      <c r="M4" s="623">
        <f>M2*M3</f>
        <v>134280440000</v>
      </c>
      <c r="N4" s="623">
        <f>N2*N3</f>
        <v>66080300000</v>
      </c>
    </row>
    <row r="5" spans="1:16" x14ac:dyDescent="0.25">
      <c r="A5" s="457"/>
      <c r="B5" s="397" t="s">
        <v>16</v>
      </c>
      <c r="C5" s="677"/>
      <c r="D5" s="677"/>
      <c r="E5" s="677"/>
      <c r="F5" s="677"/>
      <c r="G5" s="411">
        <f>E5/$M$2</f>
        <v>0</v>
      </c>
      <c r="H5" s="411">
        <f>F5/$N$2</f>
        <v>0</v>
      </c>
      <c r="I5" s="679">
        <f>'Crop-area&amp;production'!BA32</f>
        <v>0</v>
      </c>
      <c r="J5" s="679"/>
      <c r="M5" s="309" t="s">
        <v>17</v>
      </c>
    </row>
    <row r="6" spans="1:16" x14ac:dyDescent="0.25">
      <c r="A6" s="457"/>
      <c r="B6" s="397" t="s">
        <v>18</v>
      </c>
      <c r="C6" s="677"/>
      <c r="D6" s="677"/>
      <c r="E6" s="677"/>
      <c r="F6" s="677"/>
      <c r="G6" s="411">
        <f>E6/$M$2</f>
        <v>0</v>
      </c>
      <c r="H6" s="411">
        <f>F6/$N$2</f>
        <v>0</v>
      </c>
      <c r="I6" s="680"/>
      <c r="J6" s="680"/>
      <c r="L6" s="397" t="s">
        <v>19</v>
      </c>
      <c r="M6" s="397" t="s">
        <v>20</v>
      </c>
      <c r="N6" s="397" t="s">
        <v>21</v>
      </c>
      <c r="O6" s="397" t="s">
        <v>22</v>
      </c>
    </row>
    <row r="7" spans="1:16" x14ac:dyDescent="0.25">
      <c r="A7" s="457"/>
      <c r="B7" s="397" t="s">
        <v>23</v>
      </c>
      <c r="C7" s="677"/>
      <c r="D7" s="677"/>
      <c r="E7" s="677"/>
      <c r="F7" s="677"/>
      <c r="G7" s="411"/>
      <c r="H7" s="411"/>
      <c r="I7" s="680"/>
      <c r="J7" s="680"/>
      <c r="L7" s="397" t="s">
        <v>24</v>
      </c>
      <c r="M7" s="426" t="e">
        <f>SUMPRODUCT(I3:I5,E3:E5)/SUM(I3:I5)</f>
        <v>#DIV/0!</v>
      </c>
      <c r="N7" s="426" t="e">
        <f>SUMPRODUCT(I39:I40,E39:E40)/SUM(I39:I40)</f>
        <v>#DIV/0!</v>
      </c>
      <c r="O7" s="397"/>
    </row>
    <row r="8" spans="1:16" x14ac:dyDescent="0.25">
      <c r="A8" s="457"/>
      <c r="B8" s="397" t="s">
        <v>1250</v>
      </c>
      <c r="C8" s="677"/>
      <c r="D8" s="677"/>
      <c r="E8" s="677"/>
      <c r="F8" s="677"/>
      <c r="G8" s="411"/>
      <c r="H8" s="411"/>
      <c r="I8" s="680"/>
      <c r="J8" s="680"/>
      <c r="L8" s="397" t="s">
        <v>26</v>
      </c>
      <c r="M8" s="426" t="e">
        <f>SUMPRODUCT(I9:I11,E9:E11)/SUM(I9:I11)</f>
        <v>#DIV/0!</v>
      </c>
      <c r="N8" s="426" t="e">
        <f>SUMPRODUCT(I41:I42,E41:E42)/SUM(I41:I42)</f>
        <v>#DIV/0!</v>
      </c>
      <c r="O8" s="397"/>
    </row>
    <row r="9" spans="1:16" x14ac:dyDescent="0.25">
      <c r="A9" s="457"/>
      <c r="B9" s="397" t="s">
        <v>25</v>
      </c>
      <c r="C9" s="677"/>
      <c r="D9" s="677"/>
      <c r="E9" s="677"/>
      <c r="F9" s="677"/>
      <c r="G9" s="411">
        <f>E9/$M$2</f>
        <v>0</v>
      </c>
      <c r="H9" s="411">
        <f>F9/$N$2</f>
        <v>0</v>
      </c>
      <c r="I9" s="673">
        <f>'Crop-area&amp;production'!N32</f>
        <v>0</v>
      </c>
      <c r="J9" s="673"/>
      <c r="L9" s="398" t="s">
        <v>28</v>
      </c>
      <c r="M9" s="426" t="e">
        <f>SUMPRODUCT(I19:I25,E19:E25)/SUM(I19:I25)</f>
        <v>#DIV/0!</v>
      </c>
      <c r="N9" s="426" t="e">
        <f>'Vegetables-all-year'!E19</f>
        <v>#DIV/0!</v>
      </c>
      <c r="O9" s="397"/>
    </row>
    <row r="10" spans="1:16" x14ac:dyDescent="0.25">
      <c r="A10" s="457"/>
      <c r="B10" s="397" t="s">
        <v>27</v>
      </c>
      <c r="C10" s="677"/>
      <c r="D10" s="677"/>
      <c r="E10" s="677"/>
      <c r="F10" s="677"/>
      <c r="G10" s="411">
        <f>E10/$M$2</f>
        <v>0</v>
      </c>
      <c r="H10" s="411">
        <f>F10/$N$2</f>
        <v>0</v>
      </c>
      <c r="I10" s="673">
        <f>'Crop-area&amp;production'!L32</f>
        <v>0</v>
      </c>
      <c r="J10" s="673"/>
      <c r="L10" s="398" t="s">
        <v>30</v>
      </c>
      <c r="M10" s="426">
        <f>SUMPRODUCT(I26:I36,E26:E36)/SUM(I26:I36)</f>
        <v>0</v>
      </c>
      <c r="N10" s="426">
        <v>0</v>
      </c>
      <c r="O10" s="397"/>
    </row>
    <row r="11" spans="1:16" x14ac:dyDescent="0.25">
      <c r="A11" s="457"/>
      <c r="B11" s="397" t="s">
        <v>29</v>
      </c>
      <c r="C11" s="677"/>
      <c r="D11" s="677"/>
      <c r="E11" s="677"/>
      <c r="F11" s="677"/>
      <c r="G11" s="411">
        <f>E11/$M$2</f>
        <v>0</v>
      </c>
      <c r="H11" s="411">
        <f>F11/$N$2</f>
        <v>0</v>
      </c>
      <c r="I11" s="681">
        <f>'Crop-area&amp;production'!M32</f>
        <v>0</v>
      </c>
      <c r="J11" s="681"/>
      <c r="L11" s="398" t="s">
        <v>32</v>
      </c>
      <c r="M11" s="426" t="e">
        <f>(E39*I39+E40*I40+E43*I43)/(I39+I40+I43)</f>
        <v>#DIV/0!</v>
      </c>
      <c r="N11" s="426">
        <f>E43</f>
        <v>0</v>
      </c>
      <c r="O11" s="411" t="e">
        <f>(F39*I39+F40*I40+F43*I43)/(I39+I40+I43)</f>
        <v>#DIV/0!</v>
      </c>
    </row>
    <row r="12" spans="1:16" ht="30" x14ac:dyDescent="0.25">
      <c r="A12" s="457"/>
      <c r="B12" s="397" t="s">
        <v>31</v>
      </c>
      <c r="C12" s="677"/>
      <c r="D12" s="677"/>
      <c r="E12" s="677"/>
      <c r="F12" s="677"/>
      <c r="G12" s="411"/>
      <c r="H12" s="411"/>
      <c r="I12" s="9"/>
      <c r="J12" s="9"/>
      <c r="L12" s="398" t="s">
        <v>34</v>
      </c>
      <c r="M12" s="426">
        <f>E38</f>
        <v>0</v>
      </c>
      <c r="N12" s="426">
        <f>G38</f>
        <v>0</v>
      </c>
      <c r="O12" s="397"/>
    </row>
    <row r="13" spans="1:16" x14ac:dyDescent="0.25">
      <c r="A13" s="457"/>
      <c r="B13" s="397" t="s">
        <v>33</v>
      </c>
      <c r="C13" s="677"/>
      <c r="D13" s="677"/>
      <c r="E13" s="677"/>
      <c r="F13" s="677"/>
      <c r="G13" s="411"/>
      <c r="H13" s="411"/>
      <c r="I13" s="680"/>
      <c r="J13" s="680"/>
      <c r="L13" s="398" t="s">
        <v>36</v>
      </c>
      <c r="M13" s="426">
        <f>E46</f>
        <v>0</v>
      </c>
      <c r="N13" s="426">
        <v>0</v>
      </c>
      <c r="O13" s="397"/>
    </row>
    <row r="14" spans="1:16" x14ac:dyDescent="0.25">
      <c r="A14" s="457"/>
      <c r="B14" s="397" t="s">
        <v>35</v>
      </c>
      <c r="C14" s="677"/>
      <c r="D14" s="677"/>
      <c r="E14" s="677"/>
      <c r="F14" s="677"/>
      <c r="G14" s="411">
        <f>E14/$M$2</f>
        <v>0</v>
      </c>
      <c r="H14" s="411">
        <f>F14/$N$2</f>
        <v>0</v>
      </c>
      <c r="I14" s="680"/>
      <c r="J14" s="680"/>
      <c r="L14" s="398" t="s">
        <v>38</v>
      </c>
      <c r="M14" s="426">
        <f>SUMPRODUCT(I46:I47,E46:E47)/SUM(I46:I47)</f>
        <v>0</v>
      </c>
      <c r="N14" s="426">
        <v>0</v>
      </c>
      <c r="O14" s="397"/>
    </row>
    <row r="15" spans="1:16" x14ac:dyDescent="0.25">
      <c r="A15" s="457"/>
      <c r="B15" s="397" t="s">
        <v>37</v>
      </c>
      <c r="C15" s="677"/>
      <c r="D15" s="677"/>
      <c r="E15" s="677"/>
      <c r="F15" s="677"/>
      <c r="G15" s="411">
        <f>E15/$M$2</f>
        <v>0</v>
      </c>
      <c r="H15" s="411">
        <f>F15/$N$2</f>
        <v>0</v>
      </c>
      <c r="I15" s="680"/>
      <c r="J15" s="680"/>
      <c r="L15" s="398" t="s">
        <v>40</v>
      </c>
      <c r="M15" s="426">
        <f>SUMPRODUCT(I46:I47,E46:E47)/SUM(I46:I47)</f>
        <v>0</v>
      </c>
      <c r="N15" s="426">
        <v>0</v>
      </c>
      <c r="O15" s="397"/>
    </row>
    <row r="16" spans="1:16" x14ac:dyDescent="0.25">
      <c r="A16" s="457"/>
      <c r="B16" s="397" t="s">
        <v>39</v>
      </c>
      <c r="C16" s="677"/>
      <c r="D16" s="677"/>
      <c r="E16" s="677"/>
      <c r="F16" s="677"/>
      <c r="G16" s="411">
        <f>E16/$M$2</f>
        <v>0</v>
      </c>
      <c r="H16" s="411">
        <f>F16/$N$2</f>
        <v>0</v>
      </c>
      <c r="I16" s="680"/>
      <c r="J16" s="680"/>
      <c r="L16" s="398" t="s">
        <v>42</v>
      </c>
      <c r="M16" s="426">
        <f>E51</f>
        <v>0</v>
      </c>
      <c r="N16" s="426">
        <v>0</v>
      </c>
      <c r="O16" s="397"/>
    </row>
    <row r="17" spans="1:14" x14ac:dyDescent="0.25">
      <c r="A17" s="457"/>
      <c r="B17" s="397" t="s">
        <v>41</v>
      </c>
      <c r="C17" s="677"/>
      <c r="D17" s="677"/>
      <c r="E17" s="677"/>
      <c r="F17" s="677"/>
      <c r="G17" s="411">
        <f>E17/$M$2</f>
        <v>0</v>
      </c>
      <c r="H17" s="411">
        <f>F17/$N$2</f>
        <v>0</v>
      </c>
      <c r="I17" s="680"/>
      <c r="J17" s="680"/>
    </row>
    <row r="18" spans="1:14" x14ac:dyDescent="0.25">
      <c r="A18" s="457"/>
      <c r="B18" s="397" t="s">
        <v>43</v>
      </c>
      <c r="C18" s="677"/>
      <c r="D18" s="677"/>
      <c r="E18" s="677"/>
      <c r="F18" s="677"/>
      <c r="G18" s="411"/>
      <c r="H18" s="411"/>
      <c r="I18" s="680"/>
      <c r="J18" s="680"/>
    </row>
    <row r="19" spans="1:14" x14ac:dyDescent="0.25">
      <c r="A19" s="457"/>
      <c r="B19" s="397" t="s">
        <v>44</v>
      </c>
      <c r="C19" s="677"/>
      <c r="D19" s="677"/>
      <c r="E19" s="677"/>
      <c r="F19" s="677"/>
      <c r="G19" s="411">
        <f t="shared" ref="G19:G29" si="0">E19/$M$2</f>
        <v>0</v>
      </c>
      <c r="H19" s="411">
        <f t="shared" ref="H19:H29" si="1">F19/$N$2</f>
        <v>0</v>
      </c>
      <c r="I19" s="682">
        <f>'Crop-area&amp;production'!AC32</f>
        <v>0</v>
      </c>
      <c r="J19" s="682"/>
      <c r="M19" s="309" t="s">
        <v>46</v>
      </c>
    </row>
    <row r="20" spans="1:14" x14ac:dyDescent="0.25">
      <c r="A20" s="457"/>
      <c r="B20" s="397" t="s">
        <v>45</v>
      </c>
      <c r="C20" s="677"/>
      <c r="D20" s="677"/>
      <c r="E20" s="677"/>
      <c r="F20" s="677"/>
      <c r="G20" s="411">
        <f t="shared" si="0"/>
        <v>0</v>
      </c>
      <c r="H20" s="411">
        <f t="shared" si="1"/>
        <v>0</v>
      </c>
      <c r="I20" s="681">
        <f>'Crop-area&amp;production'!S34</f>
        <v>0</v>
      </c>
      <c r="J20" s="681">
        <f>'Crop-area&amp;production'!CF34</f>
        <v>0</v>
      </c>
      <c r="L20" s="397" t="s">
        <v>19</v>
      </c>
      <c r="M20" s="397" t="s">
        <v>48</v>
      </c>
      <c r="N20" s="397" t="s">
        <v>49</v>
      </c>
    </row>
    <row r="21" spans="1:14" x14ac:dyDescent="0.25">
      <c r="A21" s="457"/>
      <c r="B21" s="397" t="s">
        <v>47</v>
      </c>
      <c r="C21" s="677"/>
      <c r="D21" s="677"/>
      <c r="E21" s="677"/>
      <c r="F21" s="677"/>
      <c r="G21" s="411">
        <f t="shared" si="0"/>
        <v>0</v>
      </c>
      <c r="H21" s="411">
        <f t="shared" si="1"/>
        <v>0</v>
      </c>
      <c r="I21" s="681">
        <f>'Crop-area&amp;production'!P34</f>
        <v>0</v>
      </c>
      <c r="J21" s="681">
        <f>'Crop-area&amp;production'!CC34</f>
        <v>0</v>
      </c>
      <c r="L21" s="397" t="s">
        <v>24</v>
      </c>
      <c r="M21" s="426" t="e">
        <f t="shared" ref="M21:N30" si="2">M7/$M$2</f>
        <v>#DIV/0!</v>
      </c>
      <c r="N21" s="426" t="e">
        <f t="shared" si="2"/>
        <v>#DIV/0!</v>
      </c>
    </row>
    <row r="22" spans="1:14" x14ac:dyDescent="0.25">
      <c r="A22" s="457"/>
      <c r="B22" s="397" t="s">
        <v>50</v>
      </c>
      <c r="C22" s="677"/>
      <c r="D22" s="677"/>
      <c r="E22" s="677"/>
      <c r="F22" s="677"/>
      <c r="G22" s="411">
        <f t="shared" si="0"/>
        <v>0</v>
      </c>
      <c r="H22" s="411">
        <f t="shared" si="1"/>
        <v>0</v>
      </c>
      <c r="I22" s="681">
        <f>'Crop-area&amp;production'!Z32</f>
        <v>0</v>
      </c>
      <c r="J22" s="681">
        <f>'Crop-area&amp;production'!CM32</f>
        <v>0</v>
      </c>
      <c r="L22" s="397" t="s">
        <v>26</v>
      </c>
      <c r="M22" s="426" t="e">
        <f t="shared" si="2"/>
        <v>#DIV/0!</v>
      </c>
      <c r="N22" s="426" t="e">
        <f t="shared" si="2"/>
        <v>#DIV/0!</v>
      </c>
    </row>
    <row r="23" spans="1:14" x14ac:dyDescent="0.25">
      <c r="A23" s="457"/>
      <c r="B23" s="397" t="s">
        <v>51</v>
      </c>
      <c r="C23" s="677"/>
      <c r="D23" s="677"/>
      <c r="E23" s="677"/>
      <c r="F23" s="677"/>
      <c r="G23" s="411">
        <f t="shared" si="0"/>
        <v>0</v>
      </c>
      <c r="H23" s="411">
        <f t="shared" si="1"/>
        <v>0</v>
      </c>
      <c r="I23" s="681">
        <f>'Crop-area&amp;production'!X32</f>
        <v>0</v>
      </c>
      <c r="J23" s="681">
        <f>'Crop-area&amp;production'!CK32</f>
        <v>0</v>
      </c>
      <c r="L23" s="398" t="s">
        <v>28</v>
      </c>
      <c r="M23" s="426" t="e">
        <f t="shared" si="2"/>
        <v>#DIV/0!</v>
      </c>
      <c r="N23" s="426" t="e">
        <f t="shared" si="2"/>
        <v>#DIV/0!</v>
      </c>
    </row>
    <row r="24" spans="1:14" x14ac:dyDescent="0.25">
      <c r="A24" s="457"/>
      <c r="B24" s="397" t="s">
        <v>52</v>
      </c>
      <c r="C24" s="677"/>
      <c r="D24" s="677"/>
      <c r="E24" s="677"/>
      <c r="F24" s="677"/>
      <c r="G24" s="411">
        <f t="shared" si="0"/>
        <v>0</v>
      </c>
      <c r="H24" s="411">
        <f t="shared" si="1"/>
        <v>0</v>
      </c>
      <c r="I24" s="681">
        <f>'Crop-area&amp;production'!AA32</f>
        <v>0</v>
      </c>
      <c r="J24" s="681">
        <f>'Crop-area&amp;production'!CN32</f>
        <v>0</v>
      </c>
      <c r="L24" s="398" t="s">
        <v>30</v>
      </c>
      <c r="M24" s="426">
        <f t="shared" si="2"/>
        <v>0</v>
      </c>
      <c r="N24" s="426">
        <f t="shared" si="2"/>
        <v>0</v>
      </c>
    </row>
    <row r="25" spans="1:14" x14ac:dyDescent="0.25">
      <c r="A25" s="457"/>
      <c r="B25" s="397" t="s">
        <v>1249</v>
      </c>
      <c r="C25" s="677"/>
      <c r="D25" s="677"/>
      <c r="E25" s="677"/>
      <c r="F25" s="677"/>
      <c r="G25" s="411">
        <f t="shared" si="0"/>
        <v>0</v>
      </c>
      <c r="H25" s="411">
        <f t="shared" si="1"/>
        <v>0</v>
      </c>
      <c r="I25" s="681">
        <f>'Crop-area&amp;production'!AB32</f>
        <v>0</v>
      </c>
      <c r="J25" s="681">
        <f>'Crop-area&amp;production'!CO32</f>
        <v>0</v>
      </c>
      <c r="K25" s="686" t="b">
        <v>1</v>
      </c>
      <c r="L25" s="398" t="s">
        <v>32</v>
      </c>
      <c r="M25" s="426" t="e">
        <f t="shared" si="2"/>
        <v>#DIV/0!</v>
      </c>
      <c r="N25" s="426">
        <f t="shared" si="2"/>
        <v>0</v>
      </c>
    </row>
    <row r="26" spans="1:14" ht="30" x14ac:dyDescent="0.25">
      <c r="A26" s="457"/>
      <c r="B26" s="397" t="s">
        <v>53</v>
      </c>
      <c r="C26" s="677"/>
      <c r="D26" s="677"/>
      <c r="E26" s="677"/>
      <c r="F26" s="677"/>
      <c r="G26" s="411">
        <f t="shared" si="0"/>
        <v>0</v>
      </c>
      <c r="H26" s="411">
        <f t="shared" si="1"/>
        <v>0</v>
      </c>
      <c r="I26" s="681">
        <v>18695.45</v>
      </c>
      <c r="J26" s="681">
        <f>'Crop-area&amp;production'!DD32</f>
        <v>0</v>
      </c>
      <c r="K26" s="686" t="b">
        <v>1</v>
      </c>
      <c r="L26" s="398" t="s">
        <v>34</v>
      </c>
      <c r="M26" s="426">
        <f t="shared" si="2"/>
        <v>0</v>
      </c>
      <c r="N26" s="426">
        <f t="shared" si="2"/>
        <v>0</v>
      </c>
    </row>
    <row r="27" spans="1:14" x14ac:dyDescent="0.25">
      <c r="A27" s="457"/>
      <c r="B27" s="397" t="s">
        <v>54</v>
      </c>
      <c r="C27" s="677"/>
      <c r="D27" s="677"/>
      <c r="E27" s="677"/>
      <c r="F27" s="677"/>
      <c r="G27" s="411">
        <f t="shared" si="0"/>
        <v>0</v>
      </c>
      <c r="H27" s="411">
        <f t="shared" si="1"/>
        <v>0</v>
      </c>
      <c r="I27" s="681">
        <v>10830.7</v>
      </c>
      <c r="J27" s="681">
        <f>'Crop-area&amp;production'!DA32</f>
        <v>0</v>
      </c>
      <c r="K27" s="686" t="b">
        <v>1</v>
      </c>
      <c r="L27" s="398" t="s">
        <v>36</v>
      </c>
      <c r="M27" s="426">
        <f t="shared" si="2"/>
        <v>0</v>
      </c>
      <c r="N27" s="426">
        <f t="shared" si="2"/>
        <v>0</v>
      </c>
    </row>
    <row r="28" spans="1:14" x14ac:dyDescent="0.25">
      <c r="A28" s="457"/>
      <c r="B28" s="397" t="s">
        <v>55</v>
      </c>
      <c r="C28" s="677"/>
      <c r="D28" s="677"/>
      <c r="E28" s="677"/>
      <c r="F28" s="677"/>
      <c r="G28" s="411">
        <f t="shared" si="0"/>
        <v>0</v>
      </c>
      <c r="H28" s="411">
        <f t="shared" si="1"/>
        <v>0</v>
      </c>
      <c r="I28" s="681">
        <v>8639.25</v>
      </c>
      <c r="J28" s="681">
        <f>'Crop-area&amp;production'!DJ32</f>
        <v>0</v>
      </c>
      <c r="K28" s="686" t="b">
        <v>1</v>
      </c>
      <c r="L28" s="398" t="s">
        <v>38</v>
      </c>
      <c r="M28" s="426">
        <f t="shared" si="2"/>
        <v>0</v>
      </c>
      <c r="N28" s="426">
        <f t="shared" si="2"/>
        <v>0</v>
      </c>
    </row>
    <row r="29" spans="1:14" x14ac:dyDescent="0.25">
      <c r="A29" s="457"/>
      <c r="B29" s="397" t="s">
        <v>56</v>
      </c>
      <c r="C29" s="677"/>
      <c r="D29" s="677"/>
      <c r="E29" s="677"/>
      <c r="F29" s="677"/>
      <c r="G29" s="411">
        <f t="shared" si="0"/>
        <v>0</v>
      </c>
      <c r="H29" s="411">
        <f t="shared" si="1"/>
        <v>0</v>
      </c>
      <c r="I29" s="680">
        <v>3040.2</v>
      </c>
      <c r="J29" s="681">
        <f>'Crop-area&amp;production'!DC32</f>
        <v>0</v>
      </c>
      <c r="K29" s="686"/>
      <c r="L29" s="398" t="s">
        <v>40</v>
      </c>
      <c r="M29" s="426">
        <f t="shared" si="2"/>
        <v>0</v>
      </c>
      <c r="N29" s="426">
        <f t="shared" si="2"/>
        <v>0</v>
      </c>
    </row>
    <row r="30" spans="1:14" ht="14.45" customHeight="1" x14ac:dyDescent="0.25">
      <c r="A30" s="457"/>
      <c r="B30" s="397" t="s">
        <v>57</v>
      </c>
      <c r="C30" s="677"/>
      <c r="D30" s="677"/>
      <c r="E30" s="677"/>
      <c r="F30" s="677"/>
      <c r="G30" s="411">
        <f t="shared" ref="G30:G34" si="3">E30/$M$2</f>
        <v>0</v>
      </c>
      <c r="H30" s="411">
        <f t="shared" ref="H30:H34" si="4">F30/$N$2</f>
        <v>0</v>
      </c>
      <c r="I30" s="681">
        <f>'Crop-area&amp;production'!AR32</f>
        <v>0</v>
      </c>
      <c r="J30" s="681">
        <f>'Crop-area&amp;production'!DE32</f>
        <v>0</v>
      </c>
      <c r="K30" s="686"/>
      <c r="L30" s="398" t="s">
        <v>42</v>
      </c>
      <c r="M30" s="426">
        <f t="shared" si="2"/>
        <v>0</v>
      </c>
      <c r="N30" s="426">
        <f t="shared" si="2"/>
        <v>0</v>
      </c>
    </row>
    <row r="31" spans="1:14" x14ac:dyDescent="0.25">
      <c r="A31" s="457"/>
      <c r="B31" s="397" t="s">
        <v>58</v>
      </c>
      <c r="C31" s="677"/>
      <c r="D31" s="677"/>
      <c r="E31" s="677"/>
      <c r="F31" s="677"/>
      <c r="G31" s="411">
        <f t="shared" si="3"/>
        <v>0</v>
      </c>
      <c r="H31" s="411">
        <f t="shared" si="4"/>
        <v>0</v>
      </c>
      <c r="I31" s="681">
        <f>'Crop-area&amp;production'!AS32</f>
        <v>0</v>
      </c>
      <c r="J31" s="681">
        <f>'Crop-area&amp;production'!DF32</f>
        <v>0</v>
      </c>
      <c r="K31" s="686"/>
    </row>
    <row r="32" spans="1:14" x14ac:dyDescent="0.25">
      <c r="A32" s="457"/>
      <c r="B32" s="397" t="s">
        <v>59</v>
      </c>
      <c r="C32" s="677"/>
      <c r="D32" s="677"/>
      <c r="E32" s="677"/>
      <c r="F32" s="677"/>
      <c r="G32" s="411">
        <f t="shared" si="3"/>
        <v>0</v>
      </c>
      <c r="H32" s="411">
        <f t="shared" si="4"/>
        <v>0</v>
      </c>
      <c r="I32" s="681">
        <f>'Crop-area&amp;production'!AM32</f>
        <v>0</v>
      </c>
      <c r="J32" s="681">
        <f>'Crop-area&amp;production'!CZ32</f>
        <v>0</v>
      </c>
      <c r="K32" s="686"/>
    </row>
    <row r="33" spans="1:11" x14ac:dyDescent="0.25">
      <c r="A33" s="457"/>
      <c r="B33" s="397" t="s">
        <v>60</v>
      </c>
      <c r="C33" s="677"/>
      <c r="D33" s="677"/>
      <c r="E33" s="677"/>
      <c r="F33" s="677"/>
      <c r="G33" s="411">
        <f t="shared" si="3"/>
        <v>0</v>
      </c>
      <c r="H33" s="411">
        <f t="shared" si="4"/>
        <v>0</v>
      </c>
      <c r="I33" s="681">
        <f>'Crop-area&amp;production'!AK32</f>
        <v>0</v>
      </c>
      <c r="J33" s="681">
        <f>'Crop-area&amp;production'!CX32</f>
        <v>0</v>
      </c>
      <c r="K33" s="686"/>
    </row>
    <row r="34" spans="1:11" x14ac:dyDescent="0.25">
      <c r="A34" s="457"/>
      <c r="B34" s="397" t="s">
        <v>61</v>
      </c>
      <c r="C34" s="677"/>
      <c r="D34" s="677"/>
      <c r="E34" s="677"/>
      <c r="F34" s="677"/>
      <c r="G34" s="411">
        <f t="shared" si="3"/>
        <v>0</v>
      </c>
      <c r="H34" s="411">
        <f t="shared" si="4"/>
        <v>0</v>
      </c>
      <c r="I34" s="681">
        <f>'Crop-area&amp;production'!AT32</f>
        <v>0</v>
      </c>
      <c r="J34" s="681">
        <f>'Crop-area&amp;production'!DG32</f>
        <v>0</v>
      </c>
      <c r="K34" s="686"/>
    </row>
    <row r="35" spans="1:11" x14ac:dyDescent="0.25">
      <c r="A35" s="457"/>
      <c r="B35" s="397" t="s">
        <v>62</v>
      </c>
      <c r="C35" s="677"/>
      <c r="D35" s="677"/>
      <c r="E35" s="677"/>
      <c r="F35" s="677"/>
      <c r="G35" s="411">
        <f t="shared" ref="G35" si="5">E35/$M$2</f>
        <v>0</v>
      </c>
      <c r="H35" s="411">
        <f t="shared" ref="H35" si="6">F35/$N$2</f>
        <v>0</v>
      </c>
      <c r="I35" s="680"/>
      <c r="J35" s="680"/>
      <c r="K35" s="686"/>
    </row>
    <row r="36" spans="1:11" x14ac:dyDescent="0.25">
      <c r="A36" s="458"/>
      <c r="B36" s="397" t="s">
        <v>63</v>
      </c>
      <c r="C36" s="677"/>
      <c r="D36" s="677"/>
      <c r="E36" s="677"/>
      <c r="F36" s="677"/>
      <c r="G36" s="411">
        <f t="shared" ref="G36" si="7">E36/$M$2</f>
        <v>0</v>
      </c>
      <c r="H36" s="411">
        <f t="shared" ref="H36" si="8">F36/$N$2</f>
        <v>0</v>
      </c>
      <c r="I36" s="681">
        <f>'Crop-area&amp;production'!AL32</f>
        <v>0</v>
      </c>
      <c r="J36" s="681">
        <f>'Crop-area&amp;production'!CY32</f>
        <v>0</v>
      </c>
    </row>
    <row r="37" spans="1:11" ht="60" x14ac:dyDescent="0.25">
      <c r="A37" s="678" t="s">
        <v>65</v>
      </c>
      <c r="B37" s="397" t="s">
        <v>64</v>
      </c>
      <c r="C37" s="677"/>
      <c r="D37" s="677"/>
      <c r="E37" s="677"/>
      <c r="F37" s="677"/>
      <c r="G37" s="411"/>
      <c r="H37" s="411"/>
      <c r="I37" s="683">
        <f>'Crop-area&amp;production'!AJ32</f>
        <v>0</v>
      </c>
      <c r="J37" s="683"/>
    </row>
    <row r="38" spans="1:11" ht="14.45" customHeight="1" x14ac:dyDescent="0.25">
      <c r="A38" s="793" t="s">
        <v>67</v>
      </c>
      <c r="B38" s="397" t="s">
        <v>66</v>
      </c>
      <c r="C38" s="677"/>
      <c r="D38" s="677"/>
      <c r="E38" s="677"/>
      <c r="F38" s="677"/>
      <c r="G38" s="411">
        <f>E38/$M$2</f>
        <v>0</v>
      </c>
      <c r="H38" s="411">
        <f>F38/$N$2</f>
        <v>0</v>
      </c>
      <c r="I38" s="681">
        <f>'Crop-area&amp;production'!BC32</f>
        <v>0</v>
      </c>
      <c r="J38" s="681">
        <f>'Crop-area&amp;production'!DP32</f>
        <v>0</v>
      </c>
    </row>
    <row r="39" spans="1:11" x14ac:dyDescent="0.25">
      <c r="A39" s="793"/>
      <c r="B39" s="397" t="s">
        <v>68</v>
      </c>
      <c r="C39" s="677"/>
      <c r="D39" s="677"/>
      <c r="E39" s="677"/>
      <c r="F39" s="677"/>
      <c r="G39" s="411">
        <f>E39/$M$2</f>
        <v>0</v>
      </c>
      <c r="H39" s="411">
        <f>F39/$N$2</f>
        <v>0</v>
      </c>
      <c r="I39" s="679">
        <f>I4</f>
        <v>0</v>
      </c>
      <c r="J39" s="679" t="e">
        <f>'Cereals-all-year'!C14*'Cereals-all-year'!F61</f>
        <v>#DIV/0!</v>
      </c>
      <c r="K39" s="686"/>
    </row>
    <row r="40" spans="1:11" x14ac:dyDescent="0.25">
      <c r="A40" s="793"/>
      <c r="B40" s="397" t="s">
        <v>69</v>
      </c>
      <c r="C40" s="677"/>
      <c r="D40" s="677"/>
      <c r="E40" s="677"/>
      <c r="F40" s="677"/>
      <c r="G40" s="411">
        <f>E40/$M$2</f>
        <v>0</v>
      </c>
      <c r="H40" s="411">
        <f>F40/$N$2</f>
        <v>0</v>
      </c>
      <c r="I40" s="679">
        <f>I3</f>
        <v>0</v>
      </c>
      <c r="J40" s="679" t="e">
        <f>'Cereals-all-year'!C13*'Cereals-all-year'!F61</f>
        <v>#DIV/0!</v>
      </c>
    </row>
    <row r="41" spans="1:11" x14ac:dyDescent="0.25">
      <c r="A41" s="793"/>
      <c r="B41" s="397" t="s">
        <v>70</v>
      </c>
      <c r="C41" s="677"/>
      <c r="D41" s="677"/>
      <c r="E41" s="677"/>
      <c r="F41" s="677"/>
      <c r="G41" s="411">
        <f>E41/$M$2</f>
        <v>0</v>
      </c>
      <c r="H41" s="411">
        <f>F41/$N$2</f>
        <v>0</v>
      </c>
      <c r="I41" s="681">
        <f>I10</f>
        <v>0</v>
      </c>
      <c r="J41" s="681" t="e">
        <f>'Legumes-all-year'!C14*'Legumes-all-year'!F64</f>
        <v>#DIV/0!</v>
      </c>
    </row>
    <row r="42" spans="1:11" x14ac:dyDescent="0.25">
      <c r="A42" s="793"/>
      <c r="B42" s="397" t="s">
        <v>71</v>
      </c>
      <c r="C42" s="677"/>
      <c r="D42" s="677"/>
      <c r="E42" s="677"/>
      <c r="F42" s="677"/>
      <c r="G42" s="411"/>
      <c r="H42" s="411"/>
      <c r="I42" s="681">
        <f>I9</f>
        <v>0</v>
      </c>
      <c r="J42" s="681" t="e">
        <f>'Legumes-all-year'!C13*'Legumes-all-year'!F64</f>
        <v>#DIV/0!</v>
      </c>
    </row>
    <row r="43" spans="1:11" x14ac:dyDescent="0.25">
      <c r="A43" s="793"/>
      <c r="B43" s="397" t="s">
        <v>72</v>
      </c>
      <c r="C43" s="677"/>
      <c r="D43" s="677"/>
      <c r="E43" s="677"/>
      <c r="F43" s="677"/>
      <c r="G43" s="411">
        <f>E43/$M$2</f>
        <v>0</v>
      </c>
      <c r="H43" s="411">
        <f>F43/$N$2</f>
        <v>0</v>
      </c>
      <c r="I43" s="681">
        <f>'Crop-area&amp;production'!AZ32</f>
        <v>0</v>
      </c>
      <c r="J43" s="681">
        <f>'Crop-area&amp;production'!DM32</f>
        <v>0</v>
      </c>
    </row>
    <row r="44" spans="1:11" x14ac:dyDescent="0.25">
      <c r="A44" s="794"/>
      <c r="B44" s="397" t="s">
        <v>73</v>
      </c>
      <c r="C44" s="677"/>
      <c r="D44" s="677"/>
      <c r="E44" s="677"/>
      <c r="F44" s="677"/>
      <c r="G44" s="411"/>
      <c r="H44" s="411"/>
      <c r="I44" s="680"/>
      <c r="J44" s="680"/>
      <c r="K44" s="424"/>
    </row>
    <row r="45" spans="1:11" x14ac:dyDescent="0.25">
      <c r="A45" s="795" t="s">
        <v>75</v>
      </c>
      <c r="B45" s="397" t="s">
        <v>74</v>
      </c>
      <c r="C45" s="677"/>
      <c r="D45" s="677"/>
      <c r="E45" s="677"/>
      <c r="F45" s="677"/>
      <c r="G45" s="411"/>
      <c r="H45" s="411"/>
      <c r="I45" s="684">
        <f>I5</f>
        <v>0</v>
      </c>
      <c r="J45" s="684"/>
      <c r="K45" s="685"/>
    </row>
    <row r="46" spans="1:11" x14ac:dyDescent="0.25">
      <c r="A46" s="795"/>
      <c r="B46" s="397" t="s">
        <v>76</v>
      </c>
      <c r="C46" s="677"/>
      <c r="D46" s="677"/>
      <c r="E46" s="677"/>
      <c r="F46" s="677"/>
      <c r="G46" s="411">
        <f t="shared" ref="G46" si="9">E46/$M$2</f>
        <v>0</v>
      </c>
      <c r="H46" s="411">
        <f t="shared" ref="H46" si="10">F46/$N$2</f>
        <v>0</v>
      </c>
      <c r="I46" s="679">
        <f>'Crop-area&amp;production'!BE32+'Crop-area&amp;production'!BD32+'Crop-area&amp;production'!BH32</f>
        <v>0</v>
      </c>
      <c r="J46" s="679"/>
      <c r="K46" s="685"/>
    </row>
    <row r="47" spans="1:11" x14ac:dyDescent="0.25">
      <c r="A47" s="795"/>
      <c r="B47" s="397" t="s">
        <v>77</v>
      </c>
      <c r="C47" s="677"/>
      <c r="D47" s="677"/>
      <c r="E47" s="677"/>
      <c r="F47" s="677"/>
      <c r="G47" s="411"/>
      <c r="H47" s="411"/>
      <c r="I47" s="679">
        <v>150553</v>
      </c>
      <c r="J47" s="679"/>
    </row>
    <row r="48" spans="1:11" x14ac:dyDescent="0.25">
      <c r="A48" s="795"/>
      <c r="B48" s="397" t="s">
        <v>78</v>
      </c>
      <c r="C48" s="677"/>
      <c r="D48" s="677"/>
      <c r="E48" s="677"/>
      <c r="F48" s="677"/>
      <c r="G48" s="411">
        <f>E48/$M$2</f>
        <v>0</v>
      </c>
      <c r="H48" s="411">
        <f>F48/$N$2</f>
        <v>0</v>
      </c>
      <c r="I48" s="680"/>
      <c r="J48" s="680"/>
    </row>
    <row r="49" spans="1:10" x14ac:dyDescent="0.25">
      <c r="A49" s="795"/>
      <c r="B49" s="397" t="s">
        <v>79</v>
      </c>
      <c r="C49" s="677"/>
      <c r="D49" s="677"/>
      <c r="E49" s="677"/>
      <c r="F49" s="677"/>
      <c r="G49" s="411"/>
      <c r="H49" s="411"/>
      <c r="I49" s="680"/>
      <c r="J49" s="680"/>
    </row>
    <row r="50" spans="1:10" x14ac:dyDescent="0.25">
      <c r="A50" s="425" t="s">
        <v>80</v>
      </c>
      <c r="B50" s="397" t="s">
        <v>79</v>
      </c>
      <c r="C50" s="677"/>
      <c r="D50" s="677"/>
      <c r="E50" s="677"/>
      <c r="F50" s="677"/>
      <c r="G50" s="411"/>
      <c r="H50" s="411"/>
      <c r="I50" s="680"/>
      <c r="J50" s="680"/>
    </row>
    <row r="51" spans="1:10" ht="14.45" customHeight="1" x14ac:dyDescent="0.25">
      <c r="A51" s="412"/>
      <c r="B51" s="309" t="s">
        <v>81</v>
      </c>
      <c r="C51" s="677"/>
      <c r="D51" s="677"/>
      <c r="E51" s="677"/>
      <c r="F51" s="677"/>
      <c r="G51" s="411">
        <f t="shared" ref="G51" si="11">E51/$M$2</f>
        <v>0</v>
      </c>
      <c r="H51" s="411">
        <f>F51/$N$2</f>
        <v>0</v>
      </c>
      <c r="I51" s="680"/>
      <c r="J51" s="680"/>
    </row>
    <row r="52" spans="1:10" x14ac:dyDescent="0.25">
      <c r="B52" s="413" t="s">
        <v>82</v>
      </c>
      <c r="C52" s="413"/>
      <c r="D52" s="413"/>
      <c r="F52" s="20" t="s">
        <v>83</v>
      </c>
    </row>
    <row r="53" spans="1:10" ht="15.75" x14ac:dyDescent="0.25">
      <c r="H53" s="576"/>
    </row>
    <row r="54" spans="1:10" ht="18" customHeight="1" x14ac:dyDescent="0.25">
      <c r="B54" s="427"/>
      <c r="C54" s="427"/>
      <c r="D54" s="427"/>
      <c r="E54" s="427"/>
      <c r="F54" s="427"/>
      <c r="G54" s="427"/>
      <c r="H54" s="427"/>
    </row>
    <row r="55" spans="1:10" ht="24" thickBot="1" x14ac:dyDescent="0.4">
      <c r="B55" s="439" t="s">
        <v>1251</v>
      </c>
    </row>
    <row r="56" spans="1:10" ht="168.75" thickBot="1" x14ac:dyDescent="0.3">
      <c r="B56" s="437" t="s">
        <v>84</v>
      </c>
      <c r="C56" s="435" t="s">
        <v>1</v>
      </c>
      <c r="D56" s="436" t="s">
        <v>85</v>
      </c>
      <c r="E56" s="436" t="s">
        <v>86</v>
      </c>
      <c r="F56" s="436" t="s">
        <v>87</v>
      </c>
      <c r="G56" s="436" t="s">
        <v>88</v>
      </c>
      <c r="H56" s="437" t="s">
        <v>89</v>
      </c>
    </row>
    <row r="57" spans="1:10" ht="20.25" thickTop="1" thickBot="1" x14ac:dyDescent="0.3">
      <c r="B57" s="790" t="s">
        <v>24</v>
      </c>
      <c r="C57" s="438" t="s">
        <v>90</v>
      </c>
      <c r="D57" s="687">
        <f>I3</f>
        <v>0</v>
      </c>
      <c r="E57" s="689">
        <v>0.38</v>
      </c>
      <c r="F57" s="690">
        <f>1-E57</f>
        <v>0.62</v>
      </c>
      <c r="G57" s="691">
        <f>F57/E57</f>
        <v>1.631578947368421</v>
      </c>
      <c r="H57" s="787" t="e">
        <f>SUMPRODUCT(D57:D59,G57:G59)/SUM(D57:D59)</f>
        <v>#DIV/0!</v>
      </c>
    </row>
    <row r="58" spans="1:10" ht="19.5" thickBot="1" x14ac:dyDescent="0.3">
      <c r="B58" s="791"/>
      <c r="C58" s="438" t="s">
        <v>14</v>
      </c>
      <c r="D58" s="687">
        <f>I4</f>
        <v>0</v>
      </c>
      <c r="E58" s="689">
        <v>0.34</v>
      </c>
      <c r="F58" s="690">
        <f t="shared" ref="F58:F62" si="12">1-E58</f>
        <v>0.65999999999999992</v>
      </c>
      <c r="G58" s="691">
        <f t="shared" ref="G58:G62" si="13">F58/E58</f>
        <v>1.9411764705882348</v>
      </c>
      <c r="H58" s="788"/>
    </row>
    <row r="59" spans="1:10" ht="19.5" thickBot="1" x14ac:dyDescent="0.3">
      <c r="B59" s="792"/>
      <c r="C59" s="438" t="s">
        <v>91</v>
      </c>
      <c r="D59" s="687">
        <f>I5</f>
        <v>0</v>
      </c>
      <c r="E59" s="689">
        <v>0.45</v>
      </c>
      <c r="F59" s="690">
        <f t="shared" si="12"/>
        <v>0.55000000000000004</v>
      </c>
      <c r="G59" s="691">
        <f t="shared" si="13"/>
        <v>1.2222222222222223</v>
      </c>
      <c r="H59" s="789"/>
    </row>
    <row r="60" spans="1:10" ht="20.25" thickTop="1" thickBot="1" x14ac:dyDescent="0.3">
      <c r="B60" s="790" t="s">
        <v>26</v>
      </c>
      <c r="C60" s="438" t="s">
        <v>92</v>
      </c>
      <c r="D60" s="688">
        <f>I10</f>
        <v>0</v>
      </c>
      <c r="E60" s="689">
        <v>0.18</v>
      </c>
      <c r="F60" s="690">
        <f t="shared" si="12"/>
        <v>0.82000000000000006</v>
      </c>
      <c r="G60" s="691">
        <f t="shared" si="13"/>
        <v>4.5555555555555562</v>
      </c>
      <c r="H60" s="787" t="e">
        <f>SUMPRODUCT(D60:D62,G60:G62)/SUM(D60:D62)</f>
        <v>#DIV/0!</v>
      </c>
    </row>
    <row r="61" spans="1:10" ht="19.5" thickBot="1" x14ac:dyDescent="0.3">
      <c r="B61" s="791"/>
      <c r="C61" s="438" t="s">
        <v>93</v>
      </c>
      <c r="D61" s="688">
        <f>I12</f>
        <v>0</v>
      </c>
      <c r="E61" s="689">
        <v>0.27</v>
      </c>
      <c r="F61" s="690">
        <f t="shared" si="12"/>
        <v>0.73</v>
      </c>
      <c r="G61" s="691">
        <f t="shared" si="13"/>
        <v>2.7037037037037033</v>
      </c>
      <c r="H61" s="788"/>
    </row>
    <row r="62" spans="1:10" ht="19.5" thickBot="1" x14ac:dyDescent="0.3">
      <c r="B62" s="792"/>
      <c r="C62" s="438" t="s">
        <v>94</v>
      </c>
      <c r="D62" s="688">
        <f>I9</f>
        <v>0</v>
      </c>
      <c r="E62" s="689">
        <v>0.33</v>
      </c>
      <c r="F62" s="690">
        <f t="shared" si="12"/>
        <v>0.66999999999999993</v>
      </c>
      <c r="G62" s="691">
        <f t="shared" si="13"/>
        <v>2.0303030303030298</v>
      </c>
      <c r="H62" s="789"/>
    </row>
    <row r="63" spans="1:10" ht="15.75" thickTop="1" x14ac:dyDescent="0.25"/>
    <row r="64" spans="1:10" x14ac:dyDescent="0.25">
      <c r="B64" s="532"/>
      <c r="C64" s="414"/>
      <c r="D64" s="414"/>
    </row>
    <row r="66" spans="2:2" ht="15.75" x14ac:dyDescent="0.25">
      <c r="B66" s="533"/>
    </row>
    <row r="67" spans="2:2" ht="15.75" x14ac:dyDescent="0.25">
      <c r="B67" s="531"/>
    </row>
    <row r="68" spans="2:2" ht="15.75" x14ac:dyDescent="0.25">
      <c r="B68" s="531"/>
    </row>
    <row r="69" spans="2:2" ht="15.75" x14ac:dyDescent="0.25">
      <c r="B69" s="531"/>
    </row>
    <row r="70" spans="2:2" ht="15.75" x14ac:dyDescent="0.25">
      <c r="B70" s="531"/>
    </row>
    <row r="71" spans="2:2" ht="15.75" x14ac:dyDescent="0.25">
      <c r="B71" s="531"/>
    </row>
    <row r="72" spans="2:2" ht="15.75" x14ac:dyDescent="0.25">
      <c r="B72" s="531"/>
    </row>
    <row r="73" spans="2:2" ht="15.75" x14ac:dyDescent="0.25">
      <c r="B73" s="531"/>
    </row>
    <row r="74" spans="2:2" ht="15.75" x14ac:dyDescent="0.25">
      <c r="B74" s="531"/>
    </row>
    <row r="75" spans="2:2" ht="15.75" x14ac:dyDescent="0.25">
      <c r="B75" s="531"/>
    </row>
    <row r="76" spans="2:2" ht="15.75" x14ac:dyDescent="0.25">
      <c r="B76" s="531"/>
    </row>
    <row r="77" spans="2:2" ht="15.75" x14ac:dyDescent="0.25">
      <c r="B77" s="531"/>
    </row>
    <row r="78" spans="2:2" ht="15.75" x14ac:dyDescent="0.25">
      <c r="B78" s="531"/>
    </row>
    <row r="79" spans="2:2" ht="15.75" x14ac:dyDescent="0.25">
      <c r="B79" s="531"/>
    </row>
    <row r="80" spans="2:2" ht="15.75" x14ac:dyDescent="0.25">
      <c r="B80" s="531"/>
    </row>
    <row r="81" spans="2:2" ht="15.75" x14ac:dyDescent="0.25">
      <c r="B81" s="531"/>
    </row>
    <row r="82" spans="2:2" ht="15.75" x14ac:dyDescent="0.25">
      <c r="B82" s="531"/>
    </row>
    <row r="83" spans="2:2" ht="15.75" x14ac:dyDescent="0.25">
      <c r="B83" s="531"/>
    </row>
    <row r="84" spans="2:2" ht="15.75" x14ac:dyDescent="0.25">
      <c r="B84" s="531"/>
    </row>
    <row r="85" spans="2:2" ht="15.75" x14ac:dyDescent="0.25">
      <c r="B85" s="531"/>
    </row>
    <row r="86" spans="2:2" ht="15.75" x14ac:dyDescent="0.25">
      <c r="B86" s="531"/>
    </row>
    <row r="87" spans="2:2" ht="15.75" x14ac:dyDescent="0.25">
      <c r="B87" s="531"/>
    </row>
    <row r="88" spans="2:2" ht="15.75" x14ac:dyDescent="0.25">
      <c r="B88" s="531"/>
    </row>
    <row r="89" spans="2:2" ht="15.75" x14ac:dyDescent="0.25">
      <c r="B89" s="531"/>
    </row>
    <row r="90" spans="2:2" ht="15.75" x14ac:dyDescent="0.25">
      <c r="B90" s="531"/>
    </row>
    <row r="91" spans="2:2" ht="15.75" x14ac:dyDescent="0.25">
      <c r="B91" s="531"/>
    </row>
    <row r="92" spans="2:2" ht="15.75" x14ac:dyDescent="0.25">
      <c r="B92" s="531"/>
    </row>
    <row r="93" spans="2:2" ht="15.75" x14ac:dyDescent="0.25">
      <c r="B93" s="531"/>
    </row>
    <row r="94" spans="2:2" ht="15.75" x14ac:dyDescent="0.25">
      <c r="B94" s="531"/>
    </row>
    <row r="95" spans="2:2" ht="15.75" x14ac:dyDescent="0.25">
      <c r="B95" s="531"/>
    </row>
    <row r="96" spans="2:2" ht="15.75" x14ac:dyDescent="0.25">
      <c r="B96" s="531"/>
    </row>
    <row r="97" spans="2:10" ht="15.75" x14ac:dyDescent="0.25">
      <c r="B97" s="531"/>
    </row>
    <row r="98" spans="2:10" ht="15.75" x14ac:dyDescent="0.25">
      <c r="B98" s="531"/>
    </row>
    <row r="99" spans="2:10" ht="15.75" x14ac:dyDescent="0.25">
      <c r="B99" s="531"/>
    </row>
    <row r="100" spans="2:10" ht="15.75" x14ac:dyDescent="0.25">
      <c r="B100" s="531"/>
    </row>
    <row r="101" spans="2:10" ht="15.75" x14ac:dyDescent="0.25">
      <c r="B101" s="531"/>
    </row>
    <row r="103" spans="2:10" ht="15.75" x14ac:dyDescent="0.25">
      <c r="C103" s="560"/>
      <c r="D103" s="560"/>
      <c r="G103" s="531"/>
    </row>
    <row r="104" spans="2:10" ht="15.75" x14ac:dyDescent="0.25">
      <c r="G104" s="531"/>
    </row>
    <row r="105" spans="2:10" ht="15.75" x14ac:dyDescent="0.25">
      <c r="G105" s="531"/>
    </row>
    <row r="106" spans="2:10" ht="15.75" x14ac:dyDescent="0.25">
      <c r="G106" s="531"/>
    </row>
    <row r="107" spans="2:10" ht="15.75" x14ac:dyDescent="0.25">
      <c r="G107" s="531"/>
    </row>
    <row r="108" spans="2:10" ht="15.75" x14ac:dyDescent="0.25">
      <c r="G108" s="531"/>
    </row>
    <row r="109" spans="2:10" ht="15.75" x14ac:dyDescent="0.25">
      <c r="G109" s="531"/>
    </row>
    <row r="110" spans="2:10" ht="15.75" x14ac:dyDescent="0.25">
      <c r="G110" s="531"/>
    </row>
    <row r="111" spans="2:10" ht="15.75" x14ac:dyDescent="0.25">
      <c r="G111" s="531"/>
    </row>
    <row r="112" spans="2:10" ht="15.75" x14ac:dyDescent="0.25">
      <c r="G112" s="531"/>
      <c r="I112" s="533"/>
      <c r="J112" s="533"/>
    </row>
  </sheetData>
  <mergeCells count="11">
    <mergeCell ref="H57:H59"/>
    <mergeCell ref="H60:H62"/>
    <mergeCell ref="B57:B59"/>
    <mergeCell ref="B60:B62"/>
    <mergeCell ref="A38:A44"/>
    <mergeCell ref="A45:A49"/>
    <mergeCell ref="C1:D1"/>
    <mergeCell ref="E1:F1"/>
    <mergeCell ref="G1:H1"/>
    <mergeCell ref="B1:B2"/>
    <mergeCell ref="A1:A2"/>
  </mergeCells>
  <conditionalFormatting sqref="A37">
    <cfRule type="cellIs" dxfId="1" priority="1" operator="equal">
      <formula>0</formula>
    </cfRule>
  </conditionalFormatting>
  <conditionalFormatting sqref="B3:B39">
    <cfRule type="cellIs" dxfId="0" priority="2" operator="equal">
      <formula>0</formula>
    </cfRule>
  </conditionalFormatting>
  <hyperlinks>
    <hyperlink ref="F52" r:id="rId1" location=":~:text=Approximate%20volume%20conversions%2C%20based%20on,cubic%20feet)%20%3D%201.133%20cubic%20metres" xr:uid="{E36633E2-B81A-48EA-A3C1-2C1F4E3B73C0}"/>
    <hyperlink ref="P3" r:id="rId2" display="https://www.google.com/search?q=GDP+of+tunisia+in+2021&amp;rlz=1C1GCEA_enEG1015EG1015&amp;oq=GDP+of+tunisia+in+2021&amp;gs_lcrp=EgZjaHJvbWUyBggAEEUYOTIICAEQABgWGB7SAQg3NjgwajFqN6gCALACAA&amp;sourceid=chrome&amp;ie=UTF-8 " xr:uid="{3A298FEC-77B8-4215-96A6-70236893609E}"/>
    <hyperlink ref="M3" r:id="rId3" display="https://www.google.com/search?q=GDP+of+tunisia+in+2021&amp;rlz=1C1GCEA_enEG1015EG1015&amp;oq=GDP+of+tunisia+in+2021&amp;gs_lcrp=EgZjaHJvbWUyBggAEEUYOTIICAEQABgWGB7SAQg3NjgwajFqN6gCALACAA&amp;sourceid=chrome&amp;ie=UTF-8" xr:uid="{4F851D5D-4EE4-4E80-95CD-D2E64178FFA3}"/>
    <hyperlink ref="N3" r:id="rId4" display="https://www.google.com/search?q=GDP+of+tunisia+in+2021&amp;rlz=1C1GCEA_enEG1015EG1015&amp;oq=GDP+of+tunisia+in+2021&amp;gs_lcrp=EgZjaHJvbWUyBggAEEUYOTIICAEQABgWGB7SAQg3NjgwajFqN6gCALACAA&amp;sourceid=chrome&amp;ie=UTF-8" xr:uid="{313A2044-CF47-457D-B520-8EE7D9791156}"/>
  </hyperlinks>
  <pageMargins left="0.7" right="0.7" top="0.75" bottom="0.75" header="0.3" footer="0.3"/>
  <pageSetup orientation="portrait" r:id="rId5"/>
  <ignoredErrors>
    <ignoredError sqref="M7"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D83CD-DAB0-4B7D-B400-DA7E49ACB3ED}">
  <dimension ref="A1:CU38"/>
  <sheetViews>
    <sheetView topLeftCell="K1" workbookViewId="0">
      <selection activeCell="T4" sqref="T4"/>
    </sheetView>
  </sheetViews>
  <sheetFormatPr defaultColWidth="11.42578125" defaultRowHeight="15" x14ac:dyDescent="0.25"/>
  <cols>
    <col min="1" max="1" width="4.5703125" customWidth="1"/>
    <col min="2" max="2" width="22.140625" customWidth="1"/>
    <col min="3" max="3" width="12.5703125" bestFit="1" customWidth="1"/>
    <col min="4" max="4" width="11.5703125" bestFit="1" customWidth="1"/>
    <col min="22" max="22" width="19.28515625" customWidth="1"/>
    <col min="30" max="31" width="12.5703125" customWidth="1"/>
    <col min="32" max="32" width="13.140625" customWidth="1"/>
    <col min="36" max="36" width="13.85546875" customWidth="1"/>
    <col min="38" max="38" width="11.42578125" customWidth="1"/>
  </cols>
  <sheetData>
    <row r="1" spans="1:99" x14ac:dyDescent="0.25">
      <c r="Z1" s="814" t="s">
        <v>95</v>
      </c>
      <c r="AA1" s="814"/>
      <c r="AB1" s="814"/>
      <c r="AC1" s="814"/>
      <c r="AD1" s="814"/>
      <c r="AE1" s="419">
        <v>58.74</v>
      </c>
      <c r="AF1" s="18" t="s">
        <v>96</v>
      </c>
      <c r="AG1" s="754" t="s">
        <v>97</v>
      </c>
      <c r="AH1" s="754"/>
      <c r="AI1" s="754"/>
      <c r="AJ1" s="754"/>
      <c r="AK1" s="754"/>
      <c r="AL1" s="754"/>
      <c r="AM1" s="754"/>
    </row>
    <row r="2" spans="1:99" ht="15.75" thickBot="1" x14ac:dyDescent="0.3">
      <c r="A2" s="59" t="s">
        <v>98</v>
      </c>
      <c r="AA2" t="s">
        <v>99</v>
      </c>
      <c r="AE2" s="60">
        <v>0.1</v>
      </c>
      <c r="AW2" s="59" t="s">
        <v>1162</v>
      </c>
    </row>
    <row r="3" spans="1:99" ht="41.45" customHeight="1" thickBot="1" x14ac:dyDescent="0.3">
      <c r="A3" s="796" t="s">
        <v>100</v>
      </c>
      <c r="B3" s="798" t="s">
        <v>101</v>
      </c>
      <c r="C3" s="818" t="s">
        <v>102</v>
      </c>
      <c r="D3" s="819"/>
      <c r="E3" s="819"/>
      <c r="F3" s="800" t="s">
        <v>103</v>
      </c>
      <c r="G3" s="801"/>
      <c r="H3" s="801"/>
      <c r="I3" s="801"/>
      <c r="J3" s="801"/>
      <c r="K3" s="801"/>
      <c r="L3" s="801"/>
      <c r="M3" s="801"/>
      <c r="N3" s="801"/>
      <c r="O3" s="801"/>
      <c r="P3" s="801"/>
      <c r="Q3" s="801"/>
      <c r="R3" s="801"/>
      <c r="S3" s="801"/>
      <c r="T3" s="801"/>
      <c r="U3" s="801"/>
      <c r="V3" s="802"/>
      <c r="W3" s="803" t="s">
        <v>104</v>
      </c>
      <c r="X3" s="804"/>
      <c r="Y3" s="804"/>
      <c r="Z3" s="804"/>
      <c r="AA3" s="804"/>
      <c r="AB3" s="804"/>
      <c r="AC3" s="804"/>
      <c r="AD3" s="804"/>
      <c r="AE3" s="804"/>
      <c r="AF3" s="804"/>
      <c r="AG3" s="804"/>
      <c r="AH3" s="804"/>
      <c r="AI3" s="804"/>
      <c r="AJ3" s="805"/>
      <c r="AK3" s="815" t="s">
        <v>105</v>
      </c>
      <c r="AL3" s="816"/>
      <c r="AM3" s="816"/>
      <c r="AN3" s="816"/>
      <c r="AO3" s="816"/>
      <c r="AP3" s="816"/>
      <c r="AQ3" s="816"/>
      <c r="AR3" s="816"/>
      <c r="AS3" s="816"/>
      <c r="AT3" s="816"/>
      <c r="AU3" s="816"/>
      <c r="AV3" s="817"/>
      <c r="AW3" s="808" t="s">
        <v>106</v>
      </c>
      <c r="AX3" s="809"/>
      <c r="AY3" s="809"/>
      <c r="AZ3" s="809"/>
      <c r="BA3" s="806" t="s">
        <v>107</v>
      </c>
      <c r="BB3" s="801"/>
      <c r="BC3" s="801"/>
      <c r="BD3" s="807"/>
      <c r="BE3" s="810" t="s">
        <v>108</v>
      </c>
      <c r="BF3" s="811"/>
      <c r="BG3" s="811"/>
      <c r="BH3" s="812"/>
      <c r="BI3" s="810" t="s">
        <v>109</v>
      </c>
      <c r="BJ3" s="811"/>
      <c r="BK3" s="811"/>
      <c r="BL3" s="812"/>
      <c r="BM3" s="810" t="s">
        <v>110</v>
      </c>
      <c r="BN3" s="811"/>
      <c r="BO3" s="811"/>
      <c r="BP3" s="812"/>
      <c r="BQ3" s="810" t="s">
        <v>111</v>
      </c>
      <c r="BR3" s="811"/>
      <c r="BS3" s="811"/>
      <c r="BT3" s="812"/>
      <c r="BU3" s="810" t="s">
        <v>112</v>
      </c>
      <c r="BV3" s="811"/>
      <c r="BW3" s="811"/>
      <c r="BX3" s="812"/>
      <c r="BY3" s="810" t="s">
        <v>113</v>
      </c>
      <c r="BZ3" s="811"/>
      <c r="CA3" s="811"/>
      <c r="CB3" s="812"/>
      <c r="CC3" s="810" t="s">
        <v>114</v>
      </c>
      <c r="CD3" s="811"/>
      <c r="CE3" s="811"/>
      <c r="CF3" s="812"/>
      <c r="CG3" s="810" t="s">
        <v>115</v>
      </c>
      <c r="CH3" s="811"/>
      <c r="CI3" s="811"/>
      <c r="CJ3" s="812"/>
      <c r="CK3" s="810" t="s">
        <v>116</v>
      </c>
      <c r="CL3" s="811"/>
      <c r="CM3" s="811"/>
      <c r="CN3" s="811"/>
      <c r="CO3" s="806" t="s">
        <v>117</v>
      </c>
      <c r="CP3" s="801"/>
      <c r="CQ3" s="801"/>
      <c r="CR3" s="807"/>
      <c r="CS3" s="44"/>
      <c r="CT3" s="44"/>
      <c r="CU3" s="44"/>
    </row>
    <row r="4" spans="1:99" ht="45.75" thickBot="1" x14ac:dyDescent="0.3">
      <c r="A4" s="797"/>
      <c r="B4" s="799"/>
      <c r="C4" s="283" t="s">
        <v>118</v>
      </c>
      <c r="D4" s="283" t="s">
        <v>119</v>
      </c>
      <c r="E4" s="284" t="s">
        <v>120</v>
      </c>
      <c r="F4" s="16" t="s">
        <v>24</v>
      </c>
      <c r="G4" s="16" t="s">
        <v>26</v>
      </c>
      <c r="H4" s="85" t="s">
        <v>28</v>
      </c>
      <c r="I4" s="85" t="s">
        <v>30</v>
      </c>
      <c r="J4" s="85" t="s">
        <v>121</v>
      </c>
      <c r="K4" s="85" t="s">
        <v>122</v>
      </c>
      <c r="L4" s="85" t="s">
        <v>123</v>
      </c>
      <c r="M4" s="85" t="s">
        <v>38</v>
      </c>
      <c r="N4" s="85" t="s">
        <v>124</v>
      </c>
      <c r="O4" s="85" t="s">
        <v>125</v>
      </c>
      <c r="P4" s="483" t="s">
        <v>126</v>
      </c>
      <c r="Q4" s="174" t="s">
        <v>127</v>
      </c>
      <c r="R4" s="174" t="s">
        <v>128</v>
      </c>
      <c r="S4" s="174" t="s">
        <v>129</v>
      </c>
      <c r="T4" s="174" t="s">
        <v>134</v>
      </c>
      <c r="U4" s="174" t="s">
        <v>126</v>
      </c>
      <c r="V4" s="174" t="s">
        <v>130</v>
      </c>
      <c r="W4" s="285" t="s">
        <v>24</v>
      </c>
      <c r="X4" s="285" t="s">
        <v>26</v>
      </c>
      <c r="Y4" s="286" t="s">
        <v>28</v>
      </c>
      <c r="Z4" s="286" t="s">
        <v>30</v>
      </c>
      <c r="AA4" s="85" t="s">
        <v>121</v>
      </c>
      <c r="AB4" s="85" t="s">
        <v>131</v>
      </c>
      <c r="AC4" s="85" t="s">
        <v>123</v>
      </c>
      <c r="AD4" s="85" t="s">
        <v>38</v>
      </c>
      <c r="AE4" s="85" t="s">
        <v>124</v>
      </c>
      <c r="AF4" s="286" t="s">
        <v>125</v>
      </c>
      <c r="AG4" s="287" t="s">
        <v>132</v>
      </c>
      <c r="AH4" s="174" t="s">
        <v>128</v>
      </c>
      <c r="AI4" s="174" t="s">
        <v>129</v>
      </c>
      <c r="AJ4" s="287" t="s">
        <v>133</v>
      </c>
      <c r="AK4" s="285" t="s">
        <v>24</v>
      </c>
      <c r="AL4" s="285" t="s">
        <v>26</v>
      </c>
      <c r="AM4" s="286" t="s">
        <v>28</v>
      </c>
      <c r="AN4" s="286" t="s">
        <v>30</v>
      </c>
      <c r="AO4" s="85" t="s">
        <v>121</v>
      </c>
      <c r="AP4" s="85" t="s">
        <v>131</v>
      </c>
      <c r="AQ4" s="85" t="s">
        <v>123</v>
      </c>
      <c r="AR4" s="85" t="s">
        <v>38</v>
      </c>
      <c r="AS4" s="85" t="s">
        <v>124</v>
      </c>
      <c r="AT4" s="286" t="s">
        <v>125</v>
      </c>
      <c r="AU4" s="287" t="s">
        <v>134</v>
      </c>
      <c r="AV4" s="287" t="s">
        <v>135</v>
      </c>
      <c r="AW4" s="284" t="s">
        <v>136</v>
      </c>
      <c r="AX4" s="284" t="s">
        <v>137</v>
      </c>
      <c r="AY4" s="284" t="s">
        <v>138</v>
      </c>
      <c r="AZ4" s="288" t="s">
        <v>120</v>
      </c>
      <c r="BA4" s="415" t="s">
        <v>136</v>
      </c>
      <c r="BB4" s="415" t="s">
        <v>137</v>
      </c>
      <c r="BC4" s="415" t="s">
        <v>138</v>
      </c>
      <c r="BD4" s="416" t="s">
        <v>120</v>
      </c>
      <c r="BE4" s="284" t="s">
        <v>136</v>
      </c>
      <c r="BF4" s="284" t="s">
        <v>137</v>
      </c>
      <c r="BG4" s="284" t="s">
        <v>138</v>
      </c>
      <c r="BH4" s="288" t="s">
        <v>120</v>
      </c>
      <c r="BI4" s="284" t="s">
        <v>136</v>
      </c>
      <c r="BJ4" s="284" t="s">
        <v>137</v>
      </c>
      <c r="BK4" s="284" t="s">
        <v>138</v>
      </c>
      <c r="BL4" s="288" t="s">
        <v>120</v>
      </c>
      <c r="BM4" s="284"/>
      <c r="BN4" s="284"/>
      <c r="BO4" s="284"/>
      <c r="BP4" s="288"/>
      <c r="BQ4" s="284" t="s">
        <v>136</v>
      </c>
      <c r="BR4" s="284" t="s">
        <v>137</v>
      </c>
      <c r="BS4" s="284" t="s">
        <v>138</v>
      </c>
      <c r="BT4" s="288" t="s">
        <v>120</v>
      </c>
      <c r="BU4" s="284" t="s">
        <v>136</v>
      </c>
      <c r="BV4" s="284" t="s">
        <v>137</v>
      </c>
      <c r="BW4" s="284" t="s">
        <v>138</v>
      </c>
      <c r="BX4" s="288" t="s">
        <v>120</v>
      </c>
      <c r="BY4" s="284" t="s">
        <v>136</v>
      </c>
      <c r="BZ4" s="284" t="s">
        <v>137</v>
      </c>
      <c r="CA4" s="284" t="s">
        <v>138</v>
      </c>
      <c r="CB4" s="288" t="s">
        <v>120</v>
      </c>
      <c r="CC4" s="284" t="s">
        <v>136</v>
      </c>
      <c r="CD4" s="284" t="s">
        <v>137</v>
      </c>
      <c r="CE4" s="284" t="s">
        <v>138</v>
      </c>
      <c r="CF4" s="288" t="s">
        <v>120</v>
      </c>
      <c r="CG4" s="284" t="s">
        <v>136</v>
      </c>
      <c r="CH4" s="284" t="s">
        <v>137</v>
      </c>
      <c r="CI4" s="284" t="s">
        <v>138</v>
      </c>
      <c r="CJ4" s="288" t="s">
        <v>120</v>
      </c>
      <c r="CK4" s="288" t="s">
        <v>136</v>
      </c>
      <c r="CL4" s="288" t="s">
        <v>137</v>
      </c>
      <c r="CM4" s="288" t="s">
        <v>138</v>
      </c>
      <c r="CN4" s="288" t="s">
        <v>120</v>
      </c>
      <c r="CO4" s="288" t="s">
        <v>136</v>
      </c>
      <c r="CP4" s="288" t="s">
        <v>137</v>
      </c>
      <c r="CQ4" s="288" t="s">
        <v>138</v>
      </c>
      <c r="CR4" s="417" t="s">
        <v>120</v>
      </c>
    </row>
    <row r="5" spans="1:99" x14ac:dyDescent="0.25">
      <c r="A5" s="272">
        <v>1</v>
      </c>
      <c r="B5" s="272" t="s">
        <v>139</v>
      </c>
      <c r="C5" s="273"/>
      <c r="D5" s="273"/>
      <c r="E5" s="418"/>
      <c r="F5" s="163"/>
      <c r="G5" s="163"/>
      <c r="H5" s="163"/>
      <c r="I5" s="163"/>
      <c r="J5" s="163"/>
      <c r="K5" s="163"/>
      <c r="L5" s="163"/>
      <c r="M5" s="163"/>
      <c r="N5" s="163"/>
      <c r="O5" s="163"/>
      <c r="P5" s="163"/>
      <c r="Q5" s="454">
        <f>SUM(F5:K5)</f>
        <v>0</v>
      </c>
      <c r="R5" s="454">
        <f>SUM(L5:N5)</f>
        <v>0</v>
      </c>
      <c r="S5" s="454">
        <f>O5</f>
        <v>0</v>
      </c>
      <c r="T5" s="454">
        <f>SUM(Q5:S5)</f>
        <v>0</v>
      </c>
      <c r="U5" s="454">
        <f>P5</f>
        <v>0</v>
      </c>
      <c r="V5" s="173">
        <f>SUM(T5:U5)</f>
        <v>0</v>
      </c>
      <c r="W5" s="254"/>
      <c r="X5" s="254"/>
      <c r="Y5" s="254"/>
      <c r="Z5" s="254"/>
      <c r="AA5" s="254"/>
      <c r="AB5" s="254"/>
      <c r="AC5" s="254"/>
      <c r="AD5" s="254"/>
      <c r="AE5" s="254"/>
      <c r="AF5" s="254"/>
      <c r="AG5" s="454">
        <f>SUM(W5:AB5)</f>
        <v>0</v>
      </c>
      <c r="AH5" s="454">
        <f>SUM(AC5:AE5)</f>
        <v>0</v>
      </c>
      <c r="AI5" s="454">
        <f>AF5</f>
        <v>0</v>
      </c>
      <c r="AJ5" s="173">
        <f>SUM(W5:AF5)</f>
        <v>0</v>
      </c>
      <c r="AK5" s="276"/>
      <c r="AL5" s="277"/>
      <c r="AM5" s="277"/>
      <c r="AN5" s="278"/>
      <c r="AO5" s="278"/>
      <c r="AP5" s="278"/>
      <c r="AQ5" s="279"/>
      <c r="AR5" s="279"/>
      <c r="AS5" s="279"/>
      <c r="AT5" s="279"/>
      <c r="AU5" s="280" t="e">
        <f t="shared" ref="AU5:AU28" si="0">SUMPRODUCT(AK5:AP5,F5:K5)/Q5</f>
        <v>#DIV/0!</v>
      </c>
      <c r="AV5" s="280" t="e">
        <f t="shared" ref="AV5:AV28" si="1">SUMPRODUCT(AK5:AT5,F5:O5)/V5</f>
        <v>#DIV/0!</v>
      </c>
      <c r="AW5" s="489"/>
      <c r="AX5" s="490"/>
      <c r="AY5" s="489"/>
      <c r="AZ5" s="396">
        <f>SUM(AW5:AY5)</f>
        <v>0</v>
      </c>
      <c r="BA5" s="489"/>
      <c r="BB5" s="490"/>
      <c r="BC5" s="489"/>
      <c r="BD5" s="396">
        <f>SUM(BA5:BC5)</f>
        <v>0</v>
      </c>
      <c r="BE5" s="491"/>
      <c r="BF5" s="491"/>
      <c r="BG5" s="491"/>
      <c r="BH5" s="396">
        <f>SUM(BE5:BG5)</f>
        <v>0</v>
      </c>
      <c r="BI5" s="493"/>
      <c r="BJ5" s="493"/>
      <c r="BK5" s="493"/>
      <c r="BL5" s="396">
        <f>SUM(BI5:BK5)</f>
        <v>0</v>
      </c>
      <c r="BM5" s="281"/>
      <c r="BN5" s="281"/>
      <c r="BO5" s="281"/>
      <c r="BP5" s="396">
        <f>SUM(BM5:BO5)</f>
        <v>0</v>
      </c>
      <c r="BQ5" s="281"/>
      <c r="BR5" s="281"/>
      <c r="BS5" s="281"/>
      <c r="BT5" s="396">
        <f>SUM(BQ5:BS5)</f>
        <v>0</v>
      </c>
      <c r="BU5" s="281"/>
      <c r="BV5" s="281"/>
      <c r="BW5" s="281"/>
      <c r="BX5" s="396">
        <f>SUM(BU5:BW5)</f>
        <v>0</v>
      </c>
      <c r="BY5" s="281"/>
      <c r="BZ5" s="281"/>
      <c r="CA5" s="281"/>
      <c r="CB5" s="396">
        <f t="shared" ref="CB5" si="2">SUM(BY5:CA5)</f>
        <v>0</v>
      </c>
      <c r="CC5" s="281"/>
      <c r="CD5" s="281"/>
      <c r="CE5" s="281"/>
      <c r="CF5" s="396">
        <f t="shared" ref="CF5" si="3">SUM(CC5:CE5)</f>
        <v>0</v>
      </c>
      <c r="CG5" s="281"/>
      <c r="CH5" s="281"/>
      <c r="CI5" s="281"/>
      <c r="CJ5" s="396">
        <f>SUM(CG5:CI5)</f>
        <v>0</v>
      </c>
      <c r="CK5" s="396" t="e">
        <f>(AW5*$F5+BA5*$G5+BE5*$H5+BI5*$I5+BM5*$J5+BQ5*$K5)/$Q5</f>
        <v>#DIV/0!</v>
      </c>
      <c r="CL5" s="396" t="e">
        <f>(AX5*$F5+BB5*$G5+BF5*$H5+BJ5*$I5+BN5*$J5+BR5*$K5)/$Q5</f>
        <v>#DIV/0!</v>
      </c>
      <c r="CM5" s="396" t="e">
        <f>(AY5*$F5+BC5*$G5+BG5*$H5+BK5*$I5+BO5*$J5+BS5*$K5)/$Q5</f>
        <v>#DIV/0!</v>
      </c>
      <c r="CN5" s="396" t="e">
        <f>SUM(CK5:CM5)</f>
        <v>#DIV/0!</v>
      </c>
      <c r="CO5" s="396" t="e">
        <f t="shared" ref="CO5:CO28" si="4">(AW5*$F5+BA5*$G5+BE5*$H5+BI5*$I5+BM5*$J5+BQ5*$K5+$L5*CG5+$M5*BU5+$N5*BY5+$O5*CC5)/SUM(Q5:S5)</f>
        <v>#DIV/0!</v>
      </c>
      <c r="CP5" s="396" t="e">
        <f t="shared" ref="CP5:CP28" si="5">(AX5*$F5+BB5*$G5+BF5*$H5+BJ5*$I5+BN5*$J5+BR5*$K5+$L5*CH5+$M5*BV5+$N5*BZ5+$O5*CD5)/SUM(Q5:S5)</f>
        <v>#DIV/0!</v>
      </c>
      <c r="CQ5" s="396" t="e">
        <f t="shared" ref="CQ5:CQ28" si="6">(AY5*$F5+BC5*$G5+BG5*$H5+BK5*$I5+BO5*$J5+BS5*$K5+$L5*CI5+$M5*BW5+$N5*CA5+$O5*CE5)/SUM(Q5:S5)</f>
        <v>#DIV/0!</v>
      </c>
      <c r="CR5" s="282" t="e">
        <f>SUM(CO5:CQ5)</f>
        <v>#DIV/0!</v>
      </c>
    </row>
    <row r="6" spans="1:99" x14ac:dyDescent="0.25">
      <c r="A6" s="13">
        <v>2</v>
      </c>
      <c r="B6" s="13" t="s">
        <v>140</v>
      </c>
      <c r="C6" s="163"/>
      <c r="D6" s="163"/>
      <c r="E6" s="418"/>
      <c r="F6" s="163"/>
      <c r="G6" s="163"/>
      <c r="H6" s="163"/>
      <c r="I6" s="163"/>
      <c r="J6" s="163"/>
      <c r="K6" s="163"/>
      <c r="L6" s="163"/>
      <c r="M6" s="163"/>
      <c r="N6" s="163"/>
      <c r="O6" s="163"/>
      <c r="P6" s="163"/>
      <c r="Q6" s="454">
        <f t="shared" ref="Q6:Q28" si="7">SUM(F6:K6)</f>
        <v>0</v>
      </c>
      <c r="R6" s="454">
        <f t="shared" ref="R6:R29" si="8">SUM(L6:N6)</f>
        <v>0</v>
      </c>
      <c r="S6" s="454">
        <f t="shared" ref="S6:S29" si="9">O6</f>
        <v>0</v>
      </c>
      <c r="T6" s="454">
        <f t="shared" ref="T6:T29" si="10">SUM(Q6:S6)</f>
        <v>0</v>
      </c>
      <c r="U6" s="454">
        <f t="shared" ref="U6:U28" si="11">P6</f>
        <v>0</v>
      </c>
      <c r="V6" s="173">
        <f t="shared" ref="V6:V28" si="12">SUM(T6:U6)</f>
        <v>0</v>
      </c>
      <c r="W6" s="254"/>
      <c r="X6" s="254"/>
      <c r="Y6" s="254"/>
      <c r="Z6" s="254"/>
      <c r="AA6" s="254"/>
      <c r="AB6" s="254"/>
      <c r="AC6" s="254"/>
      <c r="AD6" s="254"/>
      <c r="AE6" s="254"/>
      <c r="AF6" s="254"/>
      <c r="AG6" s="454">
        <f t="shared" ref="AG6:AG28" si="13">SUM(W6:AB6)</f>
        <v>0</v>
      </c>
      <c r="AH6" s="454">
        <f t="shared" ref="AH6:AH29" si="14">SUM(AC6:AE6)</f>
        <v>0</v>
      </c>
      <c r="AI6" s="454">
        <f t="shared" ref="AI6:AI29" si="15">AF6</f>
        <v>0</v>
      </c>
      <c r="AJ6" s="173">
        <f t="shared" ref="AJ6:AJ28" si="16">SUM(W6:AF6)</f>
        <v>0</v>
      </c>
      <c r="AK6" s="255"/>
      <c r="AL6" s="256"/>
      <c r="AM6" s="256"/>
      <c r="AN6" s="257"/>
      <c r="AO6" s="257"/>
      <c r="AP6" s="257"/>
      <c r="AQ6" s="270"/>
      <c r="AR6" s="270"/>
      <c r="AS6" s="270"/>
      <c r="AT6" s="270"/>
      <c r="AU6" s="280" t="e">
        <f t="shared" si="0"/>
        <v>#DIV/0!</v>
      </c>
      <c r="AV6" s="280" t="e">
        <f t="shared" si="1"/>
        <v>#DIV/0!</v>
      </c>
      <c r="AW6" s="490"/>
      <c r="AX6" s="489"/>
      <c r="AY6" s="489"/>
      <c r="AZ6" s="396">
        <f t="shared" ref="AZ6:AZ28" si="17">SUM(AW6:AY6)</f>
        <v>0</v>
      </c>
      <c r="BA6" s="490"/>
      <c r="BB6" s="489"/>
      <c r="BC6" s="489"/>
      <c r="BD6" s="396">
        <f t="shared" ref="BD6:BD28" si="18">SUM(BA6:BC6)</f>
        <v>0</v>
      </c>
      <c r="BE6" s="491"/>
      <c r="BF6" s="491"/>
      <c r="BG6" s="491"/>
      <c r="BH6" s="396">
        <f t="shared" ref="BH6:BH28" si="19">SUM(BE6:BG6)</f>
        <v>0</v>
      </c>
      <c r="BI6" s="493"/>
      <c r="BJ6" s="493"/>
      <c r="BK6" s="493"/>
      <c r="BL6" s="396">
        <f t="shared" ref="BL6:BL28" si="20">SUM(BI6:BK6)</f>
        <v>0</v>
      </c>
      <c r="BM6" s="281"/>
      <c r="BN6" s="281"/>
      <c r="BO6" s="281"/>
      <c r="BP6" s="396">
        <f t="shared" ref="BP6:BP28" si="21">SUM(BM6:BO6)</f>
        <v>0</v>
      </c>
      <c r="BQ6" s="281"/>
      <c r="BR6" s="281"/>
      <c r="BS6" s="281"/>
      <c r="BT6" s="396">
        <f t="shared" ref="BT6:BT28" si="22">SUM(BQ6:BS6)</f>
        <v>0</v>
      </c>
      <c r="BU6" s="281"/>
      <c r="BV6" s="281"/>
      <c r="BW6" s="281"/>
      <c r="BX6" s="396">
        <f t="shared" ref="BX6:BX28" si="23">SUM(BU6:BW6)</f>
        <v>0</v>
      </c>
      <c r="BY6" s="281"/>
      <c r="BZ6" s="281"/>
      <c r="CA6" s="281"/>
      <c r="CB6" s="396">
        <f t="shared" ref="CB6:CB28" si="24">SUM(BY6:CA6)</f>
        <v>0</v>
      </c>
      <c r="CC6" s="281"/>
      <c r="CD6" s="281"/>
      <c r="CE6" s="281"/>
      <c r="CF6" s="396">
        <f t="shared" ref="CF6:CF28" si="25">SUM(CC6:CE6)</f>
        <v>0</v>
      </c>
      <c r="CG6" s="281"/>
      <c r="CH6" s="281"/>
      <c r="CI6" s="281"/>
      <c r="CJ6" s="396">
        <f t="shared" ref="CJ6:CJ28" si="26">SUM(CG6:CI6)</f>
        <v>0</v>
      </c>
      <c r="CK6" s="396" t="e">
        <f t="shared" ref="CK6:CK28" si="27">(AW6*$F6+BA6*$G6+BE6*$H6+BI6*$I6+BM6*$J6+BQ6*$K6)/$Q6</f>
        <v>#DIV/0!</v>
      </c>
      <c r="CL6" s="396" t="e">
        <f t="shared" ref="CL6:CL28" si="28">(AX6*$F6+BB6*$G6+BF6*$H6+BJ6*$I6+BN6*$J6+BR6*$K6)/$Q6</f>
        <v>#DIV/0!</v>
      </c>
      <c r="CM6" s="396" t="e">
        <f t="shared" ref="CM6:CM28" si="29">(AY6*$F6+BC6*$G6+BG6*$H6+BK6*$I6+BO6*$J6+BS6*$K6)/$Q6</f>
        <v>#DIV/0!</v>
      </c>
      <c r="CN6" s="396" t="e">
        <f t="shared" ref="CN6:CN28" si="30">SUM(CK6:CM6)</f>
        <v>#DIV/0!</v>
      </c>
      <c r="CO6" s="396" t="e">
        <f t="shared" si="4"/>
        <v>#DIV/0!</v>
      </c>
      <c r="CP6" s="396" t="e">
        <f t="shared" si="5"/>
        <v>#DIV/0!</v>
      </c>
      <c r="CQ6" s="396" t="e">
        <f t="shared" si="6"/>
        <v>#DIV/0!</v>
      </c>
      <c r="CR6" s="282" t="e">
        <f t="shared" ref="CR6:CR28" si="31">SUM(CO6:CQ6)</f>
        <v>#DIV/0!</v>
      </c>
    </row>
    <row r="7" spans="1:99" x14ac:dyDescent="0.25">
      <c r="A7" s="272">
        <v>3</v>
      </c>
      <c r="B7" s="13" t="s">
        <v>141</v>
      </c>
      <c r="C7" s="163"/>
      <c r="D7" s="163"/>
      <c r="E7" s="418"/>
      <c r="F7" s="163"/>
      <c r="G7" s="163"/>
      <c r="H7" s="163"/>
      <c r="I7" s="163"/>
      <c r="J7" s="163"/>
      <c r="K7" s="163"/>
      <c r="L7" s="163"/>
      <c r="M7" s="163"/>
      <c r="N7" s="163"/>
      <c r="O7" s="163"/>
      <c r="P7" s="163"/>
      <c r="Q7" s="454">
        <f t="shared" si="7"/>
        <v>0</v>
      </c>
      <c r="R7" s="454">
        <f t="shared" si="8"/>
        <v>0</v>
      </c>
      <c r="S7" s="454">
        <f t="shared" si="9"/>
        <v>0</v>
      </c>
      <c r="T7" s="454">
        <f t="shared" si="10"/>
        <v>0</v>
      </c>
      <c r="U7" s="454">
        <f t="shared" si="11"/>
        <v>0</v>
      </c>
      <c r="V7" s="173">
        <f t="shared" si="12"/>
        <v>0</v>
      </c>
      <c r="W7" s="254"/>
      <c r="X7" s="254"/>
      <c r="Y7" s="254"/>
      <c r="Z7" s="254"/>
      <c r="AA7" s="254"/>
      <c r="AB7" s="254"/>
      <c r="AC7" s="254"/>
      <c r="AD7" s="254"/>
      <c r="AE7" s="254"/>
      <c r="AF7" s="254"/>
      <c r="AG7" s="454">
        <f t="shared" si="13"/>
        <v>0</v>
      </c>
      <c r="AH7" s="454">
        <f t="shared" si="14"/>
        <v>0</v>
      </c>
      <c r="AI7" s="454">
        <f t="shared" si="15"/>
        <v>0</v>
      </c>
      <c r="AJ7" s="173">
        <f t="shared" si="16"/>
        <v>0</v>
      </c>
      <c r="AK7" s="255"/>
      <c r="AL7" s="256"/>
      <c r="AM7" s="256"/>
      <c r="AN7" s="257"/>
      <c r="AO7" s="257"/>
      <c r="AP7" s="257"/>
      <c r="AQ7" s="270"/>
      <c r="AR7" s="270"/>
      <c r="AS7" s="270"/>
      <c r="AT7" s="270"/>
      <c r="AU7" s="280" t="e">
        <f t="shared" si="0"/>
        <v>#DIV/0!</v>
      </c>
      <c r="AV7" s="280" t="e">
        <f t="shared" si="1"/>
        <v>#DIV/0!</v>
      </c>
      <c r="AW7" s="490"/>
      <c r="AX7" s="490"/>
      <c r="AY7" s="490"/>
      <c r="AZ7" s="396">
        <f t="shared" si="17"/>
        <v>0</v>
      </c>
      <c r="BA7" s="490"/>
      <c r="BB7" s="490"/>
      <c r="BC7" s="490"/>
      <c r="BD7" s="396">
        <f t="shared" si="18"/>
        <v>0</v>
      </c>
      <c r="BE7" s="491"/>
      <c r="BF7" s="491"/>
      <c r="BG7" s="491"/>
      <c r="BH7" s="396">
        <f t="shared" si="19"/>
        <v>0</v>
      </c>
      <c r="BI7" s="493"/>
      <c r="BJ7" s="493"/>
      <c r="BK7" s="493"/>
      <c r="BL7" s="396">
        <f t="shared" si="20"/>
        <v>0</v>
      </c>
      <c r="BM7" s="281"/>
      <c r="BN7" s="281"/>
      <c r="BO7" s="281"/>
      <c r="BP7" s="396">
        <f t="shared" si="21"/>
        <v>0</v>
      </c>
      <c r="BQ7" s="281"/>
      <c r="BR7" s="281"/>
      <c r="BS7" s="281"/>
      <c r="BT7" s="396">
        <f t="shared" si="22"/>
        <v>0</v>
      </c>
      <c r="BU7" s="281"/>
      <c r="BV7" s="281"/>
      <c r="BW7" s="281"/>
      <c r="BX7" s="396">
        <f t="shared" si="23"/>
        <v>0</v>
      </c>
      <c r="BY7" s="281"/>
      <c r="BZ7" s="281"/>
      <c r="CA7" s="281"/>
      <c r="CB7" s="396">
        <f t="shared" si="24"/>
        <v>0</v>
      </c>
      <c r="CC7" s="281"/>
      <c r="CD7" s="281"/>
      <c r="CE7" s="281"/>
      <c r="CF7" s="396">
        <f t="shared" si="25"/>
        <v>0</v>
      </c>
      <c r="CG7" s="281"/>
      <c r="CH7" s="281"/>
      <c r="CI7" s="281"/>
      <c r="CJ7" s="396">
        <f t="shared" si="26"/>
        <v>0</v>
      </c>
      <c r="CK7" s="396" t="e">
        <f t="shared" si="27"/>
        <v>#DIV/0!</v>
      </c>
      <c r="CL7" s="396" t="e">
        <f t="shared" si="28"/>
        <v>#DIV/0!</v>
      </c>
      <c r="CM7" s="396" t="e">
        <f t="shared" si="29"/>
        <v>#DIV/0!</v>
      </c>
      <c r="CN7" s="396" t="e">
        <f t="shared" si="30"/>
        <v>#DIV/0!</v>
      </c>
      <c r="CO7" s="396" t="e">
        <f t="shared" si="4"/>
        <v>#DIV/0!</v>
      </c>
      <c r="CP7" s="396" t="e">
        <f t="shared" si="5"/>
        <v>#DIV/0!</v>
      </c>
      <c r="CQ7" s="396" t="e">
        <f t="shared" si="6"/>
        <v>#DIV/0!</v>
      </c>
      <c r="CR7" s="282" t="e">
        <f t="shared" si="31"/>
        <v>#DIV/0!</v>
      </c>
    </row>
    <row r="8" spans="1:99" x14ac:dyDescent="0.25">
      <c r="A8" s="13">
        <v>4</v>
      </c>
      <c r="B8" s="13" t="s">
        <v>142</v>
      </c>
      <c r="C8" s="163"/>
      <c r="D8" s="163"/>
      <c r="E8" s="418"/>
      <c r="F8" s="163"/>
      <c r="G8" s="163"/>
      <c r="H8" s="163"/>
      <c r="I8" s="163"/>
      <c r="J8" s="163"/>
      <c r="K8" s="163"/>
      <c r="L8" s="163"/>
      <c r="M8" s="163"/>
      <c r="N8" s="163"/>
      <c r="O8" s="163"/>
      <c r="P8" s="163"/>
      <c r="Q8" s="454">
        <f t="shared" si="7"/>
        <v>0</v>
      </c>
      <c r="R8" s="454">
        <f t="shared" si="8"/>
        <v>0</v>
      </c>
      <c r="S8" s="454">
        <f t="shared" si="9"/>
        <v>0</v>
      </c>
      <c r="T8" s="454">
        <f t="shared" si="10"/>
        <v>0</v>
      </c>
      <c r="U8" s="454">
        <f t="shared" si="11"/>
        <v>0</v>
      </c>
      <c r="V8" s="173">
        <f t="shared" si="12"/>
        <v>0</v>
      </c>
      <c r="W8" s="254"/>
      <c r="X8" s="254"/>
      <c r="Y8" s="254"/>
      <c r="Z8" s="254"/>
      <c r="AA8" s="254"/>
      <c r="AB8" s="254"/>
      <c r="AC8" s="254"/>
      <c r="AD8" s="254"/>
      <c r="AE8" s="254"/>
      <c r="AF8" s="254"/>
      <c r="AG8" s="454">
        <f t="shared" si="13"/>
        <v>0</v>
      </c>
      <c r="AH8" s="454">
        <f t="shared" si="14"/>
        <v>0</v>
      </c>
      <c r="AI8" s="454">
        <f t="shared" si="15"/>
        <v>0</v>
      </c>
      <c r="AJ8" s="173">
        <f t="shared" si="16"/>
        <v>0</v>
      </c>
      <c r="AK8" s="255"/>
      <c r="AL8" s="256"/>
      <c r="AM8" s="256"/>
      <c r="AN8" s="257"/>
      <c r="AO8" s="257"/>
      <c r="AP8" s="257"/>
      <c r="AQ8" s="270"/>
      <c r="AR8" s="270"/>
      <c r="AS8" s="270"/>
      <c r="AT8" s="270"/>
      <c r="AU8" s="280" t="e">
        <f t="shared" si="0"/>
        <v>#DIV/0!</v>
      </c>
      <c r="AV8" s="280" t="e">
        <f t="shared" si="1"/>
        <v>#DIV/0!</v>
      </c>
      <c r="AW8" s="490"/>
      <c r="AX8" s="490"/>
      <c r="AY8" s="490"/>
      <c r="AZ8" s="396">
        <f t="shared" si="17"/>
        <v>0</v>
      </c>
      <c r="BA8" s="490"/>
      <c r="BB8" s="490"/>
      <c r="BC8" s="490"/>
      <c r="BD8" s="396">
        <f t="shared" si="18"/>
        <v>0</v>
      </c>
      <c r="BE8" s="491"/>
      <c r="BF8" s="491"/>
      <c r="BG8" s="491"/>
      <c r="BH8" s="396">
        <f t="shared" si="19"/>
        <v>0</v>
      </c>
      <c r="BI8" s="493"/>
      <c r="BJ8" s="493"/>
      <c r="BK8" s="493"/>
      <c r="BL8" s="396">
        <f t="shared" si="20"/>
        <v>0</v>
      </c>
      <c r="BM8" s="281"/>
      <c r="BN8" s="281"/>
      <c r="BO8" s="281"/>
      <c r="BP8" s="396">
        <f t="shared" si="21"/>
        <v>0</v>
      </c>
      <c r="BQ8" s="281"/>
      <c r="BR8" s="281"/>
      <c r="BS8" s="281"/>
      <c r="BT8" s="396">
        <f t="shared" si="22"/>
        <v>0</v>
      </c>
      <c r="BU8" s="281"/>
      <c r="BV8" s="281"/>
      <c r="BW8" s="281"/>
      <c r="BX8" s="396">
        <f t="shared" si="23"/>
        <v>0</v>
      </c>
      <c r="BY8" s="281"/>
      <c r="BZ8" s="281"/>
      <c r="CA8" s="281"/>
      <c r="CB8" s="396">
        <f t="shared" si="24"/>
        <v>0</v>
      </c>
      <c r="CC8" s="281"/>
      <c r="CD8" s="281"/>
      <c r="CE8" s="281"/>
      <c r="CF8" s="396">
        <f t="shared" si="25"/>
        <v>0</v>
      </c>
      <c r="CG8" s="281"/>
      <c r="CH8" s="281"/>
      <c r="CI8" s="281"/>
      <c r="CJ8" s="396">
        <f t="shared" si="26"/>
        <v>0</v>
      </c>
      <c r="CK8" s="396" t="e">
        <f t="shared" si="27"/>
        <v>#DIV/0!</v>
      </c>
      <c r="CL8" s="396" t="e">
        <f t="shared" si="28"/>
        <v>#DIV/0!</v>
      </c>
      <c r="CM8" s="396" t="e">
        <f t="shared" si="29"/>
        <v>#DIV/0!</v>
      </c>
      <c r="CN8" s="396" t="e">
        <f t="shared" si="30"/>
        <v>#DIV/0!</v>
      </c>
      <c r="CO8" s="396" t="e">
        <f t="shared" si="4"/>
        <v>#DIV/0!</v>
      </c>
      <c r="CP8" s="396" t="e">
        <f t="shared" si="5"/>
        <v>#DIV/0!</v>
      </c>
      <c r="CQ8" s="396" t="e">
        <f t="shared" si="6"/>
        <v>#DIV/0!</v>
      </c>
      <c r="CR8" s="282" t="e">
        <f t="shared" si="31"/>
        <v>#DIV/0!</v>
      </c>
    </row>
    <row r="9" spans="1:99" x14ac:dyDescent="0.25">
      <c r="A9" s="272">
        <v>5</v>
      </c>
      <c r="B9" s="13" t="s">
        <v>143</v>
      </c>
      <c r="C9" s="163"/>
      <c r="D9" s="163"/>
      <c r="E9" s="418"/>
      <c r="F9" s="163"/>
      <c r="G9" s="163"/>
      <c r="H9" s="163"/>
      <c r="I9" s="163"/>
      <c r="J9" s="163"/>
      <c r="K9" s="163"/>
      <c r="L9" s="163"/>
      <c r="M9" s="163"/>
      <c r="N9" s="163"/>
      <c r="O9" s="163"/>
      <c r="P9" s="163"/>
      <c r="Q9" s="454">
        <f t="shared" si="7"/>
        <v>0</v>
      </c>
      <c r="R9" s="454">
        <f t="shared" si="8"/>
        <v>0</v>
      </c>
      <c r="S9" s="454">
        <f t="shared" si="9"/>
        <v>0</v>
      </c>
      <c r="T9" s="454">
        <f t="shared" si="10"/>
        <v>0</v>
      </c>
      <c r="U9" s="454">
        <f t="shared" si="11"/>
        <v>0</v>
      </c>
      <c r="V9" s="173">
        <f t="shared" si="12"/>
        <v>0</v>
      </c>
      <c r="W9" s="254"/>
      <c r="X9" s="254"/>
      <c r="Y9" s="254"/>
      <c r="Z9" s="254"/>
      <c r="AA9" s="254"/>
      <c r="AB9" s="254"/>
      <c r="AC9" s="254"/>
      <c r="AD9" s="254"/>
      <c r="AE9" s="254"/>
      <c r="AF9" s="254"/>
      <c r="AG9" s="454">
        <f t="shared" si="13"/>
        <v>0</v>
      </c>
      <c r="AH9" s="454">
        <f t="shared" si="14"/>
        <v>0</v>
      </c>
      <c r="AI9" s="454">
        <f t="shared" si="15"/>
        <v>0</v>
      </c>
      <c r="AJ9" s="173">
        <f t="shared" si="16"/>
        <v>0</v>
      </c>
      <c r="AK9" s="255"/>
      <c r="AL9" s="256"/>
      <c r="AM9" s="256"/>
      <c r="AN9" s="257"/>
      <c r="AO9" s="257"/>
      <c r="AP9" s="257"/>
      <c r="AQ9" s="270"/>
      <c r="AR9" s="270"/>
      <c r="AS9" s="270"/>
      <c r="AT9" s="270"/>
      <c r="AU9" s="280" t="e">
        <f t="shared" si="0"/>
        <v>#DIV/0!</v>
      </c>
      <c r="AV9" s="280" t="e">
        <f t="shared" si="1"/>
        <v>#DIV/0!</v>
      </c>
      <c r="AW9" s="490"/>
      <c r="AX9" s="490"/>
      <c r="AY9" s="490"/>
      <c r="AZ9" s="396">
        <f t="shared" si="17"/>
        <v>0</v>
      </c>
      <c r="BA9" s="490"/>
      <c r="BB9" s="490"/>
      <c r="BC9" s="490"/>
      <c r="BD9" s="396">
        <f t="shared" si="18"/>
        <v>0</v>
      </c>
      <c r="BE9" s="491"/>
      <c r="BF9" s="491"/>
      <c r="BG9" s="491"/>
      <c r="BH9" s="396">
        <f t="shared" si="19"/>
        <v>0</v>
      </c>
      <c r="BI9" s="493"/>
      <c r="BJ9" s="493"/>
      <c r="BK9" s="493"/>
      <c r="BL9" s="396">
        <f t="shared" si="20"/>
        <v>0</v>
      </c>
      <c r="BM9" s="281"/>
      <c r="BN9" s="281"/>
      <c r="BO9" s="281"/>
      <c r="BP9" s="396">
        <f t="shared" si="21"/>
        <v>0</v>
      </c>
      <c r="BQ9" s="281"/>
      <c r="BR9" s="281"/>
      <c r="BS9" s="281"/>
      <c r="BT9" s="396">
        <f t="shared" si="22"/>
        <v>0</v>
      </c>
      <c r="BU9" s="281"/>
      <c r="BV9" s="281"/>
      <c r="BW9" s="281"/>
      <c r="BX9" s="396">
        <f t="shared" si="23"/>
        <v>0</v>
      </c>
      <c r="BY9" s="281"/>
      <c r="BZ9" s="281"/>
      <c r="CA9" s="281"/>
      <c r="CB9" s="396">
        <f t="shared" si="24"/>
        <v>0</v>
      </c>
      <c r="CC9" s="281"/>
      <c r="CD9" s="281"/>
      <c r="CE9" s="281"/>
      <c r="CF9" s="396">
        <f t="shared" si="25"/>
        <v>0</v>
      </c>
      <c r="CG9" s="281"/>
      <c r="CH9" s="281"/>
      <c r="CI9" s="281"/>
      <c r="CJ9" s="396">
        <f t="shared" si="26"/>
        <v>0</v>
      </c>
      <c r="CK9" s="396" t="e">
        <f t="shared" si="27"/>
        <v>#DIV/0!</v>
      </c>
      <c r="CL9" s="396" t="e">
        <f t="shared" si="28"/>
        <v>#DIV/0!</v>
      </c>
      <c r="CM9" s="396" t="e">
        <f t="shared" si="29"/>
        <v>#DIV/0!</v>
      </c>
      <c r="CN9" s="396" t="e">
        <f t="shared" si="30"/>
        <v>#DIV/0!</v>
      </c>
      <c r="CO9" s="396" t="e">
        <f t="shared" si="4"/>
        <v>#DIV/0!</v>
      </c>
      <c r="CP9" s="396" t="e">
        <f t="shared" si="5"/>
        <v>#DIV/0!</v>
      </c>
      <c r="CQ9" s="396" t="e">
        <f t="shared" si="6"/>
        <v>#DIV/0!</v>
      </c>
      <c r="CR9" s="282" t="e">
        <f t="shared" si="31"/>
        <v>#DIV/0!</v>
      </c>
    </row>
    <row r="10" spans="1:99" x14ac:dyDescent="0.25">
      <c r="A10" s="13">
        <v>6</v>
      </c>
      <c r="B10" s="13" t="s">
        <v>144</v>
      </c>
      <c r="C10" s="163"/>
      <c r="D10" s="163"/>
      <c r="E10" s="418"/>
      <c r="F10" s="163"/>
      <c r="G10" s="163"/>
      <c r="H10" s="163"/>
      <c r="I10" s="163"/>
      <c r="J10" s="163"/>
      <c r="K10" s="163"/>
      <c r="L10" s="163"/>
      <c r="M10" s="163"/>
      <c r="N10" s="163"/>
      <c r="O10" s="163"/>
      <c r="P10" s="163"/>
      <c r="Q10" s="454">
        <f t="shared" si="7"/>
        <v>0</v>
      </c>
      <c r="R10" s="454">
        <f t="shared" si="8"/>
        <v>0</v>
      </c>
      <c r="S10" s="454">
        <f t="shared" si="9"/>
        <v>0</v>
      </c>
      <c r="T10" s="454">
        <f t="shared" si="10"/>
        <v>0</v>
      </c>
      <c r="U10" s="454">
        <f t="shared" si="11"/>
        <v>0</v>
      </c>
      <c r="V10" s="173">
        <f t="shared" si="12"/>
        <v>0</v>
      </c>
      <c r="W10" s="254"/>
      <c r="X10" s="254"/>
      <c r="Y10" s="254"/>
      <c r="Z10" s="254"/>
      <c r="AA10" s="254"/>
      <c r="AB10" s="254"/>
      <c r="AC10" s="254"/>
      <c r="AD10" s="254"/>
      <c r="AE10" s="254"/>
      <c r="AF10" s="254"/>
      <c r="AG10" s="454">
        <f t="shared" si="13"/>
        <v>0</v>
      </c>
      <c r="AH10" s="454">
        <f t="shared" si="14"/>
        <v>0</v>
      </c>
      <c r="AI10" s="454">
        <f t="shared" si="15"/>
        <v>0</v>
      </c>
      <c r="AJ10" s="173">
        <f t="shared" si="16"/>
        <v>0</v>
      </c>
      <c r="AK10" s="255"/>
      <c r="AL10" s="256"/>
      <c r="AM10" s="256"/>
      <c r="AN10" s="257"/>
      <c r="AO10" s="257"/>
      <c r="AP10" s="257"/>
      <c r="AQ10" s="270"/>
      <c r="AR10" s="270"/>
      <c r="AS10" s="270"/>
      <c r="AT10" s="270"/>
      <c r="AU10" s="280" t="e">
        <f t="shared" si="0"/>
        <v>#DIV/0!</v>
      </c>
      <c r="AV10" s="280" t="e">
        <f t="shared" si="1"/>
        <v>#DIV/0!</v>
      </c>
      <c r="AW10" s="490"/>
      <c r="AX10" s="490"/>
      <c r="AY10" s="490"/>
      <c r="AZ10" s="396">
        <f t="shared" si="17"/>
        <v>0</v>
      </c>
      <c r="BA10" s="490"/>
      <c r="BB10" s="490"/>
      <c r="BC10" s="490"/>
      <c r="BD10" s="396">
        <f t="shared" si="18"/>
        <v>0</v>
      </c>
      <c r="BE10" s="491"/>
      <c r="BF10" s="491"/>
      <c r="BG10" s="491"/>
      <c r="BH10" s="396">
        <f t="shared" si="19"/>
        <v>0</v>
      </c>
      <c r="BI10" s="493"/>
      <c r="BJ10" s="493"/>
      <c r="BK10" s="493"/>
      <c r="BL10" s="396">
        <f t="shared" si="20"/>
        <v>0</v>
      </c>
      <c r="BM10" s="281"/>
      <c r="BN10" s="281"/>
      <c r="BO10" s="281"/>
      <c r="BP10" s="396">
        <f t="shared" si="21"/>
        <v>0</v>
      </c>
      <c r="BQ10" s="281"/>
      <c r="BR10" s="281"/>
      <c r="BS10" s="281"/>
      <c r="BT10" s="396">
        <f t="shared" si="22"/>
        <v>0</v>
      </c>
      <c r="BU10" s="281"/>
      <c r="BV10" s="281"/>
      <c r="BW10" s="281"/>
      <c r="BX10" s="396">
        <f t="shared" si="23"/>
        <v>0</v>
      </c>
      <c r="BY10" s="281"/>
      <c r="BZ10" s="281"/>
      <c r="CA10" s="281"/>
      <c r="CB10" s="396">
        <f t="shared" si="24"/>
        <v>0</v>
      </c>
      <c r="CC10" s="281"/>
      <c r="CD10" s="281"/>
      <c r="CE10" s="281"/>
      <c r="CF10" s="396">
        <f t="shared" si="25"/>
        <v>0</v>
      </c>
      <c r="CG10" s="281"/>
      <c r="CH10" s="281"/>
      <c r="CI10" s="281"/>
      <c r="CJ10" s="396">
        <f t="shared" si="26"/>
        <v>0</v>
      </c>
      <c r="CK10" s="396" t="e">
        <f t="shared" si="27"/>
        <v>#DIV/0!</v>
      </c>
      <c r="CL10" s="396" t="e">
        <f t="shared" si="28"/>
        <v>#DIV/0!</v>
      </c>
      <c r="CM10" s="396" t="e">
        <f t="shared" si="29"/>
        <v>#DIV/0!</v>
      </c>
      <c r="CN10" s="396" t="e">
        <f t="shared" si="30"/>
        <v>#DIV/0!</v>
      </c>
      <c r="CO10" s="396" t="e">
        <f t="shared" si="4"/>
        <v>#DIV/0!</v>
      </c>
      <c r="CP10" s="396" t="e">
        <f t="shared" si="5"/>
        <v>#DIV/0!</v>
      </c>
      <c r="CQ10" s="396" t="e">
        <f t="shared" si="6"/>
        <v>#DIV/0!</v>
      </c>
      <c r="CR10" s="282" t="e">
        <f t="shared" si="31"/>
        <v>#DIV/0!</v>
      </c>
    </row>
    <row r="11" spans="1:99" x14ac:dyDescent="0.25">
      <c r="A11" s="272">
        <v>7</v>
      </c>
      <c r="B11" s="13" t="s">
        <v>145</v>
      </c>
      <c r="C11" s="163"/>
      <c r="D11" s="163"/>
      <c r="E11" s="418"/>
      <c r="F11" s="163"/>
      <c r="G11" s="163"/>
      <c r="H11" s="163"/>
      <c r="I11" s="163"/>
      <c r="J11" s="163"/>
      <c r="K11" s="163"/>
      <c r="L11" s="163"/>
      <c r="M11" s="163"/>
      <c r="N11" s="163"/>
      <c r="O11" s="163"/>
      <c r="P11" s="163"/>
      <c r="Q11" s="454">
        <f t="shared" si="7"/>
        <v>0</v>
      </c>
      <c r="R11" s="454">
        <f t="shared" si="8"/>
        <v>0</v>
      </c>
      <c r="S11" s="454">
        <f t="shared" si="9"/>
        <v>0</v>
      </c>
      <c r="T11" s="454">
        <f t="shared" si="10"/>
        <v>0</v>
      </c>
      <c r="U11" s="454">
        <f t="shared" si="11"/>
        <v>0</v>
      </c>
      <c r="V11" s="173">
        <f t="shared" si="12"/>
        <v>0</v>
      </c>
      <c r="W11" s="254"/>
      <c r="X11" s="254"/>
      <c r="Y11" s="254"/>
      <c r="Z11" s="254"/>
      <c r="AA11" s="254"/>
      <c r="AB11" s="254"/>
      <c r="AC11" s="254"/>
      <c r="AD11" s="254"/>
      <c r="AE11" s="254"/>
      <c r="AF11" s="254"/>
      <c r="AG11" s="454">
        <f t="shared" si="13"/>
        <v>0</v>
      </c>
      <c r="AH11" s="454">
        <f t="shared" si="14"/>
        <v>0</v>
      </c>
      <c r="AI11" s="454">
        <f t="shared" si="15"/>
        <v>0</v>
      </c>
      <c r="AJ11" s="173">
        <f t="shared" si="16"/>
        <v>0</v>
      </c>
      <c r="AK11" s="255"/>
      <c r="AL11" s="256"/>
      <c r="AM11" s="256"/>
      <c r="AN11" s="257"/>
      <c r="AO11" s="257"/>
      <c r="AP11" s="257"/>
      <c r="AQ11" s="270"/>
      <c r="AR11" s="270"/>
      <c r="AS11" s="270"/>
      <c r="AT11" s="270"/>
      <c r="AU11" s="280" t="e">
        <f t="shared" si="0"/>
        <v>#DIV/0!</v>
      </c>
      <c r="AV11" s="280" t="e">
        <f t="shared" si="1"/>
        <v>#DIV/0!</v>
      </c>
      <c r="AW11" s="490"/>
      <c r="AX11" s="490"/>
      <c r="AY11" s="490"/>
      <c r="AZ11" s="396">
        <f t="shared" si="17"/>
        <v>0</v>
      </c>
      <c r="BA11" s="490"/>
      <c r="BB11" s="490"/>
      <c r="BC11" s="490"/>
      <c r="BD11" s="396">
        <f t="shared" si="18"/>
        <v>0</v>
      </c>
      <c r="BE11" s="491"/>
      <c r="BF11" s="491"/>
      <c r="BG11" s="491"/>
      <c r="BH11" s="396">
        <f t="shared" si="19"/>
        <v>0</v>
      </c>
      <c r="BI11" s="493"/>
      <c r="BJ11" s="493"/>
      <c r="BK11" s="493"/>
      <c r="BL11" s="396">
        <f t="shared" si="20"/>
        <v>0</v>
      </c>
      <c r="BM11" s="281"/>
      <c r="BN11" s="281"/>
      <c r="BO11" s="281"/>
      <c r="BP11" s="396">
        <f t="shared" si="21"/>
        <v>0</v>
      </c>
      <c r="BQ11" s="281"/>
      <c r="BR11" s="281"/>
      <c r="BS11" s="281"/>
      <c r="BT11" s="396">
        <f t="shared" si="22"/>
        <v>0</v>
      </c>
      <c r="BU11" s="281"/>
      <c r="BV11" s="281"/>
      <c r="BW11" s="281"/>
      <c r="BX11" s="396">
        <f t="shared" si="23"/>
        <v>0</v>
      </c>
      <c r="BY11" s="281"/>
      <c r="BZ11" s="281"/>
      <c r="CA11" s="281"/>
      <c r="CB11" s="396">
        <f t="shared" si="24"/>
        <v>0</v>
      </c>
      <c r="CC11" s="281"/>
      <c r="CD11" s="281"/>
      <c r="CE11" s="281"/>
      <c r="CF11" s="396">
        <f t="shared" si="25"/>
        <v>0</v>
      </c>
      <c r="CG11" s="281"/>
      <c r="CH11" s="281"/>
      <c r="CI11" s="281"/>
      <c r="CJ11" s="396">
        <f t="shared" si="26"/>
        <v>0</v>
      </c>
      <c r="CK11" s="396" t="e">
        <f t="shared" si="27"/>
        <v>#DIV/0!</v>
      </c>
      <c r="CL11" s="396" t="e">
        <f t="shared" si="28"/>
        <v>#DIV/0!</v>
      </c>
      <c r="CM11" s="396" t="e">
        <f t="shared" si="29"/>
        <v>#DIV/0!</v>
      </c>
      <c r="CN11" s="396" t="e">
        <f t="shared" si="30"/>
        <v>#DIV/0!</v>
      </c>
      <c r="CO11" s="396" t="e">
        <f t="shared" si="4"/>
        <v>#DIV/0!</v>
      </c>
      <c r="CP11" s="396" t="e">
        <f t="shared" si="5"/>
        <v>#DIV/0!</v>
      </c>
      <c r="CQ11" s="396" t="e">
        <f t="shared" si="6"/>
        <v>#DIV/0!</v>
      </c>
      <c r="CR11" s="282" t="e">
        <f t="shared" si="31"/>
        <v>#DIV/0!</v>
      </c>
    </row>
    <row r="12" spans="1:99" x14ac:dyDescent="0.25">
      <c r="A12" s="13">
        <v>8</v>
      </c>
      <c r="B12" s="13" t="s">
        <v>146</v>
      </c>
      <c r="C12" s="163"/>
      <c r="D12" s="163"/>
      <c r="E12" s="418"/>
      <c r="F12" s="163"/>
      <c r="G12" s="163"/>
      <c r="H12" s="163"/>
      <c r="I12" s="163"/>
      <c r="J12" s="163"/>
      <c r="K12" s="163"/>
      <c r="L12" s="163"/>
      <c r="M12" s="163"/>
      <c r="N12" s="163"/>
      <c r="O12" s="163"/>
      <c r="P12" s="163"/>
      <c r="Q12" s="454">
        <f t="shared" si="7"/>
        <v>0</v>
      </c>
      <c r="R12" s="454">
        <f t="shared" si="8"/>
        <v>0</v>
      </c>
      <c r="S12" s="454">
        <f t="shared" si="9"/>
        <v>0</v>
      </c>
      <c r="T12" s="454">
        <f t="shared" si="10"/>
        <v>0</v>
      </c>
      <c r="U12" s="454">
        <f t="shared" si="11"/>
        <v>0</v>
      </c>
      <c r="V12" s="173">
        <f t="shared" si="12"/>
        <v>0</v>
      </c>
      <c r="W12" s="254"/>
      <c r="X12" s="254"/>
      <c r="Y12" s="254"/>
      <c r="Z12" s="254"/>
      <c r="AA12" s="254"/>
      <c r="AB12" s="254"/>
      <c r="AC12" s="254"/>
      <c r="AD12" s="254"/>
      <c r="AE12" s="254"/>
      <c r="AF12" s="254"/>
      <c r="AG12" s="454">
        <f t="shared" si="13"/>
        <v>0</v>
      </c>
      <c r="AH12" s="454">
        <f t="shared" si="14"/>
        <v>0</v>
      </c>
      <c r="AI12" s="454">
        <f t="shared" si="15"/>
        <v>0</v>
      </c>
      <c r="AJ12" s="173">
        <f t="shared" si="16"/>
        <v>0</v>
      </c>
      <c r="AK12" s="255"/>
      <c r="AL12" s="256"/>
      <c r="AM12" s="256"/>
      <c r="AN12" s="257"/>
      <c r="AO12" s="257"/>
      <c r="AP12" s="257"/>
      <c r="AQ12" s="270"/>
      <c r="AR12" s="270"/>
      <c r="AS12" s="270"/>
      <c r="AT12" s="270"/>
      <c r="AU12" s="280" t="e">
        <f t="shared" si="0"/>
        <v>#DIV/0!</v>
      </c>
      <c r="AV12" s="280" t="e">
        <f t="shared" si="1"/>
        <v>#DIV/0!</v>
      </c>
      <c r="AW12" s="490"/>
      <c r="AX12" s="490"/>
      <c r="AY12" s="490"/>
      <c r="AZ12" s="396">
        <f t="shared" si="17"/>
        <v>0</v>
      </c>
      <c r="BA12" s="490"/>
      <c r="BB12" s="490"/>
      <c r="BC12" s="490"/>
      <c r="BD12" s="396">
        <f t="shared" si="18"/>
        <v>0</v>
      </c>
      <c r="BE12" s="491"/>
      <c r="BF12" s="491"/>
      <c r="BG12" s="491"/>
      <c r="BH12" s="396">
        <f t="shared" si="19"/>
        <v>0</v>
      </c>
      <c r="BI12" s="493"/>
      <c r="BJ12" s="493"/>
      <c r="BK12" s="493"/>
      <c r="BL12" s="396">
        <f t="shared" si="20"/>
        <v>0</v>
      </c>
      <c r="BM12" s="281"/>
      <c r="BN12" s="281"/>
      <c r="BO12" s="281"/>
      <c r="BP12" s="396">
        <f t="shared" si="21"/>
        <v>0</v>
      </c>
      <c r="BQ12" s="281"/>
      <c r="BR12" s="281"/>
      <c r="BS12" s="281"/>
      <c r="BT12" s="396">
        <f t="shared" si="22"/>
        <v>0</v>
      </c>
      <c r="BU12" s="281"/>
      <c r="BV12" s="281"/>
      <c r="BW12" s="281"/>
      <c r="BX12" s="396">
        <f t="shared" si="23"/>
        <v>0</v>
      </c>
      <c r="BY12" s="281"/>
      <c r="BZ12" s="492"/>
      <c r="CA12" s="281"/>
      <c r="CB12" s="396">
        <f t="shared" si="24"/>
        <v>0</v>
      </c>
      <c r="CC12" s="281"/>
      <c r="CD12" s="281"/>
      <c r="CE12" s="281"/>
      <c r="CF12" s="396">
        <f t="shared" si="25"/>
        <v>0</v>
      </c>
      <c r="CG12" s="281"/>
      <c r="CH12" s="281"/>
      <c r="CI12" s="281"/>
      <c r="CJ12" s="396">
        <f t="shared" si="26"/>
        <v>0</v>
      </c>
      <c r="CK12" s="396" t="e">
        <f t="shared" si="27"/>
        <v>#DIV/0!</v>
      </c>
      <c r="CL12" s="396" t="e">
        <f t="shared" si="28"/>
        <v>#DIV/0!</v>
      </c>
      <c r="CM12" s="396" t="e">
        <f t="shared" si="29"/>
        <v>#DIV/0!</v>
      </c>
      <c r="CN12" s="396" t="e">
        <f t="shared" si="30"/>
        <v>#DIV/0!</v>
      </c>
      <c r="CO12" s="396" t="e">
        <f t="shared" si="4"/>
        <v>#DIV/0!</v>
      </c>
      <c r="CP12" s="396" t="e">
        <f t="shared" si="5"/>
        <v>#DIV/0!</v>
      </c>
      <c r="CQ12" s="396" t="e">
        <f t="shared" si="6"/>
        <v>#DIV/0!</v>
      </c>
      <c r="CR12" s="282" t="e">
        <f t="shared" si="31"/>
        <v>#DIV/0!</v>
      </c>
    </row>
    <row r="13" spans="1:99" x14ac:dyDescent="0.25">
      <c r="A13" s="272">
        <v>9</v>
      </c>
      <c r="B13" s="13" t="s">
        <v>147</v>
      </c>
      <c r="C13" s="163"/>
      <c r="D13" s="163"/>
      <c r="E13" s="418"/>
      <c r="F13" s="163"/>
      <c r="G13" s="163"/>
      <c r="H13" s="163"/>
      <c r="I13" s="163"/>
      <c r="J13" s="163"/>
      <c r="K13" s="163"/>
      <c r="L13" s="163"/>
      <c r="M13" s="163"/>
      <c r="N13" s="163"/>
      <c r="O13" s="163"/>
      <c r="P13" s="163"/>
      <c r="Q13" s="454">
        <f t="shared" si="7"/>
        <v>0</v>
      </c>
      <c r="R13" s="454">
        <f t="shared" si="8"/>
        <v>0</v>
      </c>
      <c r="S13" s="454">
        <f t="shared" si="9"/>
        <v>0</v>
      </c>
      <c r="T13" s="454">
        <f t="shared" si="10"/>
        <v>0</v>
      </c>
      <c r="U13" s="454">
        <f t="shared" si="11"/>
        <v>0</v>
      </c>
      <c r="V13" s="173">
        <f t="shared" si="12"/>
        <v>0</v>
      </c>
      <c r="W13" s="254"/>
      <c r="X13" s="254"/>
      <c r="Y13" s="254"/>
      <c r="Z13" s="254"/>
      <c r="AA13" s="254"/>
      <c r="AB13" s="254"/>
      <c r="AC13" s="254"/>
      <c r="AD13" s="254"/>
      <c r="AE13" s="254"/>
      <c r="AF13" s="254"/>
      <c r="AG13" s="454">
        <f t="shared" si="13"/>
        <v>0</v>
      </c>
      <c r="AH13" s="454">
        <f t="shared" si="14"/>
        <v>0</v>
      </c>
      <c r="AI13" s="454">
        <f t="shared" si="15"/>
        <v>0</v>
      </c>
      <c r="AJ13" s="173">
        <f t="shared" si="16"/>
        <v>0</v>
      </c>
      <c r="AK13" s="255"/>
      <c r="AL13" s="256"/>
      <c r="AM13" s="256"/>
      <c r="AN13" s="257"/>
      <c r="AO13" s="257"/>
      <c r="AP13" s="257"/>
      <c r="AQ13" s="270"/>
      <c r="AR13" s="270"/>
      <c r="AS13" s="270"/>
      <c r="AT13" s="270"/>
      <c r="AU13" s="280" t="e">
        <f t="shared" si="0"/>
        <v>#DIV/0!</v>
      </c>
      <c r="AV13" s="280" t="e">
        <f t="shared" si="1"/>
        <v>#DIV/0!</v>
      </c>
      <c r="AW13" s="490"/>
      <c r="AX13" s="490"/>
      <c r="AY13" s="490"/>
      <c r="AZ13" s="396">
        <f t="shared" si="17"/>
        <v>0</v>
      </c>
      <c r="BA13" s="490"/>
      <c r="BB13" s="490"/>
      <c r="BC13" s="490"/>
      <c r="BD13" s="396">
        <f t="shared" si="18"/>
        <v>0</v>
      </c>
      <c r="BE13" s="491"/>
      <c r="BF13" s="491"/>
      <c r="BG13" s="491"/>
      <c r="BH13" s="396">
        <f t="shared" si="19"/>
        <v>0</v>
      </c>
      <c r="BI13" s="493"/>
      <c r="BJ13" s="493"/>
      <c r="BK13" s="493"/>
      <c r="BL13" s="396">
        <f t="shared" si="20"/>
        <v>0</v>
      </c>
      <c r="BM13" s="281"/>
      <c r="BN13" s="281"/>
      <c r="BO13" s="281"/>
      <c r="BP13" s="396">
        <f t="shared" si="21"/>
        <v>0</v>
      </c>
      <c r="BQ13" s="281"/>
      <c r="BR13" s="281"/>
      <c r="BS13" s="281"/>
      <c r="BT13" s="396">
        <f t="shared" si="22"/>
        <v>0</v>
      </c>
      <c r="BU13" s="281"/>
      <c r="BV13" s="281"/>
      <c r="BW13" s="281"/>
      <c r="BX13" s="396">
        <f t="shared" si="23"/>
        <v>0</v>
      </c>
      <c r="BY13" s="281"/>
      <c r="BZ13" s="492"/>
      <c r="CA13" s="281"/>
      <c r="CB13" s="396">
        <f t="shared" si="24"/>
        <v>0</v>
      </c>
      <c r="CC13" s="281"/>
      <c r="CD13" s="281"/>
      <c r="CE13" s="281"/>
      <c r="CF13" s="396">
        <f t="shared" si="25"/>
        <v>0</v>
      </c>
      <c r="CG13" s="281"/>
      <c r="CH13" s="281"/>
      <c r="CI13" s="281"/>
      <c r="CJ13" s="396">
        <f t="shared" si="26"/>
        <v>0</v>
      </c>
      <c r="CK13" s="396" t="e">
        <f t="shared" si="27"/>
        <v>#DIV/0!</v>
      </c>
      <c r="CL13" s="396" t="e">
        <f t="shared" si="28"/>
        <v>#DIV/0!</v>
      </c>
      <c r="CM13" s="396" t="e">
        <f t="shared" si="29"/>
        <v>#DIV/0!</v>
      </c>
      <c r="CN13" s="396" t="e">
        <f t="shared" si="30"/>
        <v>#DIV/0!</v>
      </c>
      <c r="CO13" s="396" t="e">
        <f t="shared" si="4"/>
        <v>#DIV/0!</v>
      </c>
      <c r="CP13" s="396" t="e">
        <f t="shared" si="5"/>
        <v>#DIV/0!</v>
      </c>
      <c r="CQ13" s="396" t="e">
        <f t="shared" si="6"/>
        <v>#DIV/0!</v>
      </c>
      <c r="CR13" s="282" t="e">
        <f t="shared" si="31"/>
        <v>#DIV/0!</v>
      </c>
    </row>
    <row r="14" spans="1:99" x14ac:dyDescent="0.25">
      <c r="A14" s="13">
        <v>10</v>
      </c>
      <c r="B14" s="13" t="s">
        <v>148</v>
      </c>
      <c r="C14" s="163"/>
      <c r="D14" s="163"/>
      <c r="E14" s="418"/>
      <c r="F14" s="163"/>
      <c r="G14" s="163"/>
      <c r="H14" s="163"/>
      <c r="I14" s="163"/>
      <c r="J14" s="163"/>
      <c r="K14" s="163"/>
      <c r="L14" s="163"/>
      <c r="M14" s="163"/>
      <c r="N14" s="163"/>
      <c r="O14" s="163"/>
      <c r="P14" s="163"/>
      <c r="Q14" s="454">
        <f t="shared" si="7"/>
        <v>0</v>
      </c>
      <c r="R14" s="454">
        <f t="shared" si="8"/>
        <v>0</v>
      </c>
      <c r="S14" s="454">
        <f t="shared" si="9"/>
        <v>0</v>
      </c>
      <c r="T14" s="454">
        <f t="shared" si="10"/>
        <v>0</v>
      </c>
      <c r="U14" s="454">
        <f t="shared" si="11"/>
        <v>0</v>
      </c>
      <c r="V14" s="173">
        <f t="shared" si="12"/>
        <v>0</v>
      </c>
      <c r="W14" s="254"/>
      <c r="X14" s="254"/>
      <c r="Y14" s="254"/>
      <c r="Z14" s="254"/>
      <c r="AA14" s="254"/>
      <c r="AB14" s="254"/>
      <c r="AC14" s="254"/>
      <c r="AD14" s="254"/>
      <c r="AE14" s="254"/>
      <c r="AF14" s="254"/>
      <c r="AG14" s="454">
        <f t="shared" si="13"/>
        <v>0</v>
      </c>
      <c r="AH14" s="454">
        <f t="shared" si="14"/>
        <v>0</v>
      </c>
      <c r="AI14" s="454">
        <f t="shared" si="15"/>
        <v>0</v>
      </c>
      <c r="AJ14" s="173">
        <f t="shared" si="16"/>
        <v>0</v>
      </c>
      <c r="AK14" s="255"/>
      <c r="AL14" s="256"/>
      <c r="AM14" s="256"/>
      <c r="AN14" s="257"/>
      <c r="AO14" s="257"/>
      <c r="AP14" s="257"/>
      <c r="AQ14" s="270"/>
      <c r="AR14" s="270"/>
      <c r="AS14" s="270"/>
      <c r="AT14" s="270"/>
      <c r="AU14" s="280" t="e">
        <f t="shared" si="0"/>
        <v>#DIV/0!</v>
      </c>
      <c r="AV14" s="280" t="e">
        <f t="shared" si="1"/>
        <v>#DIV/0!</v>
      </c>
      <c r="AW14" s="490"/>
      <c r="AX14" s="490"/>
      <c r="AY14" s="490"/>
      <c r="AZ14" s="396">
        <f t="shared" si="17"/>
        <v>0</v>
      </c>
      <c r="BA14" s="490"/>
      <c r="BB14" s="490"/>
      <c r="BC14" s="490"/>
      <c r="BD14" s="396">
        <f t="shared" si="18"/>
        <v>0</v>
      </c>
      <c r="BE14" s="491"/>
      <c r="BF14" s="491"/>
      <c r="BG14" s="491"/>
      <c r="BH14" s="396">
        <f t="shared" si="19"/>
        <v>0</v>
      </c>
      <c r="BI14" s="493"/>
      <c r="BJ14" s="493"/>
      <c r="BK14" s="493"/>
      <c r="BL14" s="396">
        <f t="shared" si="20"/>
        <v>0</v>
      </c>
      <c r="BM14" s="281"/>
      <c r="BN14" s="281"/>
      <c r="BO14" s="281"/>
      <c r="BP14" s="396">
        <f t="shared" si="21"/>
        <v>0</v>
      </c>
      <c r="BQ14" s="281"/>
      <c r="BR14" s="281"/>
      <c r="BS14" s="281"/>
      <c r="BT14" s="396">
        <f t="shared" si="22"/>
        <v>0</v>
      </c>
      <c r="BU14" s="281"/>
      <c r="BV14" s="281"/>
      <c r="BW14" s="281"/>
      <c r="BX14" s="396">
        <f t="shared" si="23"/>
        <v>0</v>
      </c>
      <c r="BY14" s="281"/>
      <c r="BZ14" s="492"/>
      <c r="CA14" s="281"/>
      <c r="CB14" s="396">
        <f t="shared" si="24"/>
        <v>0</v>
      </c>
      <c r="CC14" s="281"/>
      <c r="CD14" s="281"/>
      <c r="CE14" s="281"/>
      <c r="CF14" s="396">
        <f t="shared" si="25"/>
        <v>0</v>
      </c>
      <c r="CG14" s="281"/>
      <c r="CH14" s="281"/>
      <c r="CI14" s="281"/>
      <c r="CJ14" s="396">
        <f t="shared" si="26"/>
        <v>0</v>
      </c>
      <c r="CK14" s="396" t="e">
        <f t="shared" si="27"/>
        <v>#DIV/0!</v>
      </c>
      <c r="CL14" s="396" t="e">
        <f t="shared" si="28"/>
        <v>#DIV/0!</v>
      </c>
      <c r="CM14" s="396" t="e">
        <f t="shared" si="29"/>
        <v>#DIV/0!</v>
      </c>
      <c r="CN14" s="396" t="e">
        <f t="shared" si="30"/>
        <v>#DIV/0!</v>
      </c>
      <c r="CO14" s="396" t="e">
        <f t="shared" si="4"/>
        <v>#DIV/0!</v>
      </c>
      <c r="CP14" s="396" t="e">
        <f t="shared" si="5"/>
        <v>#DIV/0!</v>
      </c>
      <c r="CQ14" s="396" t="e">
        <f t="shared" si="6"/>
        <v>#DIV/0!</v>
      </c>
      <c r="CR14" s="282" t="e">
        <f t="shared" si="31"/>
        <v>#DIV/0!</v>
      </c>
    </row>
    <row r="15" spans="1:99" x14ac:dyDescent="0.25">
      <c r="A15" s="272">
        <v>11</v>
      </c>
      <c r="B15" s="13" t="s">
        <v>149</v>
      </c>
      <c r="C15" s="163"/>
      <c r="D15" s="163"/>
      <c r="E15" s="418"/>
      <c r="F15" s="163"/>
      <c r="G15" s="163"/>
      <c r="H15" s="163"/>
      <c r="I15" s="163"/>
      <c r="J15" s="163"/>
      <c r="K15" s="163"/>
      <c r="L15" s="163"/>
      <c r="M15" s="163"/>
      <c r="N15" s="163"/>
      <c r="O15" s="163"/>
      <c r="P15" s="163"/>
      <c r="Q15" s="454">
        <f t="shared" si="7"/>
        <v>0</v>
      </c>
      <c r="R15" s="454">
        <f t="shared" si="8"/>
        <v>0</v>
      </c>
      <c r="S15" s="454">
        <f t="shared" si="9"/>
        <v>0</v>
      </c>
      <c r="T15" s="454">
        <f t="shared" si="10"/>
        <v>0</v>
      </c>
      <c r="U15" s="454">
        <f t="shared" si="11"/>
        <v>0</v>
      </c>
      <c r="V15" s="173">
        <f t="shared" si="12"/>
        <v>0</v>
      </c>
      <c r="W15" s="254"/>
      <c r="X15" s="254"/>
      <c r="Y15" s="254"/>
      <c r="Z15" s="254"/>
      <c r="AA15" s="254"/>
      <c r="AB15" s="254"/>
      <c r="AC15" s="254"/>
      <c r="AD15" s="254"/>
      <c r="AE15" s="254"/>
      <c r="AF15" s="254"/>
      <c r="AG15" s="454">
        <f t="shared" si="13"/>
        <v>0</v>
      </c>
      <c r="AH15" s="454">
        <f t="shared" si="14"/>
        <v>0</v>
      </c>
      <c r="AI15" s="454">
        <f t="shared" si="15"/>
        <v>0</v>
      </c>
      <c r="AJ15" s="173">
        <f t="shared" si="16"/>
        <v>0</v>
      </c>
      <c r="AK15" s="255"/>
      <c r="AL15" s="256"/>
      <c r="AM15" s="256"/>
      <c r="AN15" s="257"/>
      <c r="AO15" s="257"/>
      <c r="AP15" s="257"/>
      <c r="AQ15" s="270"/>
      <c r="AR15" s="270"/>
      <c r="AS15" s="270"/>
      <c r="AT15" s="270"/>
      <c r="AU15" s="280" t="e">
        <f t="shared" si="0"/>
        <v>#DIV/0!</v>
      </c>
      <c r="AV15" s="280" t="e">
        <f t="shared" si="1"/>
        <v>#DIV/0!</v>
      </c>
      <c r="AW15" s="490"/>
      <c r="AX15" s="490"/>
      <c r="AY15" s="490"/>
      <c r="AZ15" s="396">
        <f t="shared" si="17"/>
        <v>0</v>
      </c>
      <c r="BA15" s="490"/>
      <c r="BB15" s="490"/>
      <c r="BC15" s="490"/>
      <c r="BD15" s="396">
        <f t="shared" si="18"/>
        <v>0</v>
      </c>
      <c r="BE15" s="491"/>
      <c r="BF15" s="491"/>
      <c r="BG15" s="491"/>
      <c r="BH15" s="396">
        <f t="shared" si="19"/>
        <v>0</v>
      </c>
      <c r="BI15" s="493"/>
      <c r="BJ15" s="493"/>
      <c r="BK15" s="493"/>
      <c r="BL15" s="396">
        <f t="shared" si="20"/>
        <v>0</v>
      </c>
      <c r="BM15" s="281"/>
      <c r="BN15" s="281"/>
      <c r="BO15" s="281"/>
      <c r="BP15" s="396">
        <f t="shared" si="21"/>
        <v>0</v>
      </c>
      <c r="BQ15" s="281"/>
      <c r="BR15" s="281"/>
      <c r="BS15" s="281"/>
      <c r="BT15" s="396">
        <f t="shared" si="22"/>
        <v>0</v>
      </c>
      <c r="BU15" s="281"/>
      <c r="BV15" s="281"/>
      <c r="BW15" s="281"/>
      <c r="BX15" s="396">
        <f t="shared" si="23"/>
        <v>0</v>
      </c>
      <c r="BY15" s="281"/>
      <c r="BZ15" s="492"/>
      <c r="CA15" s="281"/>
      <c r="CB15" s="396">
        <f t="shared" si="24"/>
        <v>0</v>
      </c>
      <c r="CC15" s="281"/>
      <c r="CD15" s="281"/>
      <c r="CE15" s="281"/>
      <c r="CF15" s="396">
        <f t="shared" si="25"/>
        <v>0</v>
      </c>
      <c r="CG15" s="281"/>
      <c r="CH15" s="281"/>
      <c r="CI15" s="281"/>
      <c r="CJ15" s="396">
        <f t="shared" si="26"/>
        <v>0</v>
      </c>
      <c r="CK15" s="396" t="e">
        <f t="shared" si="27"/>
        <v>#DIV/0!</v>
      </c>
      <c r="CL15" s="396" t="e">
        <f t="shared" si="28"/>
        <v>#DIV/0!</v>
      </c>
      <c r="CM15" s="396" t="e">
        <f t="shared" si="29"/>
        <v>#DIV/0!</v>
      </c>
      <c r="CN15" s="396" t="e">
        <f t="shared" si="30"/>
        <v>#DIV/0!</v>
      </c>
      <c r="CO15" s="396" t="e">
        <f t="shared" si="4"/>
        <v>#DIV/0!</v>
      </c>
      <c r="CP15" s="396" t="e">
        <f t="shared" si="5"/>
        <v>#DIV/0!</v>
      </c>
      <c r="CQ15" s="396" t="e">
        <f t="shared" si="6"/>
        <v>#DIV/0!</v>
      </c>
      <c r="CR15" s="282" t="e">
        <f t="shared" si="31"/>
        <v>#DIV/0!</v>
      </c>
    </row>
    <row r="16" spans="1:99" x14ac:dyDescent="0.25">
      <c r="A16" s="13">
        <v>12</v>
      </c>
      <c r="B16" s="13" t="s">
        <v>150</v>
      </c>
      <c r="C16" s="163"/>
      <c r="D16" s="163"/>
      <c r="E16" s="418"/>
      <c r="F16" s="163"/>
      <c r="G16" s="163"/>
      <c r="H16" s="163"/>
      <c r="I16" s="163"/>
      <c r="J16" s="163"/>
      <c r="K16" s="163"/>
      <c r="L16" s="163"/>
      <c r="M16" s="163"/>
      <c r="N16" s="163"/>
      <c r="O16" s="163"/>
      <c r="P16" s="163"/>
      <c r="Q16" s="454">
        <f t="shared" si="7"/>
        <v>0</v>
      </c>
      <c r="R16" s="454">
        <f t="shared" si="8"/>
        <v>0</v>
      </c>
      <c r="S16" s="454">
        <f t="shared" si="9"/>
        <v>0</v>
      </c>
      <c r="T16" s="454">
        <f t="shared" si="10"/>
        <v>0</v>
      </c>
      <c r="U16" s="454">
        <f t="shared" si="11"/>
        <v>0</v>
      </c>
      <c r="V16" s="173">
        <f t="shared" si="12"/>
        <v>0</v>
      </c>
      <c r="W16" s="254"/>
      <c r="X16" s="254"/>
      <c r="Y16" s="254"/>
      <c r="Z16" s="254"/>
      <c r="AA16" s="254"/>
      <c r="AB16" s="254"/>
      <c r="AC16" s="254"/>
      <c r="AD16" s="254"/>
      <c r="AE16" s="254"/>
      <c r="AF16" s="254"/>
      <c r="AG16" s="454">
        <f t="shared" si="13"/>
        <v>0</v>
      </c>
      <c r="AH16" s="454">
        <f t="shared" si="14"/>
        <v>0</v>
      </c>
      <c r="AI16" s="454">
        <f t="shared" si="15"/>
        <v>0</v>
      </c>
      <c r="AJ16" s="173">
        <f t="shared" si="16"/>
        <v>0</v>
      </c>
      <c r="AK16" s="255"/>
      <c r="AL16" s="256"/>
      <c r="AM16" s="256"/>
      <c r="AN16" s="257"/>
      <c r="AO16" s="257"/>
      <c r="AP16" s="257"/>
      <c r="AQ16" s="270"/>
      <c r="AR16" s="270"/>
      <c r="AS16" s="270"/>
      <c r="AT16" s="270"/>
      <c r="AU16" s="280" t="e">
        <f t="shared" si="0"/>
        <v>#DIV/0!</v>
      </c>
      <c r="AV16" s="280" t="e">
        <f t="shared" si="1"/>
        <v>#DIV/0!</v>
      </c>
      <c r="AW16" s="490"/>
      <c r="AX16" s="490"/>
      <c r="AY16" s="490"/>
      <c r="AZ16" s="396">
        <f t="shared" si="17"/>
        <v>0</v>
      </c>
      <c r="BA16" s="490"/>
      <c r="BB16" s="490"/>
      <c r="BC16" s="490"/>
      <c r="BD16" s="396">
        <f t="shared" si="18"/>
        <v>0</v>
      </c>
      <c r="BE16" s="491"/>
      <c r="BF16" s="491"/>
      <c r="BG16" s="491"/>
      <c r="BH16" s="396">
        <f t="shared" si="19"/>
        <v>0</v>
      </c>
      <c r="BI16" s="493"/>
      <c r="BJ16" s="493"/>
      <c r="BK16" s="493"/>
      <c r="BL16" s="396">
        <f t="shared" si="20"/>
        <v>0</v>
      </c>
      <c r="BM16" s="281"/>
      <c r="BN16" s="281"/>
      <c r="BO16" s="281"/>
      <c r="BP16" s="396">
        <f t="shared" si="21"/>
        <v>0</v>
      </c>
      <c r="BQ16" s="281"/>
      <c r="BR16" s="281"/>
      <c r="BS16" s="281"/>
      <c r="BT16" s="396">
        <f t="shared" si="22"/>
        <v>0</v>
      </c>
      <c r="BU16" s="281"/>
      <c r="BV16" s="281"/>
      <c r="BW16" s="281"/>
      <c r="BX16" s="396">
        <f t="shared" si="23"/>
        <v>0</v>
      </c>
      <c r="BY16" s="281"/>
      <c r="BZ16" s="281"/>
      <c r="CA16" s="281"/>
      <c r="CB16" s="396">
        <f t="shared" si="24"/>
        <v>0</v>
      </c>
      <c r="CC16" s="281"/>
      <c r="CD16" s="281"/>
      <c r="CE16" s="281"/>
      <c r="CF16" s="396">
        <f t="shared" si="25"/>
        <v>0</v>
      </c>
      <c r="CG16" s="281"/>
      <c r="CH16" s="281"/>
      <c r="CI16" s="281"/>
      <c r="CJ16" s="396">
        <f t="shared" si="26"/>
        <v>0</v>
      </c>
      <c r="CK16" s="396" t="e">
        <f t="shared" si="27"/>
        <v>#DIV/0!</v>
      </c>
      <c r="CL16" s="396" t="e">
        <f t="shared" si="28"/>
        <v>#DIV/0!</v>
      </c>
      <c r="CM16" s="396" t="e">
        <f t="shared" si="29"/>
        <v>#DIV/0!</v>
      </c>
      <c r="CN16" s="396" t="e">
        <f t="shared" si="30"/>
        <v>#DIV/0!</v>
      </c>
      <c r="CO16" s="396" t="e">
        <f t="shared" si="4"/>
        <v>#DIV/0!</v>
      </c>
      <c r="CP16" s="396" t="e">
        <f t="shared" si="5"/>
        <v>#DIV/0!</v>
      </c>
      <c r="CQ16" s="396" t="e">
        <f t="shared" si="6"/>
        <v>#DIV/0!</v>
      </c>
      <c r="CR16" s="282" t="e">
        <f t="shared" si="31"/>
        <v>#DIV/0!</v>
      </c>
    </row>
    <row r="17" spans="1:97" x14ac:dyDescent="0.25">
      <c r="A17" s="272">
        <v>13</v>
      </c>
      <c r="B17" s="13" t="s">
        <v>151</v>
      </c>
      <c r="C17" s="163"/>
      <c r="D17" s="163"/>
      <c r="E17" s="418"/>
      <c r="F17" s="163"/>
      <c r="G17" s="163"/>
      <c r="H17" s="163"/>
      <c r="I17" s="163"/>
      <c r="J17" s="163"/>
      <c r="K17" s="163"/>
      <c r="L17" s="163"/>
      <c r="M17" s="163"/>
      <c r="N17" s="163"/>
      <c r="O17" s="163"/>
      <c r="P17" s="163"/>
      <c r="Q17" s="454">
        <f t="shared" si="7"/>
        <v>0</v>
      </c>
      <c r="R17" s="454">
        <f t="shared" si="8"/>
        <v>0</v>
      </c>
      <c r="S17" s="454">
        <f t="shared" si="9"/>
        <v>0</v>
      </c>
      <c r="T17" s="454">
        <f t="shared" si="10"/>
        <v>0</v>
      </c>
      <c r="U17" s="454">
        <f t="shared" si="11"/>
        <v>0</v>
      </c>
      <c r="V17" s="173">
        <f t="shared" si="12"/>
        <v>0</v>
      </c>
      <c r="W17" s="254"/>
      <c r="X17" s="254"/>
      <c r="Y17" s="254"/>
      <c r="Z17" s="254"/>
      <c r="AA17" s="254"/>
      <c r="AB17" s="254"/>
      <c r="AC17" s="254"/>
      <c r="AD17" s="254"/>
      <c r="AE17" s="254"/>
      <c r="AF17" s="254"/>
      <c r="AG17" s="454">
        <f t="shared" si="13"/>
        <v>0</v>
      </c>
      <c r="AH17" s="454">
        <f t="shared" si="14"/>
        <v>0</v>
      </c>
      <c r="AI17" s="454">
        <f t="shared" si="15"/>
        <v>0</v>
      </c>
      <c r="AJ17" s="173">
        <f t="shared" si="16"/>
        <v>0</v>
      </c>
      <c r="AK17" s="255"/>
      <c r="AL17" s="256"/>
      <c r="AM17" s="256"/>
      <c r="AN17" s="257"/>
      <c r="AO17" s="257"/>
      <c r="AP17" s="257"/>
      <c r="AQ17" s="270"/>
      <c r="AR17" s="270"/>
      <c r="AS17" s="270"/>
      <c r="AT17" s="270"/>
      <c r="AU17" s="280" t="e">
        <f t="shared" si="0"/>
        <v>#DIV/0!</v>
      </c>
      <c r="AV17" s="280" t="e">
        <f t="shared" si="1"/>
        <v>#DIV/0!</v>
      </c>
      <c r="AW17" s="490"/>
      <c r="AX17" s="490"/>
      <c r="AY17" s="490"/>
      <c r="AZ17" s="396">
        <f t="shared" si="17"/>
        <v>0</v>
      </c>
      <c r="BA17" s="490"/>
      <c r="BB17" s="490"/>
      <c r="BC17" s="490"/>
      <c r="BD17" s="396">
        <f t="shared" si="18"/>
        <v>0</v>
      </c>
      <c r="BE17" s="491"/>
      <c r="BF17" s="491"/>
      <c r="BG17" s="491"/>
      <c r="BH17" s="396">
        <f t="shared" si="19"/>
        <v>0</v>
      </c>
      <c r="BI17" s="493"/>
      <c r="BJ17" s="493"/>
      <c r="BK17" s="493"/>
      <c r="BL17" s="396">
        <f t="shared" si="20"/>
        <v>0</v>
      </c>
      <c r="BM17" s="281"/>
      <c r="BN17" s="281"/>
      <c r="BO17" s="281"/>
      <c r="BP17" s="396">
        <f t="shared" si="21"/>
        <v>0</v>
      </c>
      <c r="BQ17" s="281"/>
      <c r="BR17" s="281"/>
      <c r="BS17" s="281"/>
      <c r="BT17" s="396">
        <f t="shared" si="22"/>
        <v>0</v>
      </c>
      <c r="BU17" s="281"/>
      <c r="BV17" s="281"/>
      <c r="BW17" s="281"/>
      <c r="BX17" s="396">
        <f t="shared" si="23"/>
        <v>0</v>
      </c>
      <c r="BY17" s="281"/>
      <c r="BZ17" s="281"/>
      <c r="CA17" s="281"/>
      <c r="CB17" s="396">
        <f t="shared" si="24"/>
        <v>0</v>
      </c>
      <c r="CC17" s="281"/>
      <c r="CD17" s="281"/>
      <c r="CE17" s="281"/>
      <c r="CF17" s="396">
        <f t="shared" si="25"/>
        <v>0</v>
      </c>
      <c r="CG17" s="281"/>
      <c r="CH17" s="281"/>
      <c r="CI17" s="281"/>
      <c r="CJ17" s="396">
        <f t="shared" si="26"/>
        <v>0</v>
      </c>
      <c r="CK17" s="396" t="e">
        <f t="shared" si="27"/>
        <v>#DIV/0!</v>
      </c>
      <c r="CL17" s="396" t="e">
        <f t="shared" si="28"/>
        <v>#DIV/0!</v>
      </c>
      <c r="CM17" s="396" t="e">
        <f t="shared" si="29"/>
        <v>#DIV/0!</v>
      </c>
      <c r="CN17" s="396" t="e">
        <f t="shared" si="30"/>
        <v>#DIV/0!</v>
      </c>
      <c r="CO17" s="396" t="e">
        <f t="shared" si="4"/>
        <v>#DIV/0!</v>
      </c>
      <c r="CP17" s="396" t="e">
        <f t="shared" si="5"/>
        <v>#DIV/0!</v>
      </c>
      <c r="CQ17" s="396" t="e">
        <f t="shared" si="6"/>
        <v>#DIV/0!</v>
      </c>
      <c r="CR17" s="282" t="e">
        <f t="shared" si="31"/>
        <v>#DIV/0!</v>
      </c>
    </row>
    <row r="18" spans="1:97" x14ac:dyDescent="0.25">
      <c r="A18" s="13">
        <v>14</v>
      </c>
      <c r="B18" s="13" t="s">
        <v>152</v>
      </c>
      <c r="C18" s="163"/>
      <c r="D18" s="163"/>
      <c r="E18" s="418"/>
      <c r="F18" s="163"/>
      <c r="G18" s="163"/>
      <c r="H18" s="163"/>
      <c r="I18" s="163"/>
      <c r="J18" s="163"/>
      <c r="K18" s="163"/>
      <c r="L18" s="163"/>
      <c r="M18" s="163"/>
      <c r="N18" s="163"/>
      <c r="O18" s="163"/>
      <c r="P18" s="163"/>
      <c r="Q18" s="454">
        <f t="shared" si="7"/>
        <v>0</v>
      </c>
      <c r="R18" s="454">
        <f t="shared" si="8"/>
        <v>0</v>
      </c>
      <c r="S18" s="454">
        <f t="shared" si="9"/>
        <v>0</v>
      </c>
      <c r="T18" s="454">
        <f t="shared" si="10"/>
        <v>0</v>
      </c>
      <c r="U18" s="454">
        <f t="shared" si="11"/>
        <v>0</v>
      </c>
      <c r="V18" s="173">
        <f t="shared" si="12"/>
        <v>0</v>
      </c>
      <c r="W18" s="254"/>
      <c r="X18" s="254"/>
      <c r="Y18" s="254"/>
      <c r="Z18" s="254"/>
      <c r="AA18" s="254"/>
      <c r="AB18" s="254"/>
      <c r="AC18" s="254"/>
      <c r="AD18" s="254"/>
      <c r="AE18" s="254"/>
      <c r="AF18" s="254"/>
      <c r="AG18" s="454">
        <f t="shared" si="13"/>
        <v>0</v>
      </c>
      <c r="AH18" s="454">
        <f t="shared" si="14"/>
        <v>0</v>
      </c>
      <c r="AI18" s="454">
        <f t="shared" si="15"/>
        <v>0</v>
      </c>
      <c r="AJ18" s="173">
        <f t="shared" si="16"/>
        <v>0</v>
      </c>
      <c r="AK18" s="255"/>
      <c r="AL18" s="258"/>
      <c r="AM18" s="256"/>
      <c r="AN18" s="257"/>
      <c r="AO18" s="257"/>
      <c r="AP18" s="257"/>
      <c r="AQ18" s="270"/>
      <c r="AR18" s="270"/>
      <c r="AS18" s="270"/>
      <c r="AT18" s="270"/>
      <c r="AU18" s="280" t="e">
        <f t="shared" si="0"/>
        <v>#DIV/0!</v>
      </c>
      <c r="AV18" s="280" t="e">
        <f t="shared" si="1"/>
        <v>#DIV/0!</v>
      </c>
      <c r="AW18" s="490"/>
      <c r="AX18" s="490"/>
      <c r="AY18" s="490"/>
      <c r="AZ18" s="396">
        <f t="shared" si="17"/>
        <v>0</v>
      </c>
      <c r="BA18" s="490"/>
      <c r="BB18" s="490"/>
      <c r="BC18" s="490"/>
      <c r="BD18" s="396">
        <f t="shared" si="18"/>
        <v>0</v>
      </c>
      <c r="BE18" s="491"/>
      <c r="BF18" s="491"/>
      <c r="BG18" s="491"/>
      <c r="BH18" s="396">
        <f t="shared" si="19"/>
        <v>0</v>
      </c>
      <c r="BI18" s="493"/>
      <c r="BJ18" s="493"/>
      <c r="BK18" s="493"/>
      <c r="BL18" s="396">
        <f t="shared" si="20"/>
        <v>0</v>
      </c>
      <c r="BM18" s="281"/>
      <c r="BN18" s="281"/>
      <c r="BO18" s="281"/>
      <c r="BP18" s="396">
        <f t="shared" si="21"/>
        <v>0</v>
      </c>
      <c r="BQ18" s="281"/>
      <c r="BR18" s="281"/>
      <c r="BS18" s="281"/>
      <c r="BT18" s="396">
        <f t="shared" si="22"/>
        <v>0</v>
      </c>
      <c r="BU18" s="281"/>
      <c r="BV18" s="281"/>
      <c r="BW18" s="281"/>
      <c r="BX18" s="396">
        <f t="shared" si="23"/>
        <v>0</v>
      </c>
      <c r="BY18" s="281"/>
      <c r="BZ18" s="281"/>
      <c r="CA18" s="281"/>
      <c r="CB18" s="396">
        <f t="shared" si="24"/>
        <v>0</v>
      </c>
      <c r="CC18" s="281"/>
      <c r="CD18" s="281"/>
      <c r="CE18" s="281"/>
      <c r="CF18" s="396">
        <f t="shared" si="25"/>
        <v>0</v>
      </c>
      <c r="CG18" s="281"/>
      <c r="CH18" s="281"/>
      <c r="CI18" s="281"/>
      <c r="CJ18" s="396">
        <f t="shared" si="26"/>
        <v>0</v>
      </c>
      <c r="CK18" s="396" t="e">
        <f t="shared" si="27"/>
        <v>#DIV/0!</v>
      </c>
      <c r="CL18" s="396" t="e">
        <f t="shared" si="28"/>
        <v>#DIV/0!</v>
      </c>
      <c r="CM18" s="396" t="e">
        <f t="shared" si="29"/>
        <v>#DIV/0!</v>
      </c>
      <c r="CN18" s="396" t="e">
        <f t="shared" si="30"/>
        <v>#DIV/0!</v>
      </c>
      <c r="CO18" s="396" t="e">
        <f t="shared" si="4"/>
        <v>#DIV/0!</v>
      </c>
      <c r="CP18" s="396" t="e">
        <f t="shared" si="5"/>
        <v>#DIV/0!</v>
      </c>
      <c r="CQ18" s="396" t="e">
        <f t="shared" si="6"/>
        <v>#DIV/0!</v>
      </c>
      <c r="CR18" s="282" t="e">
        <f t="shared" si="31"/>
        <v>#DIV/0!</v>
      </c>
    </row>
    <row r="19" spans="1:97" x14ac:dyDescent="0.25">
      <c r="A19" s="272">
        <v>15</v>
      </c>
      <c r="B19" s="13" t="s">
        <v>153</v>
      </c>
      <c r="C19" s="163"/>
      <c r="D19" s="163"/>
      <c r="E19" s="418"/>
      <c r="F19" s="163"/>
      <c r="G19" s="163"/>
      <c r="H19" s="163"/>
      <c r="I19" s="163"/>
      <c r="J19" s="163"/>
      <c r="K19" s="163"/>
      <c r="L19" s="163"/>
      <c r="M19" s="163"/>
      <c r="N19" s="163"/>
      <c r="O19" s="163"/>
      <c r="P19" s="163"/>
      <c r="Q19" s="454">
        <f t="shared" si="7"/>
        <v>0</v>
      </c>
      <c r="R19" s="454">
        <f t="shared" si="8"/>
        <v>0</v>
      </c>
      <c r="S19" s="454">
        <f t="shared" si="9"/>
        <v>0</v>
      </c>
      <c r="T19" s="454">
        <f t="shared" si="10"/>
        <v>0</v>
      </c>
      <c r="U19" s="454">
        <f t="shared" si="11"/>
        <v>0</v>
      </c>
      <c r="V19" s="173">
        <f t="shared" si="12"/>
        <v>0</v>
      </c>
      <c r="W19" s="254"/>
      <c r="X19" s="254"/>
      <c r="Y19" s="254"/>
      <c r="Z19" s="254"/>
      <c r="AA19" s="254"/>
      <c r="AB19" s="254"/>
      <c r="AC19" s="254"/>
      <c r="AD19" s="254"/>
      <c r="AE19" s="254"/>
      <c r="AF19" s="254"/>
      <c r="AG19" s="454">
        <f t="shared" si="13"/>
        <v>0</v>
      </c>
      <c r="AH19" s="454">
        <f t="shared" si="14"/>
        <v>0</v>
      </c>
      <c r="AI19" s="454">
        <f t="shared" si="15"/>
        <v>0</v>
      </c>
      <c r="AJ19" s="173">
        <f t="shared" si="16"/>
        <v>0</v>
      </c>
      <c r="AK19" s="255"/>
      <c r="AL19" s="256"/>
      <c r="AM19" s="256"/>
      <c r="AN19" s="256"/>
      <c r="AO19" s="256"/>
      <c r="AP19" s="256"/>
      <c r="AQ19" s="270"/>
      <c r="AR19" s="270"/>
      <c r="AS19" s="270"/>
      <c r="AT19" s="270"/>
      <c r="AU19" s="280" t="e">
        <f t="shared" si="0"/>
        <v>#DIV/0!</v>
      </c>
      <c r="AV19" s="280" t="e">
        <f t="shared" si="1"/>
        <v>#DIV/0!</v>
      </c>
      <c r="AW19" s="490"/>
      <c r="AX19" s="490"/>
      <c r="AY19" s="490"/>
      <c r="AZ19" s="396">
        <f t="shared" si="17"/>
        <v>0</v>
      </c>
      <c r="BA19" s="490"/>
      <c r="BB19" s="490"/>
      <c r="BC19" s="490"/>
      <c r="BD19" s="396">
        <f t="shared" si="18"/>
        <v>0</v>
      </c>
      <c r="BE19" s="491"/>
      <c r="BF19" s="491"/>
      <c r="BG19" s="491"/>
      <c r="BH19" s="396">
        <f t="shared" si="19"/>
        <v>0</v>
      </c>
      <c r="BI19" s="493"/>
      <c r="BJ19" s="493"/>
      <c r="BK19" s="493"/>
      <c r="BL19" s="396">
        <f t="shared" si="20"/>
        <v>0</v>
      </c>
      <c r="BM19" s="281"/>
      <c r="BN19" s="281"/>
      <c r="BO19" s="281"/>
      <c r="BP19" s="396">
        <f t="shared" si="21"/>
        <v>0</v>
      </c>
      <c r="BQ19" s="281"/>
      <c r="BR19" s="281"/>
      <c r="BS19" s="281"/>
      <c r="BT19" s="396">
        <f t="shared" si="22"/>
        <v>0</v>
      </c>
      <c r="BU19" s="281"/>
      <c r="BV19" s="281"/>
      <c r="BW19" s="281"/>
      <c r="BX19" s="396">
        <f t="shared" si="23"/>
        <v>0</v>
      </c>
      <c r="BY19" s="281"/>
      <c r="BZ19" s="281"/>
      <c r="CA19" s="281"/>
      <c r="CB19" s="396">
        <f t="shared" si="24"/>
        <v>0</v>
      </c>
      <c r="CC19" s="281"/>
      <c r="CD19" s="281"/>
      <c r="CE19" s="281"/>
      <c r="CF19" s="396">
        <f t="shared" si="25"/>
        <v>0</v>
      </c>
      <c r="CG19" s="281"/>
      <c r="CH19" s="281"/>
      <c r="CI19" s="281"/>
      <c r="CJ19" s="396">
        <f t="shared" si="26"/>
        <v>0</v>
      </c>
      <c r="CK19" s="396" t="e">
        <f t="shared" si="27"/>
        <v>#DIV/0!</v>
      </c>
      <c r="CL19" s="396" t="e">
        <f t="shared" si="28"/>
        <v>#DIV/0!</v>
      </c>
      <c r="CM19" s="396" t="e">
        <f t="shared" si="29"/>
        <v>#DIV/0!</v>
      </c>
      <c r="CN19" s="396" t="e">
        <f t="shared" si="30"/>
        <v>#DIV/0!</v>
      </c>
      <c r="CO19" s="396" t="e">
        <f t="shared" si="4"/>
        <v>#DIV/0!</v>
      </c>
      <c r="CP19" s="396" t="e">
        <f t="shared" si="5"/>
        <v>#DIV/0!</v>
      </c>
      <c r="CQ19" s="396" t="e">
        <f t="shared" si="6"/>
        <v>#DIV/0!</v>
      </c>
      <c r="CR19" s="282" t="e">
        <f t="shared" si="31"/>
        <v>#DIV/0!</v>
      </c>
    </row>
    <row r="20" spans="1:97" x14ac:dyDescent="0.25">
      <c r="A20" s="13">
        <v>16</v>
      </c>
      <c r="B20" s="13" t="s">
        <v>154</v>
      </c>
      <c r="C20" s="163"/>
      <c r="D20" s="163"/>
      <c r="E20" s="418"/>
      <c r="F20" s="163"/>
      <c r="G20" s="163"/>
      <c r="H20" s="163"/>
      <c r="I20" s="163"/>
      <c r="J20" s="163"/>
      <c r="K20" s="163"/>
      <c r="L20" s="163"/>
      <c r="M20" s="163"/>
      <c r="N20" s="163"/>
      <c r="O20" s="163"/>
      <c r="P20" s="163"/>
      <c r="Q20" s="454">
        <f t="shared" si="7"/>
        <v>0</v>
      </c>
      <c r="R20" s="454">
        <f t="shared" si="8"/>
        <v>0</v>
      </c>
      <c r="S20" s="454">
        <f t="shared" si="9"/>
        <v>0</v>
      </c>
      <c r="T20" s="454">
        <f t="shared" si="10"/>
        <v>0</v>
      </c>
      <c r="U20" s="454">
        <f t="shared" si="11"/>
        <v>0</v>
      </c>
      <c r="V20" s="173">
        <f t="shared" si="12"/>
        <v>0</v>
      </c>
      <c r="W20" s="254"/>
      <c r="X20" s="254"/>
      <c r="Y20" s="254"/>
      <c r="Z20" s="254"/>
      <c r="AA20" s="254"/>
      <c r="AB20" s="254"/>
      <c r="AC20" s="254"/>
      <c r="AD20" s="254"/>
      <c r="AE20" s="254"/>
      <c r="AF20" s="254"/>
      <c r="AG20" s="454">
        <f t="shared" si="13"/>
        <v>0</v>
      </c>
      <c r="AH20" s="454">
        <f t="shared" si="14"/>
        <v>0</v>
      </c>
      <c r="AI20" s="454">
        <f t="shared" si="15"/>
        <v>0</v>
      </c>
      <c r="AJ20" s="173">
        <f t="shared" si="16"/>
        <v>0</v>
      </c>
      <c r="AK20" s="255"/>
      <c r="AL20" s="256"/>
      <c r="AM20" s="256"/>
      <c r="AN20" s="256"/>
      <c r="AO20" s="256"/>
      <c r="AP20" s="256"/>
      <c r="AQ20" s="270"/>
      <c r="AR20" s="270"/>
      <c r="AS20" s="270"/>
      <c r="AT20" s="270"/>
      <c r="AU20" s="280" t="e">
        <f t="shared" si="0"/>
        <v>#DIV/0!</v>
      </c>
      <c r="AV20" s="280" t="e">
        <f t="shared" si="1"/>
        <v>#DIV/0!</v>
      </c>
      <c r="AW20" s="490"/>
      <c r="AX20" s="490"/>
      <c r="AY20" s="490"/>
      <c r="AZ20" s="396">
        <f t="shared" si="17"/>
        <v>0</v>
      </c>
      <c r="BA20" s="490"/>
      <c r="BB20" s="490"/>
      <c r="BC20" s="490"/>
      <c r="BD20" s="396">
        <f t="shared" si="18"/>
        <v>0</v>
      </c>
      <c r="BE20" s="491"/>
      <c r="BF20" s="491"/>
      <c r="BG20" s="491"/>
      <c r="BH20" s="396">
        <f t="shared" si="19"/>
        <v>0</v>
      </c>
      <c r="BI20" s="493"/>
      <c r="BJ20" s="493"/>
      <c r="BK20" s="493"/>
      <c r="BL20" s="396">
        <f t="shared" si="20"/>
        <v>0</v>
      </c>
      <c r="BM20" s="281"/>
      <c r="BN20" s="281"/>
      <c r="BO20" s="281"/>
      <c r="BP20" s="396">
        <f t="shared" si="21"/>
        <v>0</v>
      </c>
      <c r="BQ20" s="281"/>
      <c r="BR20" s="281"/>
      <c r="BS20" s="281"/>
      <c r="BT20" s="396">
        <f t="shared" si="22"/>
        <v>0</v>
      </c>
      <c r="BU20" s="281"/>
      <c r="BV20" s="281"/>
      <c r="BW20" s="281"/>
      <c r="BX20" s="396">
        <f t="shared" si="23"/>
        <v>0</v>
      </c>
      <c r="BY20" s="281"/>
      <c r="BZ20" s="281"/>
      <c r="CA20" s="281"/>
      <c r="CB20" s="396">
        <f t="shared" si="24"/>
        <v>0</v>
      </c>
      <c r="CC20" s="281"/>
      <c r="CD20" s="281"/>
      <c r="CE20" s="281"/>
      <c r="CF20" s="396">
        <f t="shared" si="25"/>
        <v>0</v>
      </c>
      <c r="CG20" s="281"/>
      <c r="CH20" s="281"/>
      <c r="CI20" s="281"/>
      <c r="CJ20" s="396">
        <f t="shared" si="26"/>
        <v>0</v>
      </c>
      <c r="CK20" s="396" t="e">
        <f t="shared" si="27"/>
        <v>#DIV/0!</v>
      </c>
      <c r="CL20" s="396" t="e">
        <f t="shared" si="28"/>
        <v>#DIV/0!</v>
      </c>
      <c r="CM20" s="396" t="e">
        <f t="shared" si="29"/>
        <v>#DIV/0!</v>
      </c>
      <c r="CN20" s="396" t="e">
        <f t="shared" si="30"/>
        <v>#DIV/0!</v>
      </c>
      <c r="CO20" s="396" t="e">
        <f t="shared" si="4"/>
        <v>#DIV/0!</v>
      </c>
      <c r="CP20" s="396" t="e">
        <f t="shared" si="5"/>
        <v>#DIV/0!</v>
      </c>
      <c r="CQ20" s="396" t="e">
        <f t="shared" si="6"/>
        <v>#DIV/0!</v>
      </c>
      <c r="CR20" s="282" t="e">
        <f t="shared" si="31"/>
        <v>#DIV/0!</v>
      </c>
    </row>
    <row r="21" spans="1:97" x14ac:dyDescent="0.25">
      <c r="A21" s="272">
        <v>17</v>
      </c>
      <c r="B21" s="13" t="s">
        <v>155</v>
      </c>
      <c r="C21" s="163"/>
      <c r="D21" s="163"/>
      <c r="E21" s="418"/>
      <c r="F21" s="163"/>
      <c r="G21" s="163"/>
      <c r="H21" s="163"/>
      <c r="I21" s="163"/>
      <c r="J21" s="163"/>
      <c r="K21" s="163"/>
      <c r="L21" s="163"/>
      <c r="M21" s="163"/>
      <c r="N21" s="163"/>
      <c r="O21" s="163"/>
      <c r="P21" s="163"/>
      <c r="Q21" s="454">
        <f t="shared" si="7"/>
        <v>0</v>
      </c>
      <c r="R21" s="454">
        <f t="shared" si="8"/>
        <v>0</v>
      </c>
      <c r="S21" s="454">
        <f t="shared" si="9"/>
        <v>0</v>
      </c>
      <c r="T21" s="454">
        <f t="shared" si="10"/>
        <v>0</v>
      </c>
      <c r="U21" s="454">
        <f t="shared" si="11"/>
        <v>0</v>
      </c>
      <c r="V21" s="173">
        <f t="shared" si="12"/>
        <v>0</v>
      </c>
      <c r="W21" s="254"/>
      <c r="X21" s="254"/>
      <c r="Y21" s="254"/>
      <c r="Z21" s="254"/>
      <c r="AA21" s="254"/>
      <c r="AB21" s="254"/>
      <c r="AC21" s="254"/>
      <c r="AD21" s="254"/>
      <c r="AE21" s="254"/>
      <c r="AF21" s="254"/>
      <c r="AG21" s="454">
        <f t="shared" si="13"/>
        <v>0</v>
      </c>
      <c r="AH21" s="454">
        <f t="shared" si="14"/>
        <v>0</v>
      </c>
      <c r="AI21" s="454">
        <f t="shared" si="15"/>
        <v>0</v>
      </c>
      <c r="AJ21" s="173">
        <f t="shared" si="16"/>
        <v>0</v>
      </c>
      <c r="AK21" s="255"/>
      <c r="AL21" s="258"/>
      <c r="AM21" s="256"/>
      <c r="AN21" s="258"/>
      <c r="AO21" s="258"/>
      <c r="AP21" s="256"/>
      <c r="AQ21" s="270"/>
      <c r="AR21" s="270"/>
      <c r="AS21" s="270"/>
      <c r="AT21" s="270"/>
      <c r="AU21" s="280" t="e">
        <f t="shared" si="0"/>
        <v>#DIV/0!</v>
      </c>
      <c r="AV21" s="280" t="e">
        <f t="shared" si="1"/>
        <v>#DIV/0!</v>
      </c>
      <c r="AW21" s="490"/>
      <c r="AX21" s="490"/>
      <c r="AY21" s="490"/>
      <c r="AZ21" s="396">
        <f t="shared" si="17"/>
        <v>0</v>
      </c>
      <c r="BA21" s="490"/>
      <c r="BB21" s="490"/>
      <c r="BC21" s="490"/>
      <c r="BD21" s="396">
        <f t="shared" si="18"/>
        <v>0</v>
      </c>
      <c r="BE21" s="491"/>
      <c r="BF21" s="491"/>
      <c r="BG21" s="491"/>
      <c r="BH21" s="396">
        <f t="shared" si="19"/>
        <v>0</v>
      </c>
      <c r="BI21" s="493"/>
      <c r="BJ21" s="493"/>
      <c r="BK21" s="493"/>
      <c r="BL21" s="396">
        <f t="shared" si="20"/>
        <v>0</v>
      </c>
      <c r="BM21" s="281"/>
      <c r="BN21" s="281"/>
      <c r="BO21" s="281"/>
      <c r="BP21" s="396">
        <f t="shared" si="21"/>
        <v>0</v>
      </c>
      <c r="BQ21" s="281"/>
      <c r="BR21" s="281"/>
      <c r="BS21" s="281"/>
      <c r="BT21" s="396">
        <f t="shared" si="22"/>
        <v>0</v>
      </c>
      <c r="BU21" s="281"/>
      <c r="BV21" s="281"/>
      <c r="BW21" s="281"/>
      <c r="BX21" s="396">
        <f t="shared" si="23"/>
        <v>0</v>
      </c>
      <c r="BY21" s="281"/>
      <c r="BZ21" s="281"/>
      <c r="CA21" s="281"/>
      <c r="CB21" s="396">
        <f t="shared" si="24"/>
        <v>0</v>
      </c>
      <c r="CC21" s="281"/>
      <c r="CD21" s="281"/>
      <c r="CE21" s="281"/>
      <c r="CF21" s="396">
        <f t="shared" si="25"/>
        <v>0</v>
      </c>
      <c r="CG21" s="281"/>
      <c r="CH21" s="281"/>
      <c r="CI21" s="281"/>
      <c r="CJ21" s="396">
        <f t="shared" si="26"/>
        <v>0</v>
      </c>
      <c r="CK21" s="396" t="e">
        <f t="shared" si="27"/>
        <v>#DIV/0!</v>
      </c>
      <c r="CL21" s="396" t="e">
        <f t="shared" si="28"/>
        <v>#DIV/0!</v>
      </c>
      <c r="CM21" s="396" t="e">
        <f t="shared" si="29"/>
        <v>#DIV/0!</v>
      </c>
      <c r="CN21" s="396" t="e">
        <f t="shared" si="30"/>
        <v>#DIV/0!</v>
      </c>
      <c r="CO21" s="396" t="e">
        <f t="shared" si="4"/>
        <v>#DIV/0!</v>
      </c>
      <c r="CP21" s="396" t="e">
        <f t="shared" si="5"/>
        <v>#DIV/0!</v>
      </c>
      <c r="CQ21" s="396" t="e">
        <f t="shared" si="6"/>
        <v>#DIV/0!</v>
      </c>
      <c r="CR21" s="282" t="e">
        <f t="shared" si="31"/>
        <v>#DIV/0!</v>
      </c>
    </row>
    <row r="22" spans="1:97" x14ac:dyDescent="0.25">
      <c r="A22" s="13">
        <v>18</v>
      </c>
      <c r="B22" s="13" t="s">
        <v>156</v>
      </c>
      <c r="C22" s="163"/>
      <c r="D22" s="163"/>
      <c r="E22" s="418"/>
      <c r="F22" s="163"/>
      <c r="G22" s="163"/>
      <c r="H22" s="163"/>
      <c r="I22" s="163"/>
      <c r="J22" s="163"/>
      <c r="K22" s="163"/>
      <c r="L22" s="163"/>
      <c r="M22" s="163"/>
      <c r="N22" s="163"/>
      <c r="O22" s="163"/>
      <c r="P22" s="163"/>
      <c r="Q22" s="454">
        <f t="shared" si="7"/>
        <v>0</v>
      </c>
      <c r="R22" s="454">
        <f t="shared" si="8"/>
        <v>0</v>
      </c>
      <c r="S22" s="454">
        <f t="shared" si="9"/>
        <v>0</v>
      </c>
      <c r="T22" s="454">
        <f t="shared" si="10"/>
        <v>0</v>
      </c>
      <c r="U22" s="454">
        <f t="shared" si="11"/>
        <v>0</v>
      </c>
      <c r="V22" s="173">
        <f t="shared" si="12"/>
        <v>0</v>
      </c>
      <c r="W22" s="254"/>
      <c r="X22" s="254"/>
      <c r="Y22" s="254"/>
      <c r="Z22" s="254"/>
      <c r="AA22" s="254"/>
      <c r="AB22" s="254"/>
      <c r="AC22" s="254"/>
      <c r="AD22" s="254"/>
      <c r="AE22" s="254"/>
      <c r="AF22" s="254"/>
      <c r="AG22" s="454">
        <f t="shared" si="13"/>
        <v>0</v>
      </c>
      <c r="AH22" s="454">
        <f t="shared" si="14"/>
        <v>0</v>
      </c>
      <c r="AI22" s="454">
        <f t="shared" si="15"/>
        <v>0</v>
      </c>
      <c r="AJ22" s="173">
        <f t="shared" si="16"/>
        <v>0</v>
      </c>
      <c r="AK22" s="255"/>
      <c r="AL22" s="256"/>
      <c r="AM22" s="256"/>
      <c r="AN22" s="257"/>
      <c r="AO22" s="257"/>
      <c r="AP22" s="257"/>
      <c r="AQ22" s="270"/>
      <c r="AR22" s="270"/>
      <c r="AS22" s="270"/>
      <c r="AT22" s="270"/>
      <c r="AU22" s="280" t="e">
        <f t="shared" si="0"/>
        <v>#DIV/0!</v>
      </c>
      <c r="AV22" s="280" t="e">
        <f t="shared" si="1"/>
        <v>#DIV/0!</v>
      </c>
      <c r="AW22" s="490"/>
      <c r="AX22" s="490"/>
      <c r="AY22" s="490"/>
      <c r="AZ22" s="396">
        <f t="shared" si="17"/>
        <v>0</v>
      </c>
      <c r="BA22" s="490"/>
      <c r="BB22" s="490"/>
      <c r="BC22" s="490"/>
      <c r="BD22" s="396">
        <f t="shared" si="18"/>
        <v>0</v>
      </c>
      <c r="BE22" s="491"/>
      <c r="BF22" s="491"/>
      <c r="BG22" s="491"/>
      <c r="BH22" s="396">
        <f t="shared" si="19"/>
        <v>0</v>
      </c>
      <c r="BI22" s="493"/>
      <c r="BJ22" s="493"/>
      <c r="BK22" s="493"/>
      <c r="BL22" s="396">
        <f t="shared" si="20"/>
        <v>0</v>
      </c>
      <c r="BM22" s="281"/>
      <c r="BN22" s="281"/>
      <c r="BO22" s="281"/>
      <c r="BP22" s="396">
        <f t="shared" si="21"/>
        <v>0</v>
      </c>
      <c r="BQ22" s="281"/>
      <c r="BR22" s="281"/>
      <c r="BS22" s="281"/>
      <c r="BT22" s="396">
        <f t="shared" si="22"/>
        <v>0</v>
      </c>
      <c r="BU22" s="281"/>
      <c r="BV22" s="281"/>
      <c r="BW22" s="281"/>
      <c r="BX22" s="396">
        <f t="shared" si="23"/>
        <v>0</v>
      </c>
      <c r="BY22" s="281"/>
      <c r="BZ22" s="281"/>
      <c r="CA22" s="281"/>
      <c r="CB22" s="396">
        <f t="shared" si="24"/>
        <v>0</v>
      </c>
      <c r="CC22" s="281"/>
      <c r="CD22" s="281"/>
      <c r="CE22" s="281"/>
      <c r="CF22" s="396">
        <f t="shared" si="25"/>
        <v>0</v>
      </c>
      <c r="CG22" s="281"/>
      <c r="CH22" s="281"/>
      <c r="CI22" s="281"/>
      <c r="CJ22" s="396">
        <f t="shared" si="26"/>
        <v>0</v>
      </c>
      <c r="CK22" s="396" t="e">
        <f t="shared" si="27"/>
        <v>#DIV/0!</v>
      </c>
      <c r="CL22" s="396" t="e">
        <f t="shared" si="28"/>
        <v>#DIV/0!</v>
      </c>
      <c r="CM22" s="396" t="e">
        <f t="shared" si="29"/>
        <v>#DIV/0!</v>
      </c>
      <c r="CN22" s="396" t="e">
        <f t="shared" si="30"/>
        <v>#DIV/0!</v>
      </c>
      <c r="CO22" s="396" t="e">
        <f t="shared" si="4"/>
        <v>#DIV/0!</v>
      </c>
      <c r="CP22" s="396" t="e">
        <f t="shared" si="5"/>
        <v>#DIV/0!</v>
      </c>
      <c r="CQ22" s="396" t="e">
        <f t="shared" si="6"/>
        <v>#DIV/0!</v>
      </c>
      <c r="CR22" s="282" t="e">
        <f t="shared" si="31"/>
        <v>#DIV/0!</v>
      </c>
    </row>
    <row r="23" spans="1:97" x14ac:dyDescent="0.25">
      <c r="A23" s="272">
        <v>19</v>
      </c>
      <c r="B23" s="13" t="s">
        <v>157</v>
      </c>
      <c r="C23" s="163"/>
      <c r="D23" s="163"/>
      <c r="E23" s="418"/>
      <c r="F23" s="163"/>
      <c r="G23" s="163"/>
      <c r="H23" s="163"/>
      <c r="I23" s="163"/>
      <c r="J23" s="163"/>
      <c r="K23" s="163"/>
      <c r="L23" s="163"/>
      <c r="M23" s="163"/>
      <c r="N23" s="163"/>
      <c r="O23" s="163"/>
      <c r="P23" s="163"/>
      <c r="Q23" s="454">
        <f t="shared" si="7"/>
        <v>0</v>
      </c>
      <c r="R23" s="454">
        <f t="shared" si="8"/>
        <v>0</v>
      </c>
      <c r="S23" s="454">
        <f t="shared" si="9"/>
        <v>0</v>
      </c>
      <c r="T23" s="454">
        <f t="shared" si="10"/>
        <v>0</v>
      </c>
      <c r="U23" s="454">
        <f t="shared" si="11"/>
        <v>0</v>
      </c>
      <c r="V23" s="173">
        <f t="shared" si="12"/>
        <v>0</v>
      </c>
      <c r="W23" s="254"/>
      <c r="X23" s="254"/>
      <c r="Y23" s="254"/>
      <c r="Z23" s="254"/>
      <c r="AA23" s="254"/>
      <c r="AB23" s="254"/>
      <c r="AC23" s="254"/>
      <c r="AD23" s="254"/>
      <c r="AE23" s="254"/>
      <c r="AF23" s="254"/>
      <c r="AG23" s="454">
        <f t="shared" si="13"/>
        <v>0</v>
      </c>
      <c r="AH23" s="454">
        <f t="shared" si="14"/>
        <v>0</v>
      </c>
      <c r="AI23" s="454">
        <f t="shared" si="15"/>
        <v>0</v>
      </c>
      <c r="AJ23" s="173">
        <f t="shared" si="16"/>
        <v>0</v>
      </c>
      <c r="AK23" s="255"/>
      <c r="AL23" s="256"/>
      <c r="AM23" s="256"/>
      <c r="AN23" s="258"/>
      <c r="AO23" s="258"/>
      <c r="AP23" s="258"/>
      <c r="AQ23" s="270"/>
      <c r="AR23" s="270"/>
      <c r="AS23" s="270"/>
      <c r="AT23" s="270"/>
      <c r="AU23" s="280" t="e">
        <f t="shared" si="0"/>
        <v>#DIV/0!</v>
      </c>
      <c r="AV23" s="280" t="e">
        <f t="shared" si="1"/>
        <v>#DIV/0!</v>
      </c>
      <c r="AW23" s="490"/>
      <c r="AX23" s="490"/>
      <c r="AY23" s="490"/>
      <c r="AZ23" s="396">
        <f t="shared" si="17"/>
        <v>0</v>
      </c>
      <c r="BA23" s="490"/>
      <c r="BB23" s="490"/>
      <c r="BC23" s="490"/>
      <c r="BD23" s="396">
        <f t="shared" si="18"/>
        <v>0</v>
      </c>
      <c r="BE23" s="491"/>
      <c r="BF23" s="491"/>
      <c r="BG23" s="491"/>
      <c r="BH23" s="396">
        <f t="shared" si="19"/>
        <v>0</v>
      </c>
      <c r="BI23" s="493"/>
      <c r="BJ23" s="493"/>
      <c r="BK23" s="493"/>
      <c r="BL23" s="396">
        <f t="shared" si="20"/>
        <v>0</v>
      </c>
      <c r="BM23" s="281"/>
      <c r="BN23" s="281"/>
      <c r="BO23" s="281"/>
      <c r="BP23" s="396">
        <f t="shared" si="21"/>
        <v>0</v>
      </c>
      <c r="BQ23" s="281"/>
      <c r="BR23" s="281"/>
      <c r="BS23" s="281"/>
      <c r="BT23" s="396">
        <f t="shared" si="22"/>
        <v>0</v>
      </c>
      <c r="BU23" s="281"/>
      <c r="BV23" s="281"/>
      <c r="BW23" s="281"/>
      <c r="BX23" s="396">
        <f t="shared" si="23"/>
        <v>0</v>
      </c>
      <c r="BY23" s="281"/>
      <c r="BZ23" s="281"/>
      <c r="CA23" s="281"/>
      <c r="CB23" s="396">
        <f t="shared" si="24"/>
        <v>0</v>
      </c>
      <c r="CC23" s="281"/>
      <c r="CD23" s="281"/>
      <c r="CE23" s="281"/>
      <c r="CF23" s="396">
        <f t="shared" si="25"/>
        <v>0</v>
      </c>
      <c r="CG23" s="281"/>
      <c r="CH23" s="281"/>
      <c r="CI23" s="281"/>
      <c r="CJ23" s="396">
        <f t="shared" si="26"/>
        <v>0</v>
      </c>
      <c r="CK23" s="396" t="e">
        <f t="shared" si="27"/>
        <v>#DIV/0!</v>
      </c>
      <c r="CL23" s="396" t="e">
        <f t="shared" si="28"/>
        <v>#DIV/0!</v>
      </c>
      <c r="CM23" s="396" t="e">
        <f t="shared" si="29"/>
        <v>#DIV/0!</v>
      </c>
      <c r="CN23" s="396" t="e">
        <f t="shared" si="30"/>
        <v>#DIV/0!</v>
      </c>
      <c r="CO23" s="396" t="e">
        <f t="shared" si="4"/>
        <v>#DIV/0!</v>
      </c>
      <c r="CP23" s="396" t="e">
        <f t="shared" si="5"/>
        <v>#DIV/0!</v>
      </c>
      <c r="CQ23" s="396" t="e">
        <f t="shared" si="6"/>
        <v>#DIV/0!</v>
      </c>
      <c r="CR23" s="282" t="e">
        <f t="shared" si="31"/>
        <v>#DIV/0!</v>
      </c>
    </row>
    <row r="24" spans="1:97" x14ac:dyDescent="0.25">
      <c r="A24" s="13">
        <v>20</v>
      </c>
      <c r="B24" s="13" t="s">
        <v>158</v>
      </c>
      <c r="C24" s="163"/>
      <c r="D24" s="163"/>
      <c r="E24" s="418"/>
      <c r="F24" s="163"/>
      <c r="G24" s="163"/>
      <c r="H24" s="163"/>
      <c r="I24" s="163"/>
      <c r="J24" s="163"/>
      <c r="K24" s="163"/>
      <c r="L24" s="163"/>
      <c r="M24" s="163"/>
      <c r="N24" s="163"/>
      <c r="O24" s="163"/>
      <c r="P24" s="163"/>
      <c r="Q24" s="454">
        <f t="shared" si="7"/>
        <v>0</v>
      </c>
      <c r="R24" s="454">
        <f t="shared" si="8"/>
        <v>0</v>
      </c>
      <c r="S24" s="454">
        <f t="shared" si="9"/>
        <v>0</v>
      </c>
      <c r="T24" s="454">
        <f t="shared" si="10"/>
        <v>0</v>
      </c>
      <c r="U24" s="454">
        <f t="shared" si="11"/>
        <v>0</v>
      </c>
      <c r="V24" s="173">
        <f t="shared" si="12"/>
        <v>0</v>
      </c>
      <c r="W24" s="254"/>
      <c r="X24" s="254"/>
      <c r="Y24" s="254"/>
      <c r="Z24" s="254"/>
      <c r="AA24" s="254"/>
      <c r="AB24" s="254"/>
      <c r="AC24" s="254"/>
      <c r="AD24" s="608"/>
      <c r="AE24" s="254"/>
      <c r="AF24" s="254"/>
      <c r="AG24" s="454">
        <f t="shared" si="13"/>
        <v>0</v>
      </c>
      <c r="AH24" s="454">
        <f t="shared" si="14"/>
        <v>0</v>
      </c>
      <c r="AI24" s="454">
        <f t="shared" si="15"/>
        <v>0</v>
      </c>
      <c r="AJ24" s="173">
        <f t="shared" si="16"/>
        <v>0</v>
      </c>
      <c r="AK24" s="255"/>
      <c r="AL24" s="258"/>
      <c r="AM24" s="256"/>
      <c r="AN24" s="258"/>
      <c r="AO24" s="258"/>
      <c r="AP24" s="258"/>
      <c r="AQ24" s="270"/>
      <c r="AR24" s="270"/>
      <c r="AS24" s="270"/>
      <c r="AT24" s="270"/>
      <c r="AU24" s="280" t="e">
        <f t="shared" si="0"/>
        <v>#DIV/0!</v>
      </c>
      <c r="AV24" s="280" t="e">
        <f t="shared" si="1"/>
        <v>#DIV/0!</v>
      </c>
      <c r="AW24" s="490"/>
      <c r="AX24" s="490"/>
      <c r="AY24" s="490"/>
      <c r="AZ24" s="396">
        <f t="shared" si="17"/>
        <v>0</v>
      </c>
      <c r="BA24" s="490"/>
      <c r="BB24" s="490"/>
      <c r="BC24" s="490"/>
      <c r="BD24" s="396">
        <f t="shared" si="18"/>
        <v>0</v>
      </c>
      <c r="BE24" s="491"/>
      <c r="BF24" s="491"/>
      <c r="BG24" s="491"/>
      <c r="BH24" s="396">
        <f t="shared" si="19"/>
        <v>0</v>
      </c>
      <c r="BI24" s="493"/>
      <c r="BJ24" s="493"/>
      <c r="BK24" s="493"/>
      <c r="BL24" s="396">
        <f t="shared" si="20"/>
        <v>0</v>
      </c>
      <c r="BM24" s="281"/>
      <c r="BN24" s="281"/>
      <c r="BO24" s="281"/>
      <c r="BP24" s="396">
        <f t="shared" si="21"/>
        <v>0</v>
      </c>
      <c r="BQ24" s="281"/>
      <c r="BR24" s="281"/>
      <c r="BS24" s="281"/>
      <c r="BT24" s="396">
        <f t="shared" si="22"/>
        <v>0</v>
      </c>
      <c r="BU24" s="281"/>
      <c r="BV24" s="281"/>
      <c r="BW24" s="281"/>
      <c r="BX24" s="396">
        <f t="shared" si="23"/>
        <v>0</v>
      </c>
      <c r="BY24" s="281"/>
      <c r="BZ24" s="281"/>
      <c r="CA24" s="281"/>
      <c r="CB24" s="396">
        <f t="shared" si="24"/>
        <v>0</v>
      </c>
      <c r="CC24" s="281"/>
      <c r="CD24" s="281"/>
      <c r="CE24" s="281"/>
      <c r="CF24" s="396">
        <f t="shared" si="25"/>
        <v>0</v>
      </c>
      <c r="CG24" s="281"/>
      <c r="CH24" s="281"/>
      <c r="CI24" s="281"/>
      <c r="CJ24" s="396">
        <f t="shared" si="26"/>
        <v>0</v>
      </c>
      <c r="CK24" s="396" t="e">
        <f t="shared" si="27"/>
        <v>#DIV/0!</v>
      </c>
      <c r="CL24" s="396" t="e">
        <f t="shared" si="28"/>
        <v>#DIV/0!</v>
      </c>
      <c r="CM24" s="396" t="e">
        <f t="shared" si="29"/>
        <v>#DIV/0!</v>
      </c>
      <c r="CN24" s="396" t="e">
        <f t="shared" si="30"/>
        <v>#DIV/0!</v>
      </c>
      <c r="CO24" s="396" t="e">
        <f t="shared" si="4"/>
        <v>#DIV/0!</v>
      </c>
      <c r="CP24" s="396" t="e">
        <f t="shared" si="5"/>
        <v>#DIV/0!</v>
      </c>
      <c r="CQ24" s="396" t="e">
        <f t="shared" si="6"/>
        <v>#DIV/0!</v>
      </c>
      <c r="CR24" s="282" t="e">
        <f t="shared" si="31"/>
        <v>#DIV/0!</v>
      </c>
    </row>
    <row r="25" spans="1:97" x14ac:dyDescent="0.25">
      <c r="A25" s="272">
        <v>21</v>
      </c>
      <c r="B25" s="13" t="s">
        <v>159</v>
      </c>
      <c r="C25" s="163"/>
      <c r="D25" s="163"/>
      <c r="E25" s="418"/>
      <c r="F25" s="163"/>
      <c r="G25" s="163"/>
      <c r="H25" s="163"/>
      <c r="I25" s="163"/>
      <c r="J25" s="163"/>
      <c r="K25" s="163"/>
      <c r="L25" s="163"/>
      <c r="M25" s="163"/>
      <c r="N25" s="163"/>
      <c r="O25" s="163"/>
      <c r="P25" s="163"/>
      <c r="Q25" s="454">
        <f t="shared" si="7"/>
        <v>0</v>
      </c>
      <c r="R25" s="454">
        <f t="shared" si="8"/>
        <v>0</v>
      </c>
      <c r="S25" s="454">
        <f t="shared" si="9"/>
        <v>0</v>
      </c>
      <c r="T25" s="454">
        <f t="shared" si="10"/>
        <v>0</v>
      </c>
      <c r="U25" s="454">
        <f t="shared" si="11"/>
        <v>0</v>
      </c>
      <c r="V25" s="173">
        <f t="shared" si="12"/>
        <v>0</v>
      </c>
      <c r="W25" s="254"/>
      <c r="X25" s="254"/>
      <c r="Y25" s="254"/>
      <c r="Z25" s="254"/>
      <c r="AA25" s="254"/>
      <c r="AB25" s="254"/>
      <c r="AC25" s="254"/>
      <c r="AD25" s="254"/>
      <c r="AE25" s="254"/>
      <c r="AF25" s="254"/>
      <c r="AG25" s="454">
        <f t="shared" si="13"/>
        <v>0</v>
      </c>
      <c r="AH25" s="454">
        <f t="shared" si="14"/>
        <v>0</v>
      </c>
      <c r="AI25" s="454">
        <f t="shared" si="15"/>
        <v>0</v>
      </c>
      <c r="AJ25" s="173">
        <f t="shared" si="16"/>
        <v>0</v>
      </c>
      <c r="AK25" s="255"/>
      <c r="AL25" s="256"/>
      <c r="AM25" s="256"/>
      <c r="AN25" s="256"/>
      <c r="AO25" s="256"/>
      <c r="AP25" s="256"/>
      <c r="AQ25" s="270"/>
      <c r="AR25" s="270"/>
      <c r="AS25" s="270"/>
      <c r="AT25" s="270"/>
      <c r="AU25" s="280" t="e">
        <f t="shared" si="0"/>
        <v>#DIV/0!</v>
      </c>
      <c r="AV25" s="280" t="e">
        <f t="shared" si="1"/>
        <v>#DIV/0!</v>
      </c>
      <c r="AW25" s="490"/>
      <c r="AX25" s="490"/>
      <c r="AY25" s="490"/>
      <c r="AZ25" s="396">
        <f t="shared" si="17"/>
        <v>0</v>
      </c>
      <c r="BA25" s="490"/>
      <c r="BB25" s="490"/>
      <c r="BC25" s="490"/>
      <c r="BD25" s="396">
        <f t="shared" si="18"/>
        <v>0</v>
      </c>
      <c r="BE25" s="491"/>
      <c r="BF25" s="491"/>
      <c r="BG25" s="491"/>
      <c r="BH25" s="396">
        <f t="shared" si="19"/>
        <v>0</v>
      </c>
      <c r="BI25" s="493"/>
      <c r="BJ25" s="493"/>
      <c r="BK25" s="493"/>
      <c r="BL25" s="396">
        <f t="shared" si="20"/>
        <v>0</v>
      </c>
      <c r="BM25" s="281"/>
      <c r="BN25" s="281"/>
      <c r="BO25" s="281"/>
      <c r="BP25" s="396">
        <f t="shared" si="21"/>
        <v>0</v>
      </c>
      <c r="BQ25" s="281"/>
      <c r="BR25" s="281"/>
      <c r="BS25" s="281"/>
      <c r="BT25" s="396">
        <f t="shared" si="22"/>
        <v>0</v>
      </c>
      <c r="BU25" s="281"/>
      <c r="BV25" s="281"/>
      <c r="BW25" s="281"/>
      <c r="BX25" s="396">
        <f t="shared" si="23"/>
        <v>0</v>
      </c>
      <c r="BY25" s="281"/>
      <c r="BZ25" s="281"/>
      <c r="CA25" s="281"/>
      <c r="CB25" s="396">
        <f t="shared" si="24"/>
        <v>0</v>
      </c>
      <c r="CC25" s="281"/>
      <c r="CD25" s="281"/>
      <c r="CE25" s="281"/>
      <c r="CF25" s="396">
        <f t="shared" si="25"/>
        <v>0</v>
      </c>
      <c r="CG25" s="281"/>
      <c r="CH25" s="281"/>
      <c r="CI25" s="281"/>
      <c r="CJ25" s="396">
        <f t="shared" si="26"/>
        <v>0</v>
      </c>
      <c r="CK25" s="396" t="e">
        <f t="shared" si="27"/>
        <v>#DIV/0!</v>
      </c>
      <c r="CL25" s="396" t="e">
        <f t="shared" si="28"/>
        <v>#DIV/0!</v>
      </c>
      <c r="CM25" s="396" t="e">
        <f t="shared" si="29"/>
        <v>#DIV/0!</v>
      </c>
      <c r="CN25" s="396" t="e">
        <f t="shared" si="30"/>
        <v>#DIV/0!</v>
      </c>
      <c r="CO25" s="396" t="e">
        <f t="shared" si="4"/>
        <v>#DIV/0!</v>
      </c>
      <c r="CP25" s="396" t="e">
        <f t="shared" si="5"/>
        <v>#DIV/0!</v>
      </c>
      <c r="CQ25" s="396" t="e">
        <f t="shared" si="6"/>
        <v>#DIV/0!</v>
      </c>
      <c r="CR25" s="282" t="e">
        <f t="shared" si="31"/>
        <v>#DIV/0!</v>
      </c>
    </row>
    <row r="26" spans="1:97" x14ac:dyDescent="0.25">
      <c r="A26" s="13">
        <v>22</v>
      </c>
      <c r="B26" s="13" t="s">
        <v>160</v>
      </c>
      <c r="C26" s="163"/>
      <c r="D26" s="163"/>
      <c r="E26" s="418"/>
      <c r="F26" s="163"/>
      <c r="G26" s="163"/>
      <c r="H26" s="163"/>
      <c r="I26" s="163"/>
      <c r="J26" s="163"/>
      <c r="K26" s="163"/>
      <c r="L26" s="163"/>
      <c r="M26" s="163"/>
      <c r="N26" s="163"/>
      <c r="O26" s="163"/>
      <c r="P26" s="163"/>
      <c r="Q26" s="454">
        <f t="shared" si="7"/>
        <v>0</v>
      </c>
      <c r="R26" s="454">
        <f t="shared" si="8"/>
        <v>0</v>
      </c>
      <c r="S26" s="454">
        <f t="shared" si="9"/>
        <v>0</v>
      </c>
      <c r="T26" s="454">
        <f t="shared" si="10"/>
        <v>0</v>
      </c>
      <c r="U26" s="454">
        <f t="shared" si="11"/>
        <v>0</v>
      </c>
      <c r="V26" s="173">
        <f t="shared" si="12"/>
        <v>0</v>
      </c>
      <c r="W26" s="254"/>
      <c r="X26" s="254"/>
      <c r="Y26" s="254"/>
      <c r="Z26" s="254"/>
      <c r="AA26" s="254"/>
      <c r="AB26" s="254"/>
      <c r="AC26" s="254"/>
      <c r="AD26" s="254"/>
      <c r="AE26" s="254"/>
      <c r="AF26" s="254"/>
      <c r="AG26" s="454">
        <f t="shared" si="13"/>
        <v>0</v>
      </c>
      <c r="AH26" s="454">
        <f t="shared" si="14"/>
        <v>0</v>
      </c>
      <c r="AI26" s="454">
        <f t="shared" si="15"/>
        <v>0</v>
      </c>
      <c r="AJ26" s="173">
        <f t="shared" si="16"/>
        <v>0</v>
      </c>
      <c r="AK26" s="255"/>
      <c r="AL26" s="256"/>
      <c r="AM26" s="257"/>
      <c r="AN26" s="258"/>
      <c r="AO26" s="258"/>
      <c r="AP26" s="258"/>
      <c r="AQ26" s="270"/>
      <c r="AR26" s="270"/>
      <c r="AS26" s="270"/>
      <c r="AT26" s="270"/>
      <c r="AU26" s="280" t="e">
        <f t="shared" si="0"/>
        <v>#DIV/0!</v>
      </c>
      <c r="AV26" s="280" t="e">
        <f t="shared" si="1"/>
        <v>#DIV/0!</v>
      </c>
      <c r="AW26" s="490"/>
      <c r="AX26" s="490"/>
      <c r="AY26" s="490"/>
      <c r="AZ26" s="396">
        <f t="shared" si="17"/>
        <v>0</v>
      </c>
      <c r="BA26" s="490"/>
      <c r="BB26" s="490"/>
      <c r="BC26" s="490"/>
      <c r="BD26" s="396">
        <f t="shared" si="18"/>
        <v>0</v>
      </c>
      <c r="BE26" s="491"/>
      <c r="BF26" s="491"/>
      <c r="BG26" s="491"/>
      <c r="BH26" s="396">
        <f t="shared" si="19"/>
        <v>0</v>
      </c>
      <c r="BI26" s="493"/>
      <c r="BJ26" s="493"/>
      <c r="BK26" s="493"/>
      <c r="BL26" s="396">
        <f t="shared" si="20"/>
        <v>0</v>
      </c>
      <c r="BM26" s="281"/>
      <c r="BN26" s="281"/>
      <c r="BO26" s="281"/>
      <c r="BP26" s="396">
        <f t="shared" si="21"/>
        <v>0</v>
      </c>
      <c r="BQ26" s="281"/>
      <c r="BR26" s="281"/>
      <c r="BS26" s="281"/>
      <c r="BT26" s="396">
        <f t="shared" si="22"/>
        <v>0</v>
      </c>
      <c r="BU26" s="281"/>
      <c r="BV26" s="281"/>
      <c r="BW26" s="281"/>
      <c r="BX26" s="396">
        <f t="shared" si="23"/>
        <v>0</v>
      </c>
      <c r="BY26" s="281"/>
      <c r="BZ26" s="281"/>
      <c r="CA26" s="281"/>
      <c r="CB26" s="396">
        <f t="shared" si="24"/>
        <v>0</v>
      </c>
      <c r="CC26" s="281"/>
      <c r="CD26" s="281"/>
      <c r="CE26" s="281"/>
      <c r="CF26" s="396">
        <f t="shared" si="25"/>
        <v>0</v>
      </c>
      <c r="CG26" s="281"/>
      <c r="CH26" s="281"/>
      <c r="CI26" s="281"/>
      <c r="CJ26" s="396">
        <f t="shared" si="26"/>
        <v>0</v>
      </c>
      <c r="CK26" s="396" t="e">
        <f t="shared" si="27"/>
        <v>#DIV/0!</v>
      </c>
      <c r="CL26" s="396" t="e">
        <f t="shared" si="28"/>
        <v>#DIV/0!</v>
      </c>
      <c r="CM26" s="396" t="e">
        <f t="shared" si="29"/>
        <v>#DIV/0!</v>
      </c>
      <c r="CN26" s="396" t="e">
        <f t="shared" si="30"/>
        <v>#DIV/0!</v>
      </c>
      <c r="CO26" s="396" t="e">
        <f t="shared" si="4"/>
        <v>#DIV/0!</v>
      </c>
      <c r="CP26" s="396" t="e">
        <f t="shared" si="5"/>
        <v>#DIV/0!</v>
      </c>
      <c r="CQ26" s="396" t="e">
        <f t="shared" si="6"/>
        <v>#DIV/0!</v>
      </c>
      <c r="CR26" s="282" t="e">
        <f t="shared" si="31"/>
        <v>#DIV/0!</v>
      </c>
    </row>
    <row r="27" spans="1:97" x14ac:dyDescent="0.25">
      <c r="A27" s="272">
        <v>23</v>
      </c>
      <c r="B27" s="13" t="s">
        <v>161</v>
      </c>
      <c r="C27" s="163"/>
      <c r="D27" s="163"/>
      <c r="E27" s="418"/>
      <c r="F27" s="163"/>
      <c r="G27" s="163"/>
      <c r="H27" s="163"/>
      <c r="I27" s="163"/>
      <c r="J27" s="163"/>
      <c r="K27" s="163"/>
      <c r="L27" s="163"/>
      <c r="M27" s="163"/>
      <c r="N27" s="163"/>
      <c r="O27" s="163"/>
      <c r="P27" s="163"/>
      <c r="Q27" s="454">
        <f t="shared" si="7"/>
        <v>0</v>
      </c>
      <c r="R27" s="454">
        <f t="shared" si="8"/>
        <v>0</v>
      </c>
      <c r="S27" s="454">
        <f t="shared" si="9"/>
        <v>0</v>
      </c>
      <c r="T27" s="454">
        <f t="shared" si="10"/>
        <v>0</v>
      </c>
      <c r="U27" s="454">
        <f t="shared" si="11"/>
        <v>0</v>
      </c>
      <c r="V27" s="173">
        <f t="shared" si="12"/>
        <v>0</v>
      </c>
      <c r="W27" s="254"/>
      <c r="X27" s="254"/>
      <c r="Y27" s="254"/>
      <c r="Z27" s="254"/>
      <c r="AA27" s="254"/>
      <c r="AB27" s="254"/>
      <c r="AC27" s="254"/>
      <c r="AD27" s="254"/>
      <c r="AE27" s="254"/>
      <c r="AF27" s="254"/>
      <c r="AG27" s="454">
        <f t="shared" si="13"/>
        <v>0</v>
      </c>
      <c r="AH27" s="454">
        <f t="shared" si="14"/>
        <v>0</v>
      </c>
      <c r="AI27" s="454">
        <f t="shared" si="15"/>
        <v>0</v>
      </c>
      <c r="AJ27" s="173">
        <f t="shared" si="16"/>
        <v>0</v>
      </c>
      <c r="AK27" s="255"/>
      <c r="AL27" s="257"/>
      <c r="AM27" s="256"/>
      <c r="AN27" s="256"/>
      <c r="AO27" s="256"/>
      <c r="AP27" s="256"/>
      <c r="AQ27" s="270"/>
      <c r="AR27" s="270"/>
      <c r="AS27" s="270"/>
      <c r="AT27" s="270"/>
      <c r="AU27" s="280" t="e">
        <f t="shared" si="0"/>
        <v>#DIV/0!</v>
      </c>
      <c r="AV27" s="280" t="e">
        <f t="shared" si="1"/>
        <v>#DIV/0!</v>
      </c>
      <c r="AW27" s="490"/>
      <c r="AX27" s="490"/>
      <c r="AY27" s="490"/>
      <c r="AZ27" s="396">
        <f t="shared" si="17"/>
        <v>0</v>
      </c>
      <c r="BA27" s="490"/>
      <c r="BB27" s="490"/>
      <c r="BC27" s="490"/>
      <c r="BD27" s="396">
        <f t="shared" si="18"/>
        <v>0</v>
      </c>
      <c r="BE27" s="491"/>
      <c r="BF27" s="491"/>
      <c r="BG27" s="491"/>
      <c r="BH27" s="396">
        <f t="shared" si="19"/>
        <v>0</v>
      </c>
      <c r="BI27" s="493"/>
      <c r="BJ27" s="493"/>
      <c r="BK27" s="493"/>
      <c r="BL27" s="396">
        <f t="shared" si="20"/>
        <v>0</v>
      </c>
      <c r="BM27" s="281"/>
      <c r="BN27" s="281"/>
      <c r="BO27" s="281"/>
      <c r="BP27" s="396">
        <f t="shared" si="21"/>
        <v>0</v>
      </c>
      <c r="BQ27" s="281"/>
      <c r="BR27" s="281"/>
      <c r="BS27" s="281"/>
      <c r="BT27" s="396">
        <f t="shared" si="22"/>
        <v>0</v>
      </c>
      <c r="BU27" s="281"/>
      <c r="BV27" s="281"/>
      <c r="BW27" s="281"/>
      <c r="BX27" s="396">
        <f t="shared" si="23"/>
        <v>0</v>
      </c>
      <c r="BY27" s="281"/>
      <c r="BZ27" s="281"/>
      <c r="CA27" s="281"/>
      <c r="CB27" s="396">
        <f t="shared" si="24"/>
        <v>0</v>
      </c>
      <c r="CC27" s="281"/>
      <c r="CD27" s="281"/>
      <c r="CE27" s="281"/>
      <c r="CF27" s="396">
        <f t="shared" si="25"/>
        <v>0</v>
      </c>
      <c r="CG27" s="281"/>
      <c r="CH27" s="281"/>
      <c r="CI27" s="281"/>
      <c r="CJ27" s="396">
        <f t="shared" si="26"/>
        <v>0</v>
      </c>
      <c r="CK27" s="396" t="e">
        <f t="shared" si="27"/>
        <v>#DIV/0!</v>
      </c>
      <c r="CL27" s="396" t="e">
        <f t="shared" si="28"/>
        <v>#DIV/0!</v>
      </c>
      <c r="CM27" s="396" t="e">
        <f t="shared" si="29"/>
        <v>#DIV/0!</v>
      </c>
      <c r="CN27" s="396" t="e">
        <f t="shared" si="30"/>
        <v>#DIV/0!</v>
      </c>
      <c r="CO27" s="396" t="e">
        <f t="shared" si="4"/>
        <v>#DIV/0!</v>
      </c>
      <c r="CP27" s="396" t="e">
        <f t="shared" si="5"/>
        <v>#DIV/0!</v>
      </c>
      <c r="CQ27" s="396" t="e">
        <f t="shared" si="6"/>
        <v>#DIV/0!</v>
      </c>
      <c r="CR27" s="282" t="e">
        <f t="shared" si="31"/>
        <v>#DIV/0!</v>
      </c>
    </row>
    <row r="28" spans="1:97" x14ac:dyDescent="0.25">
      <c r="A28" s="13">
        <v>24</v>
      </c>
      <c r="B28" s="13" t="s">
        <v>162</v>
      </c>
      <c r="C28" s="163"/>
      <c r="D28" s="163"/>
      <c r="E28" s="418"/>
      <c r="F28" s="163"/>
      <c r="G28" s="163"/>
      <c r="H28" s="163"/>
      <c r="I28" s="163"/>
      <c r="J28" s="163"/>
      <c r="K28" s="163"/>
      <c r="L28" s="163"/>
      <c r="M28" s="163"/>
      <c r="N28" s="163"/>
      <c r="O28" s="163"/>
      <c r="P28" s="163"/>
      <c r="Q28" s="454">
        <f t="shared" si="7"/>
        <v>0</v>
      </c>
      <c r="R28" s="454">
        <f t="shared" si="8"/>
        <v>0</v>
      </c>
      <c r="S28" s="454">
        <f t="shared" si="9"/>
        <v>0</v>
      </c>
      <c r="T28" s="454">
        <f t="shared" si="10"/>
        <v>0</v>
      </c>
      <c r="U28" s="454">
        <f t="shared" si="11"/>
        <v>0</v>
      </c>
      <c r="V28" s="173">
        <f t="shared" si="12"/>
        <v>0</v>
      </c>
      <c r="W28" s="254"/>
      <c r="X28" s="254"/>
      <c r="Y28" s="254"/>
      <c r="Z28" s="254"/>
      <c r="AA28" s="254"/>
      <c r="AB28" s="254"/>
      <c r="AC28" s="254"/>
      <c r="AD28" s="254"/>
      <c r="AE28" s="254"/>
      <c r="AF28" s="254"/>
      <c r="AG28" s="454">
        <f t="shared" si="13"/>
        <v>0</v>
      </c>
      <c r="AH28" s="454">
        <f t="shared" si="14"/>
        <v>0</v>
      </c>
      <c r="AI28" s="454">
        <f t="shared" si="15"/>
        <v>0</v>
      </c>
      <c r="AJ28" s="173">
        <f t="shared" si="16"/>
        <v>0</v>
      </c>
      <c r="AK28" s="255"/>
      <c r="AL28" s="256"/>
      <c r="AM28" s="256"/>
      <c r="AN28" s="256"/>
      <c r="AO28" s="256"/>
      <c r="AP28" s="256"/>
      <c r="AQ28" s="270"/>
      <c r="AR28" s="270"/>
      <c r="AS28" s="270"/>
      <c r="AT28" s="270"/>
      <c r="AU28" s="280" t="e">
        <f t="shared" si="0"/>
        <v>#DIV/0!</v>
      </c>
      <c r="AV28" s="280" t="e">
        <f t="shared" si="1"/>
        <v>#DIV/0!</v>
      </c>
      <c r="AW28" s="490"/>
      <c r="AX28" s="490"/>
      <c r="AY28" s="490"/>
      <c r="AZ28" s="396">
        <f t="shared" si="17"/>
        <v>0</v>
      </c>
      <c r="BA28" s="490"/>
      <c r="BB28" s="490"/>
      <c r="BC28" s="490"/>
      <c r="BD28" s="396">
        <f t="shared" si="18"/>
        <v>0</v>
      </c>
      <c r="BE28" s="491"/>
      <c r="BF28" s="491"/>
      <c r="BG28" s="491"/>
      <c r="BH28" s="396">
        <f t="shared" si="19"/>
        <v>0</v>
      </c>
      <c r="BI28" s="493"/>
      <c r="BJ28" s="493"/>
      <c r="BK28" s="493"/>
      <c r="BL28" s="396">
        <f t="shared" si="20"/>
        <v>0</v>
      </c>
      <c r="BM28" s="281"/>
      <c r="BN28" s="281"/>
      <c r="BO28" s="281"/>
      <c r="BP28" s="396">
        <f t="shared" si="21"/>
        <v>0</v>
      </c>
      <c r="BQ28" s="281"/>
      <c r="BR28" s="281"/>
      <c r="BS28" s="281"/>
      <c r="BT28" s="396">
        <f t="shared" si="22"/>
        <v>0</v>
      </c>
      <c r="BU28" s="281"/>
      <c r="BV28" s="281"/>
      <c r="BW28" s="281"/>
      <c r="BX28" s="396">
        <f t="shared" si="23"/>
        <v>0</v>
      </c>
      <c r="BY28" s="281"/>
      <c r="BZ28" s="281"/>
      <c r="CA28" s="281"/>
      <c r="CB28" s="396">
        <f t="shared" si="24"/>
        <v>0</v>
      </c>
      <c r="CC28" s="281"/>
      <c r="CD28" s="281"/>
      <c r="CE28" s="281"/>
      <c r="CF28" s="396">
        <f t="shared" si="25"/>
        <v>0</v>
      </c>
      <c r="CG28" s="281"/>
      <c r="CH28" s="281"/>
      <c r="CI28" s="281"/>
      <c r="CJ28" s="396">
        <f t="shared" si="26"/>
        <v>0</v>
      </c>
      <c r="CK28" s="396" t="e">
        <f t="shared" si="27"/>
        <v>#DIV/0!</v>
      </c>
      <c r="CL28" s="396" t="e">
        <f t="shared" si="28"/>
        <v>#DIV/0!</v>
      </c>
      <c r="CM28" s="396" t="e">
        <f t="shared" si="29"/>
        <v>#DIV/0!</v>
      </c>
      <c r="CN28" s="396" t="e">
        <f t="shared" si="30"/>
        <v>#DIV/0!</v>
      </c>
      <c r="CO28" s="396" t="e">
        <f t="shared" si="4"/>
        <v>#DIV/0!</v>
      </c>
      <c r="CP28" s="396" t="e">
        <f t="shared" si="5"/>
        <v>#DIV/0!</v>
      </c>
      <c r="CQ28" s="396" t="e">
        <f t="shared" si="6"/>
        <v>#DIV/0!</v>
      </c>
      <c r="CR28" s="282" t="e">
        <f t="shared" si="31"/>
        <v>#DIV/0!</v>
      </c>
    </row>
    <row r="29" spans="1:97" x14ac:dyDescent="0.25">
      <c r="A29" s="13"/>
      <c r="B29" s="15" t="s">
        <v>163</v>
      </c>
      <c r="C29" s="48">
        <f>SUM(C5:C28)</f>
        <v>0</v>
      </c>
      <c r="D29" s="48">
        <f>SUM(D5:D28)</f>
        <v>0</v>
      </c>
      <c r="E29" s="48">
        <f t="shared" ref="E29" si="32">SUM(E5:E28)</f>
        <v>0</v>
      </c>
      <c r="F29" s="48">
        <f>SUM(F5:F28)</f>
        <v>0</v>
      </c>
      <c r="G29" s="48">
        <f t="shared" ref="G29:AG29" si="33">SUM(G5:G28)</f>
        <v>0</v>
      </c>
      <c r="H29" s="48">
        <f t="shared" si="33"/>
        <v>0</v>
      </c>
      <c r="I29" s="48">
        <f t="shared" si="33"/>
        <v>0</v>
      </c>
      <c r="J29" s="48">
        <f t="shared" si="33"/>
        <v>0</v>
      </c>
      <c r="K29" s="48">
        <f t="shared" si="33"/>
        <v>0</v>
      </c>
      <c r="L29" s="48">
        <f t="shared" si="33"/>
        <v>0</v>
      </c>
      <c r="M29" s="48">
        <f t="shared" si="33"/>
        <v>0</v>
      </c>
      <c r="N29" s="48">
        <f t="shared" si="33"/>
        <v>0</v>
      </c>
      <c r="O29" s="48">
        <f t="shared" si="33"/>
        <v>0</v>
      </c>
      <c r="P29" s="48">
        <f t="shared" si="33"/>
        <v>0</v>
      </c>
      <c r="Q29" s="48">
        <f t="shared" si="33"/>
        <v>0</v>
      </c>
      <c r="R29" s="173">
        <f t="shared" si="8"/>
        <v>0</v>
      </c>
      <c r="S29" s="173">
        <f t="shared" si="9"/>
        <v>0</v>
      </c>
      <c r="T29" s="173">
        <f t="shared" si="10"/>
        <v>0</v>
      </c>
      <c r="U29" s="173">
        <f>P29</f>
        <v>0</v>
      </c>
      <c r="V29" s="48">
        <f t="shared" si="33"/>
        <v>0</v>
      </c>
      <c r="W29" s="48">
        <f t="shared" si="33"/>
        <v>0</v>
      </c>
      <c r="X29" s="48">
        <f t="shared" si="33"/>
        <v>0</v>
      </c>
      <c r="Y29" s="48">
        <f t="shared" si="33"/>
        <v>0</v>
      </c>
      <c r="Z29" s="48">
        <f t="shared" si="33"/>
        <v>0</v>
      </c>
      <c r="AA29" s="48">
        <f t="shared" si="33"/>
        <v>0</v>
      </c>
      <c r="AB29" s="48">
        <f t="shared" si="33"/>
        <v>0</v>
      </c>
      <c r="AC29" s="48">
        <f t="shared" si="33"/>
        <v>0</v>
      </c>
      <c r="AD29" s="48">
        <f t="shared" si="33"/>
        <v>0</v>
      </c>
      <c r="AE29" s="48">
        <f t="shared" si="33"/>
        <v>0</v>
      </c>
      <c r="AF29" s="48">
        <f>SUM(AF5:AF28)</f>
        <v>0</v>
      </c>
      <c r="AG29" s="48">
        <f t="shared" si="33"/>
        <v>0</v>
      </c>
      <c r="AH29" s="173">
        <f t="shared" si="14"/>
        <v>0</v>
      </c>
      <c r="AI29" s="173">
        <f t="shared" si="15"/>
        <v>0</v>
      </c>
      <c r="AJ29" s="48">
        <f>SUM(AJ5:AJ28)</f>
        <v>0</v>
      </c>
      <c r="AK29" s="42" t="e">
        <f t="shared" ref="AK29:AT29" si="34">SUMPRODUCT(AK5:AK28,F5:F28)/F29</f>
        <v>#DIV/0!</v>
      </c>
      <c r="AL29" s="42" t="e">
        <f t="shared" si="34"/>
        <v>#DIV/0!</v>
      </c>
      <c r="AM29" s="42" t="e">
        <f t="shared" si="34"/>
        <v>#DIV/0!</v>
      </c>
      <c r="AN29" s="42" t="e">
        <f t="shared" si="34"/>
        <v>#DIV/0!</v>
      </c>
      <c r="AO29" s="42" t="e">
        <f t="shared" si="34"/>
        <v>#DIV/0!</v>
      </c>
      <c r="AP29" s="42" t="e">
        <f t="shared" si="34"/>
        <v>#DIV/0!</v>
      </c>
      <c r="AQ29" s="42" t="e">
        <f t="shared" si="34"/>
        <v>#DIV/0!</v>
      </c>
      <c r="AR29" s="42" t="e">
        <f t="shared" si="34"/>
        <v>#DIV/0!</v>
      </c>
      <c r="AS29" s="42" t="e">
        <f t="shared" si="34"/>
        <v>#DIV/0!</v>
      </c>
      <c r="AT29" s="42" t="e">
        <f t="shared" si="34"/>
        <v>#DIV/0!</v>
      </c>
      <c r="AU29" s="42" t="e">
        <f>SUMPRODUCT(AU5:AU28,Q5:Q28)/Q29</f>
        <v>#DIV/0!</v>
      </c>
      <c r="AV29" s="42" t="e">
        <f>SUMPRODUCT(AV5:AV28,V5:V28)/V29</f>
        <v>#DIV/0!</v>
      </c>
      <c r="AW29" s="172" t="e">
        <f>SUMPRODUCT($F$5:$F$28,AW5:AW28)/$F$29</f>
        <v>#DIV/0!</v>
      </c>
      <c r="AX29" s="172" t="e">
        <f>SUMPRODUCT($F$5:$F$28,AX5:AX28)/$F$29</f>
        <v>#DIV/0!</v>
      </c>
      <c r="AY29" s="172" t="e">
        <f>SUMPRODUCT($F$5:$F$28,AY5:AY28)/$F$29</f>
        <v>#DIV/0!</v>
      </c>
      <c r="AZ29" s="42" t="e">
        <f>SUMPRODUCT($F$5:$F$28,AZ5:AZ28)/$F$29</f>
        <v>#DIV/0!</v>
      </c>
      <c r="BA29" s="172" t="e">
        <f>SUMPRODUCT($G$5:$G$28,BA5:BA28)/$G$29</f>
        <v>#DIV/0!</v>
      </c>
      <c r="BB29" s="172" t="e">
        <f>SUMPRODUCT($G$5:$G$28,BB5:BB28)/$G$29</f>
        <v>#DIV/0!</v>
      </c>
      <c r="BC29" s="172" t="e">
        <f>SUMPRODUCT($G$5:$G$28,BC5:BC28)/$G$29</f>
        <v>#DIV/0!</v>
      </c>
      <c r="BD29" s="42" t="e">
        <f>SUMPRODUCT($G$5:$G$28,BD5:BD28)/$G$29</f>
        <v>#DIV/0!</v>
      </c>
      <c r="BE29" s="172" t="e">
        <f>SUMPRODUCT($H$5:$H$28,BE5:BE28)/$H$29</f>
        <v>#DIV/0!</v>
      </c>
      <c r="BF29" s="172" t="e">
        <f>SUMPRODUCT($H$5:$H$28,BF5:BF28)/$H$29</f>
        <v>#DIV/0!</v>
      </c>
      <c r="BG29" s="172" t="e">
        <f>SUMPRODUCT($H$5:$H$28,BG5:BG28)/$H$29</f>
        <v>#DIV/0!</v>
      </c>
      <c r="BH29" s="42" t="e">
        <f>SUMPRODUCT($H$5:$H$28,BH5:BH28)/$H$29</f>
        <v>#DIV/0!</v>
      </c>
      <c r="BI29" s="172" t="e">
        <f>SUMPRODUCT($I$5:$I$28,BI5:BI28)/$I$29</f>
        <v>#DIV/0!</v>
      </c>
      <c r="BJ29" s="172" t="e">
        <f>SUMPRODUCT($I$5:$I$28,BJ5:BJ28)/$I$29</f>
        <v>#DIV/0!</v>
      </c>
      <c r="BK29" s="172" t="e">
        <f>SUMPRODUCT($I$5:$I$28,BK5:BK28)/$I$29</f>
        <v>#DIV/0!</v>
      </c>
      <c r="BL29" s="42" t="e">
        <f>SUMPRODUCT($I$5:$I$28,BL5:BL28)/$I$29</f>
        <v>#DIV/0!</v>
      </c>
      <c r="BM29" s="172" t="e">
        <f>SUMPRODUCT($J$5:$J$28,BI5:BI28)/$J$29</f>
        <v>#DIV/0!</v>
      </c>
      <c r="BN29" s="172" t="e">
        <f t="shared" ref="BN29:BP29" si="35">SUMPRODUCT($J$5:$J$28,BJ5:BJ28)/$J$29</f>
        <v>#DIV/0!</v>
      </c>
      <c r="BO29" s="172" t="e">
        <f t="shared" si="35"/>
        <v>#DIV/0!</v>
      </c>
      <c r="BP29" s="42" t="e">
        <f t="shared" si="35"/>
        <v>#DIV/0!</v>
      </c>
      <c r="BQ29" s="172" t="e">
        <f>SUMPRODUCT($K$5:$K$28,BQ5:BQ28)/$K$29</f>
        <v>#DIV/0!</v>
      </c>
      <c r="BR29" s="172" t="e">
        <f>SUMPRODUCT($K$5:$K$28,BR5:BR28)/$K$29</f>
        <v>#DIV/0!</v>
      </c>
      <c r="BS29" s="172" t="e">
        <f>SUMPRODUCT($K$5:$K$28,BS5:BS28)/$K$29</f>
        <v>#DIV/0!</v>
      </c>
      <c r="BT29" s="42" t="e">
        <f>SUMPRODUCT($K$5:$K$28,BT5:BT28)/$K$29</f>
        <v>#DIV/0!</v>
      </c>
      <c r="BU29" s="172" t="e">
        <f>SUMPRODUCT($L$5:$L$28,BU5:BU28)/$L$29</f>
        <v>#DIV/0!</v>
      </c>
      <c r="BV29" s="172" t="e">
        <f>SUMPRODUCT($L$5:$L$28,BV5:BV28)/$L$29</f>
        <v>#DIV/0!</v>
      </c>
      <c r="BW29" s="172" t="e">
        <f>SUMPRODUCT($L$5:$L$28,BW5:BW28)/$L$29</f>
        <v>#DIV/0!</v>
      </c>
      <c r="BX29" s="42" t="e">
        <f>SUMPRODUCT($L$5:$L$28,BX5:BX28)/$L$29</f>
        <v>#DIV/0!</v>
      </c>
      <c r="BY29" s="172" t="e">
        <f t="shared" ref="BY29:CF29" si="36">SUMPRODUCT($L$5:$L$28,BY5:BY28)/$L$29</f>
        <v>#DIV/0!</v>
      </c>
      <c r="BZ29" s="172" t="e">
        <f t="shared" si="36"/>
        <v>#DIV/0!</v>
      </c>
      <c r="CA29" s="172" t="e">
        <f t="shared" si="36"/>
        <v>#DIV/0!</v>
      </c>
      <c r="CB29" s="42" t="e">
        <f t="shared" si="36"/>
        <v>#DIV/0!</v>
      </c>
      <c r="CC29" s="172" t="e">
        <f t="shared" si="36"/>
        <v>#DIV/0!</v>
      </c>
      <c r="CD29" s="172" t="e">
        <f t="shared" si="36"/>
        <v>#DIV/0!</v>
      </c>
      <c r="CE29" s="172" t="e">
        <f t="shared" si="36"/>
        <v>#DIV/0!</v>
      </c>
      <c r="CF29" s="42" t="e">
        <f t="shared" si="36"/>
        <v>#DIV/0!</v>
      </c>
      <c r="CG29" s="172" t="e">
        <f>SUMPRODUCT($O$5:$O$28,CG5:CG28)/$O$29</f>
        <v>#DIV/0!</v>
      </c>
      <c r="CH29" s="172" t="e">
        <f>SUMPRODUCT($O$5:$O$28,CH5:CH28)/$O$29</f>
        <v>#DIV/0!</v>
      </c>
      <c r="CI29" s="172" t="e">
        <f>SUMPRODUCT($O$5:$O$28,CI5:CI28)/$O$29</f>
        <v>#DIV/0!</v>
      </c>
      <c r="CJ29" s="42" t="e">
        <f>SUMPRODUCT($O$5:$O$28,CJ5:CJ28)/$O$29</f>
        <v>#DIV/0!</v>
      </c>
      <c r="CK29" s="42" t="e">
        <f>SUMPRODUCT($Q$5:$Q$28,CK5:CK28)/$Q$29</f>
        <v>#DIV/0!</v>
      </c>
      <c r="CL29" s="42" t="e">
        <f>SUMPRODUCT($Q$5:$Q$28,CL5:CL28)/$Q$29</f>
        <v>#DIV/0!</v>
      </c>
      <c r="CM29" s="42" t="e">
        <f>SUMPRODUCT($Q$5:$Q$28,CM5:CM28)/$Q$29</f>
        <v>#DIV/0!</v>
      </c>
      <c r="CN29" s="42" t="e">
        <f>SUMPRODUCT($Q$5:$Q$28,CN5:CN28)/$Q$29</f>
        <v>#DIV/0!</v>
      </c>
      <c r="CO29" s="42" t="e">
        <f>SUMPRODUCT($T$5:$T$28,CO5:CO28)/$T$29</f>
        <v>#DIV/0!</v>
      </c>
      <c r="CP29" s="42" t="e">
        <f t="shared" ref="CP29:CR29" si="37">SUMPRODUCT($T$5:$T$28,CP5:CP28)/$T$29</f>
        <v>#DIV/0!</v>
      </c>
      <c r="CQ29" s="42" t="e">
        <f t="shared" si="37"/>
        <v>#DIV/0!</v>
      </c>
      <c r="CR29" s="42" t="e">
        <f t="shared" si="37"/>
        <v>#DIV/0!</v>
      </c>
      <c r="CS29" s="251" t="e">
        <f>SUM(CO29:CQ29)=CR29</f>
        <v>#DIV/0!</v>
      </c>
    </row>
    <row r="30" spans="1:97" x14ac:dyDescent="0.25">
      <c r="B30" s="300" t="s">
        <v>164</v>
      </c>
      <c r="C30" s="68" t="e">
        <f>C29/$E$29</f>
        <v>#DIV/0!</v>
      </c>
      <c r="D30" s="68" t="e">
        <f t="shared" ref="D30:E30" si="38">D29/$E$29</f>
        <v>#DIV/0!</v>
      </c>
      <c r="E30" s="68" t="e">
        <f t="shared" si="38"/>
        <v>#DIV/0!</v>
      </c>
      <c r="F30" s="30" t="e">
        <f>F29/$Q$29</f>
        <v>#DIV/0!</v>
      </c>
      <c r="G30" s="30" t="e">
        <f>G29/$Q$29</f>
        <v>#DIV/0!</v>
      </c>
      <c r="H30" s="30" t="e">
        <f>H29/$Q$29</f>
        <v>#DIV/0!</v>
      </c>
      <c r="I30" s="30" t="e">
        <f>I29/$Q$29</f>
        <v>#DIV/0!</v>
      </c>
      <c r="J30" s="30"/>
      <c r="K30" s="30" t="e">
        <f>K29/$Q$29</f>
        <v>#DIV/0!</v>
      </c>
      <c r="L30" s="340" t="e">
        <f>L29/$V$29</f>
        <v>#DIV/0!</v>
      </c>
      <c r="M30" s="340" t="e">
        <f t="shared" ref="M30:P30" si="39">M29/$V$29</f>
        <v>#DIV/0!</v>
      </c>
      <c r="N30" s="340" t="e">
        <f t="shared" si="39"/>
        <v>#DIV/0!</v>
      </c>
      <c r="O30" s="340" t="e">
        <f t="shared" si="39"/>
        <v>#DIV/0!</v>
      </c>
      <c r="P30" s="340" t="e">
        <f t="shared" si="39"/>
        <v>#DIV/0!</v>
      </c>
      <c r="Q30" s="340" t="e">
        <f>Q29/$V$29</f>
        <v>#DIV/0!</v>
      </c>
      <c r="R30" s="599" t="e">
        <f t="shared" ref="R30:U30" si="40">R29/$V$29</f>
        <v>#DIV/0!</v>
      </c>
      <c r="S30" s="340" t="e">
        <f t="shared" si="40"/>
        <v>#DIV/0!</v>
      </c>
      <c r="T30" s="340"/>
      <c r="U30" s="340" t="e">
        <f t="shared" si="40"/>
        <v>#DIV/0!</v>
      </c>
      <c r="V30" s="340" t="e">
        <f>V29/$V$29</f>
        <v>#DIV/0!</v>
      </c>
      <c r="W30" s="340" t="e">
        <f>W29/$AG$29</f>
        <v>#DIV/0!</v>
      </c>
      <c r="X30" s="340" t="e">
        <f>X29/$AG$29</f>
        <v>#DIV/0!</v>
      </c>
      <c r="Y30" s="340" t="e">
        <f>Y29/$AG$29</f>
        <v>#DIV/0!</v>
      </c>
      <c r="Z30" s="340" t="e">
        <f>Z29/$AG$29</f>
        <v>#DIV/0!</v>
      </c>
      <c r="AA30" s="340"/>
      <c r="AB30" s="340" t="e">
        <f>AB29/$AG$29</f>
        <v>#DIV/0!</v>
      </c>
      <c r="AC30" s="76"/>
      <c r="AD30" s="76" t="s">
        <v>165</v>
      </c>
      <c r="AE30" s="76"/>
      <c r="AF30" s="92">
        <f>AE1*O29</f>
        <v>0</v>
      </c>
      <c r="AG30" s="813" t="s">
        <v>166</v>
      </c>
      <c r="AH30" s="813"/>
      <c r="AI30" s="813"/>
      <c r="AJ30" s="813"/>
      <c r="CN30" s="251" t="e">
        <f>ABS(CN29-100%)&lt;0.1%</f>
        <v>#DIV/0!</v>
      </c>
      <c r="CR30" s="494"/>
    </row>
    <row r="31" spans="1:97" x14ac:dyDescent="0.25">
      <c r="O31" s="252"/>
      <c r="Q31" s="126" t="e">
        <f>Q29/SUM($Q$29:$S$29)</f>
        <v>#DIV/0!</v>
      </c>
      <c r="R31" s="126" t="e">
        <f>R29/SUM($Q$29:$S$29)</f>
        <v>#DIV/0!</v>
      </c>
      <c r="S31" s="126" t="e">
        <f t="shared" ref="S31" si="41">S29/SUM($Q$29:$S$29)</f>
        <v>#DIV/0!</v>
      </c>
      <c r="T31" s="126"/>
      <c r="U31" s="250"/>
      <c r="V31" s="252" t="b">
        <f>SUM(T29:U29)=V29</f>
        <v>1</v>
      </c>
      <c r="W31" s="250"/>
      <c r="X31" s="250"/>
      <c r="Y31" s="250"/>
      <c r="Z31" s="250"/>
      <c r="AA31" t="s">
        <v>167</v>
      </c>
      <c r="AF31" s="561">
        <v>1221131.67</v>
      </c>
      <c r="AG31" s="488" t="e">
        <f>AG29/Q29</f>
        <v>#DIV/0!</v>
      </c>
      <c r="AH31" s="488" t="e">
        <f>AH29/R29</f>
        <v>#DIV/0!</v>
      </c>
      <c r="AI31" s="488" t="e">
        <f>AI29/S29</f>
        <v>#DIV/0!</v>
      </c>
      <c r="AJ31" s="488" t="e">
        <f>AJ29/SUM(Q29:S29)</f>
        <v>#DIV/0!</v>
      </c>
      <c r="AK31" s="175"/>
      <c r="AL31" s="341" t="e">
        <f>AJ29/'Yield-data'!O59</f>
        <v>#DIV/0!</v>
      </c>
      <c r="AM31" s="175"/>
      <c r="AN31" s="175"/>
      <c r="AO31" s="175"/>
      <c r="AP31" s="175"/>
      <c r="AQ31" s="175"/>
      <c r="AR31" s="175"/>
      <c r="AS31" s="175"/>
      <c r="AT31" s="175"/>
      <c r="AU31" s="175"/>
    </row>
    <row r="32" spans="1:97" ht="18.75" x14ac:dyDescent="0.3">
      <c r="H32" s="1" t="s">
        <v>168</v>
      </c>
      <c r="R32" s="484" t="s">
        <v>169</v>
      </c>
      <c r="S32" s="484"/>
      <c r="T32" s="484"/>
      <c r="U32" s="484"/>
      <c r="V32" s="742">
        <v>16361000</v>
      </c>
      <c r="AD32" s="250" t="s">
        <v>170</v>
      </c>
      <c r="AE32" s="250"/>
      <c r="AF32" s="30" t="e">
        <f>AF31/AF30</f>
        <v>#DIV/0!</v>
      </c>
      <c r="AH32" s="92"/>
      <c r="AJ32" s="249" t="b">
        <f>ABS(SUM(W29:AF29)-AJ29)&lt;1</f>
        <v>1</v>
      </c>
    </row>
    <row r="33" spans="8:22" ht="18.75" x14ac:dyDescent="0.3">
      <c r="H33" t="s">
        <v>171</v>
      </c>
      <c r="I33" s="346"/>
      <c r="R33" s="486" t="s">
        <v>172</v>
      </c>
      <c r="S33" s="484"/>
      <c r="T33" s="484"/>
      <c r="U33" s="484"/>
      <c r="V33" s="487">
        <f>V29-V32</f>
        <v>-16361000</v>
      </c>
    </row>
    <row r="34" spans="8:22" x14ac:dyDescent="0.25">
      <c r="H34" t="s">
        <v>173</v>
      </c>
      <c r="I34" s="346"/>
      <c r="M34" s="1" t="s">
        <v>1133</v>
      </c>
      <c r="R34" s="603" t="e">
        <f>SUM(R24:R28)/R29</f>
        <v>#DIV/0!</v>
      </c>
    </row>
    <row r="35" spans="8:22" x14ac:dyDescent="0.25">
      <c r="H35" t="s">
        <v>174</v>
      </c>
      <c r="I35" s="346"/>
    </row>
    <row r="36" spans="8:22" x14ac:dyDescent="0.25">
      <c r="H36" s="1" t="s">
        <v>120</v>
      </c>
      <c r="I36" s="24">
        <f>SUM(I33:I35)</f>
        <v>0</v>
      </c>
    </row>
    <row r="38" spans="8:22" x14ac:dyDescent="0.25">
      <c r="H38" s="1" t="s">
        <v>175</v>
      </c>
      <c r="J38" s="70">
        <f>I33+I35</f>
        <v>0</v>
      </c>
    </row>
  </sheetData>
  <mergeCells count="21">
    <mergeCell ref="AG30:AJ30"/>
    <mergeCell ref="Z1:AD1"/>
    <mergeCell ref="AG1:AM1"/>
    <mergeCell ref="AK3:AV3"/>
    <mergeCell ref="C3:E3"/>
    <mergeCell ref="A3:A4"/>
    <mergeCell ref="B3:B4"/>
    <mergeCell ref="F3:V3"/>
    <mergeCell ref="W3:AJ3"/>
    <mergeCell ref="CO3:CR3"/>
    <mergeCell ref="AW3:AZ3"/>
    <mergeCell ref="BA3:BD3"/>
    <mergeCell ref="BE3:BH3"/>
    <mergeCell ref="BI3:BL3"/>
    <mergeCell ref="BM3:BP3"/>
    <mergeCell ref="BQ3:BT3"/>
    <mergeCell ref="CG3:CJ3"/>
    <mergeCell ref="BU3:BX3"/>
    <mergeCell ref="CK3:CN3"/>
    <mergeCell ref="BY3:CB3"/>
    <mergeCell ref="CC3:CF3"/>
  </mergeCells>
  <hyperlinks>
    <hyperlink ref="AG1" r:id="rId1" xr:uid="{45D960B5-2461-405B-886B-908001E26019}"/>
    <hyperlink ref="V32" r:id="rId2" location=":~:text=Known%20for%20its%20ancient%20architecture,remaining%20territory%20is%20arable%20land." display="https://en.wikipedia.org/wiki/Tunisia - :~:text=Known%20for%20its%20ancient%20architecture,remaining%20territory%20is%20arable%20land." xr:uid="{C6A39FB3-C830-495D-A736-CF38D2FCD84E}"/>
  </hyperlinks>
  <pageMargins left="0.7" right="0.7" top="0.75" bottom="0.75" header="0.3" footer="0.3"/>
  <pageSetup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594FD-BC7B-47CF-B61F-7B88979D036D}">
  <dimension ref="A2:P60"/>
  <sheetViews>
    <sheetView topLeftCell="A50" workbookViewId="0">
      <selection activeCell="E62" sqref="E62"/>
    </sheetView>
  </sheetViews>
  <sheetFormatPr defaultRowHeight="15" x14ac:dyDescent="0.25"/>
  <cols>
    <col min="1" max="1" width="3.85546875" customWidth="1"/>
    <col min="2" max="2" width="20.140625" customWidth="1"/>
    <col min="3" max="3" width="13.85546875" bestFit="1" customWidth="1"/>
    <col min="4" max="4" width="11.5703125" customWidth="1"/>
    <col min="5" max="5" width="13.5703125" customWidth="1"/>
    <col min="6" max="7" width="14" customWidth="1"/>
    <col min="8" max="8" width="12.5703125" customWidth="1"/>
    <col min="9" max="11" width="13.85546875" customWidth="1"/>
    <col min="12" max="12" width="11.140625" bestFit="1" customWidth="1"/>
    <col min="13" max="14" width="14.5703125" customWidth="1"/>
    <col min="15" max="15" width="16.85546875" customWidth="1"/>
  </cols>
  <sheetData>
    <row r="2" spans="1:15" ht="15.75" thickBot="1" x14ac:dyDescent="0.3"/>
    <row r="3" spans="1:15" x14ac:dyDescent="0.25">
      <c r="A3" s="796" t="s">
        <v>100</v>
      </c>
      <c r="B3" s="820" t="s">
        <v>101</v>
      </c>
      <c r="C3" s="821" t="s">
        <v>166</v>
      </c>
      <c r="D3" s="821"/>
      <c r="E3" s="821"/>
      <c r="F3" s="821"/>
      <c r="G3" s="821"/>
      <c r="H3" s="821"/>
      <c r="I3" s="821"/>
      <c r="J3" s="821"/>
      <c r="K3" s="821"/>
      <c r="L3" s="821"/>
      <c r="M3" s="821"/>
      <c r="N3" s="821"/>
      <c r="O3" s="821"/>
    </row>
    <row r="4" spans="1:15" ht="45.75" thickBot="1" x14ac:dyDescent="0.3">
      <c r="A4" s="797"/>
      <c r="B4" s="799"/>
      <c r="C4" s="285" t="s">
        <v>24</v>
      </c>
      <c r="D4" s="285" t="s">
        <v>26</v>
      </c>
      <c r="E4" s="286" t="s">
        <v>28</v>
      </c>
      <c r="F4" s="286" t="s">
        <v>30</v>
      </c>
      <c r="G4" s="85" t="s">
        <v>121</v>
      </c>
      <c r="H4" s="85" t="s">
        <v>131</v>
      </c>
      <c r="I4" s="85" t="s">
        <v>123</v>
      </c>
      <c r="J4" s="85" t="s">
        <v>38</v>
      </c>
      <c r="K4" s="85" t="s">
        <v>124</v>
      </c>
      <c r="L4" s="286" t="s">
        <v>125</v>
      </c>
      <c r="M4" s="287" t="s">
        <v>176</v>
      </c>
      <c r="N4" s="287" t="s">
        <v>1141</v>
      </c>
      <c r="O4" s="287" t="s">
        <v>177</v>
      </c>
    </row>
    <row r="5" spans="1:15" x14ac:dyDescent="0.25">
      <c r="A5" s="272">
        <v>1</v>
      </c>
      <c r="B5" s="272" t="s">
        <v>139</v>
      </c>
      <c r="C5" s="692">
        <f>IFERROR('Area&amp;production data'!W5/'Area&amp;production data'!F5,0)</f>
        <v>0</v>
      </c>
      <c r="D5" s="692">
        <f>IFERROR('Area&amp;production data'!X5/'Area&amp;production data'!G5,0)</f>
        <v>0</v>
      </c>
      <c r="E5" s="692">
        <f>IFERROR('Area&amp;production data'!Y5/'Area&amp;production data'!H5,0)</f>
        <v>0</v>
      </c>
      <c r="F5" s="692">
        <f>IFERROR('Area&amp;production data'!Z5/'Area&amp;production data'!I5,0)</f>
        <v>0</v>
      </c>
      <c r="G5" s="692">
        <f>IFERROR('Area&amp;production data'!AA5/'Area&amp;production data'!J5,0)</f>
        <v>0</v>
      </c>
      <c r="H5" s="692">
        <f>IFERROR('Area&amp;production data'!AB5/'Area&amp;production data'!K5,0)</f>
        <v>0</v>
      </c>
      <c r="I5" s="692">
        <f>IFERROR('Area&amp;production data'!AC5/'Area&amp;production data'!L5,0)</f>
        <v>0</v>
      </c>
      <c r="J5" s="692">
        <f>IFERROR('Area&amp;production data'!AD5/'Area&amp;production data'!M5,0)</f>
        <v>0</v>
      </c>
      <c r="K5" s="692">
        <f>IFERROR('Area&amp;production data'!AE5/'Area&amp;production data'!N5,0)</f>
        <v>0</v>
      </c>
      <c r="L5" s="692">
        <f>IFERROR('Area&amp;production data'!AF5/'Area&amp;production data'!O5,0)</f>
        <v>0</v>
      </c>
      <c r="M5" s="455" t="str">
        <f>IFERROR('Area&amp;production data'!AG5/'Area&amp;production data'!Q5,"")</f>
        <v/>
      </c>
      <c r="N5" s="455" t="e">
        <f>SUMPRODUCT(I5:K5,'Area&amp;production data'!L5:N5)/SUM('Area&amp;production data'!L5:N5)</f>
        <v>#DIV/0!</v>
      </c>
      <c r="O5" s="455" t="str">
        <f>IFERROR('Area&amp;production data'!AH5/'Area&amp;production data'!R5,"")</f>
        <v/>
      </c>
    </row>
    <row r="6" spans="1:15" x14ac:dyDescent="0.25">
      <c r="A6" s="13">
        <v>2</v>
      </c>
      <c r="B6" s="13" t="s">
        <v>140</v>
      </c>
      <c r="C6" s="692">
        <f>IFERROR('Area&amp;production data'!W6/'Area&amp;production data'!F6,0)</f>
        <v>0</v>
      </c>
      <c r="D6" s="692">
        <f>IFERROR('Area&amp;production data'!X6/'Area&amp;production data'!G6,0)</f>
        <v>0</v>
      </c>
      <c r="E6" s="692">
        <f>IFERROR('Area&amp;production data'!Y6/'Area&amp;production data'!H6,0)</f>
        <v>0</v>
      </c>
      <c r="F6" s="692">
        <f>IFERROR('Area&amp;production data'!Z6/'Area&amp;production data'!I6,0)</f>
        <v>0</v>
      </c>
      <c r="G6" s="692">
        <f>IFERROR('Area&amp;production data'!AA6/'Area&amp;production data'!J6,0)</f>
        <v>0</v>
      </c>
      <c r="H6" s="692">
        <f>IFERROR('Area&amp;production data'!AB6/'Area&amp;production data'!K6,0)</f>
        <v>0</v>
      </c>
      <c r="I6" s="692">
        <f>IFERROR('Area&amp;production data'!AC6/'Area&amp;production data'!L6,0)</f>
        <v>0</v>
      </c>
      <c r="J6" s="692">
        <f>IFERROR('Area&amp;production data'!AD6/'Area&amp;production data'!M6,0)</f>
        <v>0</v>
      </c>
      <c r="K6" s="692">
        <f>IFERROR('Area&amp;production data'!AE6/'Area&amp;production data'!N6,0)</f>
        <v>0</v>
      </c>
      <c r="L6" s="692">
        <f>IFERROR('Area&amp;production data'!AF6/'Area&amp;production data'!O6,0)</f>
        <v>0</v>
      </c>
      <c r="M6" s="455" t="str">
        <f>IFERROR('Area&amp;production data'!AG6/'Area&amp;production data'!Q6,"")</f>
        <v/>
      </c>
      <c r="N6" s="455" t="e">
        <f>SUMPRODUCT(I6:K6,'Area&amp;production data'!L6:N6)/SUM('Area&amp;production data'!L6:N6)</f>
        <v>#DIV/0!</v>
      </c>
      <c r="O6" s="455" t="str">
        <f>IFERROR('Area&amp;production data'!AH6/'Area&amp;production data'!R6,"")</f>
        <v/>
      </c>
    </row>
    <row r="7" spans="1:15" x14ac:dyDescent="0.25">
      <c r="A7" s="272">
        <v>3</v>
      </c>
      <c r="B7" s="13" t="s">
        <v>141</v>
      </c>
      <c r="C7" s="692">
        <f>IFERROR('Area&amp;production data'!W7/'Area&amp;production data'!F7,0)</f>
        <v>0</v>
      </c>
      <c r="D7" s="692">
        <f>IFERROR('Area&amp;production data'!X7/'Area&amp;production data'!G7,0)</f>
        <v>0</v>
      </c>
      <c r="E7" s="692">
        <f>IFERROR('Area&amp;production data'!Y7/'Area&amp;production data'!H7,0)</f>
        <v>0</v>
      </c>
      <c r="F7" s="692">
        <f>IFERROR('Area&amp;production data'!Z7/'Area&amp;production data'!I7,0)</f>
        <v>0</v>
      </c>
      <c r="G7" s="692">
        <f>IFERROR('Area&amp;production data'!AA7/'Area&amp;production data'!J7,0)</f>
        <v>0</v>
      </c>
      <c r="H7" s="692">
        <f>IFERROR('Area&amp;production data'!AB7/'Area&amp;production data'!K7,0)</f>
        <v>0</v>
      </c>
      <c r="I7" s="692">
        <f>IFERROR('Area&amp;production data'!AC7/'Area&amp;production data'!L7,0)</f>
        <v>0</v>
      </c>
      <c r="J7" s="692">
        <f>IFERROR('Area&amp;production data'!AD7/'Area&amp;production data'!M7,0)</f>
        <v>0</v>
      </c>
      <c r="K7" s="692">
        <f>IFERROR('Area&amp;production data'!AE7/'Area&amp;production data'!N7,0)</f>
        <v>0</v>
      </c>
      <c r="L7" s="692">
        <f>IFERROR('Area&amp;production data'!AF7/'Area&amp;production data'!O7,0)</f>
        <v>0</v>
      </c>
      <c r="M7" s="455" t="str">
        <f>IFERROR('Area&amp;production data'!AG7/'Area&amp;production data'!Q7,"")</f>
        <v/>
      </c>
      <c r="N7" s="455" t="e">
        <f>SUMPRODUCT(I7:K7,'Area&amp;production data'!L7:N7)/SUM('Area&amp;production data'!L7:N7)</f>
        <v>#DIV/0!</v>
      </c>
      <c r="O7" s="455" t="str">
        <f>IFERROR('Area&amp;production data'!AH7/'Area&amp;production data'!R7,"")</f>
        <v/>
      </c>
    </row>
    <row r="8" spans="1:15" x14ac:dyDescent="0.25">
      <c r="A8" s="13">
        <v>4</v>
      </c>
      <c r="B8" s="13" t="s">
        <v>142</v>
      </c>
      <c r="C8" s="692">
        <f>IFERROR('Area&amp;production data'!W8/'Area&amp;production data'!F8,0)</f>
        <v>0</v>
      </c>
      <c r="D8" s="692">
        <f>IFERROR('Area&amp;production data'!X8/'Area&amp;production data'!G8,0)</f>
        <v>0</v>
      </c>
      <c r="E8" s="692">
        <f>IFERROR('Area&amp;production data'!Y8/'Area&amp;production data'!H8,0)</f>
        <v>0</v>
      </c>
      <c r="F8" s="692">
        <f>IFERROR('Area&amp;production data'!Z8/'Area&amp;production data'!I8,0)</f>
        <v>0</v>
      </c>
      <c r="G8" s="692">
        <f>IFERROR('Area&amp;production data'!AA8/'Area&amp;production data'!J8,0)</f>
        <v>0</v>
      </c>
      <c r="H8" s="692">
        <f>IFERROR('Area&amp;production data'!AB8/'Area&amp;production data'!K8,0)</f>
        <v>0</v>
      </c>
      <c r="I8" s="692">
        <f>IFERROR('Area&amp;production data'!AC8/'Area&amp;production data'!L8,0)</f>
        <v>0</v>
      </c>
      <c r="J8" s="692">
        <f>IFERROR('Area&amp;production data'!AD8/'Area&amp;production data'!M8,0)</f>
        <v>0</v>
      </c>
      <c r="K8" s="692">
        <f>IFERROR('Area&amp;production data'!AE8/'Area&amp;production data'!N8,0)</f>
        <v>0</v>
      </c>
      <c r="L8" s="692">
        <f>IFERROR('Area&amp;production data'!AF8/'Area&amp;production data'!O8,0)</f>
        <v>0</v>
      </c>
      <c r="M8" s="455" t="str">
        <f>IFERROR('Area&amp;production data'!AG8/'Area&amp;production data'!Q8,"")</f>
        <v/>
      </c>
      <c r="N8" s="455" t="e">
        <f>SUMPRODUCT(I8:K8,'Area&amp;production data'!L8:N8)/SUM('Area&amp;production data'!L8:N8)</f>
        <v>#DIV/0!</v>
      </c>
      <c r="O8" s="455" t="str">
        <f>IFERROR('Area&amp;production data'!AH8/'Area&amp;production data'!R8,"")</f>
        <v/>
      </c>
    </row>
    <row r="9" spans="1:15" x14ac:dyDescent="0.25">
      <c r="A9" s="272">
        <v>5</v>
      </c>
      <c r="B9" s="13" t="s">
        <v>143</v>
      </c>
      <c r="C9" s="692">
        <f>IFERROR('Area&amp;production data'!W9/'Area&amp;production data'!F9,0)</f>
        <v>0</v>
      </c>
      <c r="D9" s="692">
        <f>IFERROR('Area&amp;production data'!X9/'Area&amp;production data'!G9,0)</f>
        <v>0</v>
      </c>
      <c r="E9" s="692">
        <f>IFERROR('Area&amp;production data'!Y9/'Area&amp;production data'!H9,0)</f>
        <v>0</v>
      </c>
      <c r="F9" s="692">
        <f>IFERROR('Area&amp;production data'!Z9/'Area&amp;production data'!I9,0)</f>
        <v>0</v>
      </c>
      <c r="G9" s="692">
        <f>IFERROR('Area&amp;production data'!AA9/'Area&amp;production data'!J9,0)</f>
        <v>0</v>
      </c>
      <c r="H9" s="692">
        <f>IFERROR('Area&amp;production data'!AB9/'Area&amp;production data'!K9,0)</f>
        <v>0</v>
      </c>
      <c r="I9" s="692">
        <f>IFERROR('Area&amp;production data'!AC9/'Area&amp;production data'!L9,0)</f>
        <v>0</v>
      </c>
      <c r="J9" s="692">
        <f>IFERROR('Area&amp;production data'!AD9/'Area&amp;production data'!M9,0)</f>
        <v>0</v>
      </c>
      <c r="K9" s="692">
        <f>IFERROR('Area&amp;production data'!AE9/'Area&amp;production data'!N9,0)</f>
        <v>0</v>
      </c>
      <c r="L9" s="692">
        <f>IFERROR('Area&amp;production data'!AF9/'Area&amp;production data'!O9,0)</f>
        <v>0</v>
      </c>
      <c r="M9" s="455" t="str">
        <f>IFERROR('Area&amp;production data'!AG9/'Area&amp;production data'!Q9,"")</f>
        <v/>
      </c>
      <c r="N9" s="455" t="e">
        <f>SUMPRODUCT(I9:K9,'Area&amp;production data'!L9:N9)/SUM('Area&amp;production data'!L9:N9)</f>
        <v>#DIV/0!</v>
      </c>
      <c r="O9" s="455" t="str">
        <f>IFERROR('Area&amp;production data'!AH9/'Area&amp;production data'!R9,"")</f>
        <v/>
      </c>
    </row>
    <row r="10" spans="1:15" x14ac:dyDescent="0.25">
      <c r="A10" s="13">
        <v>6</v>
      </c>
      <c r="B10" s="13" t="s">
        <v>144</v>
      </c>
      <c r="C10" s="692">
        <f>IFERROR('Area&amp;production data'!W10/'Area&amp;production data'!F10,0)</f>
        <v>0</v>
      </c>
      <c r="D10" s="692">
        <f>IFERROR('Area&amp;production data'!X10/'Area&amp;production data'!G10,0)</f>
        <v>0</v>
      </c>
      <c r="E10" s="692">
        <f>IFERROR('Area&amp;production data'!Y10/'Area&amp;production data'!H10,0)</f>
        <v>0</v>
      </c>
      <c r="F10" s="692">
        <f>IFERROR('Area&amp;production data'!Z10/'Area&amp;production data'!I10,0)</f>
        <v>0</v>
      </c>
      <c r="G10" s="692">
        <f>IFERROR('Area&amp;production data'!AA10/'Area&amp;production data'!J10,0)</f>
        <v>0</v>
      </c>
      <c r="H10" s="692">
        <f>IFERROR('Area&amp;production data'!AB10/'Area&amp;production data'!K10,0)</f>
        <v>0</v>
      </c>
      <c r="I10" s="692">
        <f>IFERROR('Area&amp;production data'!AC10/'Area&amp;production data'!L10,0)</f>
        <v>0</v>
      </c>
      <c r="J10" s="692">
        <f>IFERROR('Area&amp;production data'!AD10/'Area&amp;production data'!M10,0)</f>
        <v>0</v>
      </c>
      <c r="K10" s="692">
        <f>IFERROR('Area&amp;production data'!AE10/'Area&amp;production data'!N10,0)</f>
        <v>0</v>
      </c>
      <c r="L10" s="692">
        <f>IFERROR('Area&amp;production data'!AF10/'Area&amp;production data'!O10,0)</f>
        <v>0</v>
      </c>
      <c r="M10" s="455" t="str">
        <f>IFERROR('Area&amp;production data'!AG10/'Area&amp;production data'!Q10,"")</f>
        <v/>
      </c>
      <c r="N10" s="455" t="e">
        <f>SUMPRODUCT(I10:K10,'Area&amp;production data'!L10:N10)/SUM('Area&amp;production data'!L10:N10)</f>
        <v>#DIV/0!</v>
      </c>
      <c r="O10" s="455" t="str">
        <f>IFERROR('Area&amp;production data'!AH10/'Area&amp;production data'!R10,"")</f>
        <v/>
      </c>
    </row>
    <row r="11" spans="1:15" x14ac:dyDescent="0.25">
      <c r="A11" s="272">
        <v>7</v>
      </c>
      <c r="B11" s="13" t="s">
        <v>145</v>
      </c>
      <c r="C11" s="692">
        <f>IFERROR('Area&amp;production data'!W11/'Area&amp;production data'!F11,0)</f>
        <v>0</v>
      </c>
      <c r="D11" s="692">
        <f>IFERROR('Area&amp;production data'!X11/'Area&amp;production data'!G11,0)</f>
        <v>0</v>
      </c>
      <c r="E11" s="692">
        <f>IFERROR('Area&amp;production data'!Y11/'Area&amp;production data'!H11,0)</f>
        <v>0</v>
      </c>
      <c r="F11" s="692">
        <f>IFERROR('Area&amp;production data'!Z11/'Area&amp;production data'!I11,0)</f>
        <v>0</v>
      </c>
      <c r="G11" s="692">
        <f>IFERROR('Area&amp;production data'!AA11/'Area&amp;production data'!J11,0)</f>
        <v>0</v>
      </c>
      <c r="H11" s="692">
        <f>IFERROR('Area&amp;production data'!AB11/'Area&amp;production data'!K11,0)</f>
        <v>0</v>
      </c>
      <c r="I11" s="692">
        <f>IFERROR('Area&amp;production data'!AC11/'Area&amp;production data'!L11,0)</f>
        <v>0</v>
      </c>
      <c r="J11" s="692">
        <f>IFERROR('Area&amp;production data'!AD11/'Area&amp;production data'!M11,0)</f>
        <v>0</v>
      </c>
      <c r="K11" s="692">
        <f>IFERROR('Area&amp;production data'!AE11/'Area&amp;production data'!N11,0)</f>
        <v>0</v>
      </c>
      <c r="L11" s="692">
        <f>IFERROR('Area&amp;production data'!AF11/'Area&amp;production data'!O11,0)</f>
        <v>0</v>
      </c>
      <c r="M11" s="455" t="str">
        <f>IFERROR('Area&amp;production data'!AG11/'Area&amp;production data'!Q11,"")</f>
        <v/>
      </c>
      <c r="N11" s="455" t="e">
        <f>SUMPRODUCT(I11:K11,'Area&amp;production data'!L11:N11)/SUM('Area&amp;production data'!L11:N11)</f>
        <v>#DIV/0!</v>
      </c>
      <c r="O11" s="455" t="str">
        <f>IFERROR('Area&amp;production data'!AH11/'Area&amp;production data'!R11,"")</f>
        <v/>
      </c>
    </row>
    <row r="12" spans="1:15" x14ac:dyDescent="0.25">
      <c r="A12" s="13">
        <v>8</v>
      </c>
      <c r="B12" s="13" t="s">
        <v>146</v>
      </c>
      <c r="C12" s="692">
        <f>IFERROR('Area&amp;production data'!W12/'Area&amp;production data'!F12,0)</f>
        <v>0</v>
      </c>
      <c r="D12" s="692">
        <f>IFERROR('Area&amp;production data'!X12/'Area&amp;production data'!G12,0)</f>
        <v>0</v>
      </c>
      <c r="E12" s="692">
        <f>IFERROR('Area&amp;production data'!Y12/'Area&amp;production data'!H12,0)</f>
        <v>0</v>
      </c>
      <c r="F12" s="692">
        <f>IFERROR('Area&amp;production data'!Z12/'Area&amp;production data'!I12,0)</f>
        <v>0</v>
      </c>
      <c r="G12" s="692">
        <f>IFERROR('Area&amp;production data'!AA12/'Area&amp;production data'!J12,0)</f>
        <v>0</v>
      </c>
      <c r="H12" s="692">
        <f>IFERROR('Area&amp;production data'!AB12/'Area&amp;production data'!K12,0)</f>
        <v>0</v>
      </c>
      <c r="I12" s="692">
        <f>IFERROR('Area&amp;production data'!AC12/'Area&amp;production data'!L12,0)</f>
        <v>0</v>
      </c>
      <c r="J12" s="692">
        <f>IFERROR('Area&amp;production data'!AD12/'Area&amp;production data'!M12,0)</f>
        <v>0</v>
      </c>
      <c r="K12" s="692">
        <f>IFERROR('Area&amp;production data'!AE12/'Area&amp;production data'!N12,0)</f>
        <v>0</v>
      </c>
      <c r="L12" s="692">
        <f>IFERROR('Area&amp;production data'!AF12/'Area&amp;production data'!O12,0)</f>
        <v>0</v>
      </c>
      <c r="M12" s="455" t="str">
        <f>IFERROR('Area&amp;production data'!AG12/'Area&amp;production data'!Q12,"")</f>
        <v/>
      </c>
      <c r="N12" s="455" t="e">
        <f>SUMPRODUCT(I12:K12,'Area&amp;production data'!L12:N12)/SUM('Area&amp;production data'!L12:N12)</f>
        <v>#DIV/0!</v>
      </c>
      <c r="O12" s="455" t="str">
        <f>IFERROR('Area&amp;production data'!AH12/'Area&amp;production data'!R12,"")</f>
        <v/>
      </c>
    </row>
    <row r="13" spans="1:15" x14ac:dyDescent="0.25">
      <c r="A13" s="272">
        <v>9</v>
      </c>
      <c r="B13" s="13" t="s">
        <v>147</v>
      </c>
      <c r="C13" s="692">
        <f>IFERROR('Area&amp;production data'!W13/'Area&amp;production data'!F13,0)</f>
        <v>0</v>
      </c>
      <c r="D13" s="692">
        <f>IFERROR('Area&amp;production data'!X13/'Area&amp;production data'!G13,0)</f>
        <v>0</v>
      </c>
      <c r="E13" s="692">
        <f>IFERROR('Area&amp;production data'!Y13/'Area&amp;production data'!H13,0)</f>
        <v>0</v>
      </c>
      <c r="F13" s="692">
        <f>IFERROR('Area&amp;production data'!Z13/'Area&amp;production data'!I13,0)</f>
        <v>0</v>
      </c>
      <c r="G13" s="692">
        <f>IFERROR('Area&amp;production data'!AA13/'Area&amp;production data'!J13,0)</f>
        <v>0</v>
      </c>
      <c r="H13" s="692">
        <f>IFERROR('Area&amp;production data'!AB13/'Area&amp;production data'!K13,0)</f>
        <v>0</v>
      </c>
      <c r="I13" s="692">
        <f>IFERROR('Area&amp;production data'!AC13/'Area&amp;production data'!L13,0)</f>
        <v>0</v>
      </c>
      <c r="J13" s="692">
        <f>IFERROR('Area&amp;production data'!AD13/'Area&amp;production data'!M13,0)</f>
        <v>0</v>
      </c>
      <c r="K13" s="692">
        <f>IFERROR('Area&amp;production data'!AE13/'Area&amp;production data'!N13,0)</f>
        <v>0</v>
      </c>
      <c r="L13" s="692">
        <f>IFERROR('Area&amp;production data'!AF13/'Area&amp;production data'!O13,0)</f>
        <v>0</v>
      </c>
      <c r="M13" s="455" t="str">
        <f>IFERROR('Area&amp;production data'!AG13/'Area&amp;production data'!Q13,"")</f>
        <v/>
      </c>
      <c r="N13" s="455" t="e">
        <f>SUMPRODUCT(I13:K13,'Area&amp;production data'!L13:N13)/SUM('Area&amp;production data'!L13:N13)</f>
        <v>#DIV/0!</v>
      </c>
      <c r="O13" s="455" t="str">
        <f>IFERROR('Area&amp;production data'!AH13/'Area&amp;production data'!R13,"")</f>
        <v/>
      </c>
    </row>
    <row r="14" spans="1:15" x14ac:dyDescent="0.25">
      <c r="A14" s="13">
        <v>10</v>
      </c>
      <c r="B14" s="13" t="s">
        <v>148</v>
      </c>
      <c r="C14" s="692">
        <f>IFERROR('Area&amp;production data'!W14/'Area&amp;production data'!F14,0)</f>
        <v>0</v>
      </c>
      <c r="D14" s="692">
        <f>IFERROR('Area&amp;production data'!X14/'Area&amp;production data'!G14,0)</f>
        <v>0</v>
      </c>
      <c r="E14" s="692">
        <f>IFERROR('Area&amp;production data'!Y14/'Area&amp;production data'!H14,0)</f>
        <v>0</v>
      </c>
      <c r="F14" s="692">
        <f>IFERROR('Area&amp;production data'!Z14/'Area&amp;production data'!I14,0)</f>
        <v>0</v>
      </c>
      <c r="G14" s="692">
        <f>IFERROR('Area&amp;production data'!AA14/'Area&amp;production data'!J14,0)</f>
        <v>0</v>
      </c>
      <c r="H14" s="692">
        <f>IFERROR('Area&amp;production data'!AB14/'Area&amp;production data'!K14,0)</f>
        <v>0</v>
      </c>
      <c r="I14" s="692">
        <f>IFERROR('Area&amp;production data'!AC14/'Area&amp;production data'!L14,0)</f>
        <v>0</v>
      </c>
      <c r="J14" s="692">
        <f>IFERROR('Area&amp;production data'!AD14/'Area&amp;production data'!M14,0)</f>
        <v>0</v>
      </c>
      <c r="K14" s="692">
        <f>IFERROR('Area&amp;production data'!AE14/'Area&amp;production data'!N14,0)</f>
        <v>0</v>
      </c>
      <c r="L14" s="692">
        <f>IFERROR('Area&amp;production data'!AF14/'Area&amp;production data'!O14,0)</f>
        <v>0</v>
      </c>
      <c r="M14" s="455" t="str">
        <f>IFERROR('Area&amp;production data'!AG14/'Area&amp;production data'!Q14,"")</f>
        <v/>
      </c>
      <c r="N14" s="455" t="e">
        <f>SUMPRODUCT(I14:K14,'Area&amp;production data'!L14:N14)/SUM('Area&amp;production data'!L14:N14)</f>
        <v>#DIV/0!</v>
      </c>
      <c r="O14" s="455" t="str">
        <f>IFERROR('Area&amp;production data'!AH14/'Area&amp;production data'!R14,"")</f>
        <v/>
      </c>
    </row>
    <row r="15" spans="1:15" x14ac:dyDescent="0.25">
      <c r="A15" s="272">
        <v>11</v>
      </c>
      <c r="B15" s="13" t="s">
        <v>149</v>
      </c>
      <c r="C15" s="692">
        <f>IFERROR('Area&amp;production data'!W15/'Area&amp;production data'!F15,0)</f>
        <v>0</v>
      </c>
      <c r="D15" s="692">
        <f>IFERROR('Area&amp;production data'!X15/'Area&amp;production data'!G15,0)</f>
        <v>0</v>
      </c>
      <c r="E15" s="692">
        <f>IFERROR('Area&amp;production data'!Y15/'Area&amp;production data'!H15,0)</f>
        <v>0</v>
      </c>
      <c r="F15" s="692">
        <f>IFERROR('Area&amp;production data'!Z15/'Area&amp;production data'!I15,0)</f>
        <v>0</v>
      </c>
      <c r="G15" s="692">
        <f>IFERROR('Area&amp;production data'!AA15/'Area&amp;production data'!J15,0)</f>
        <v>0</v>
      </c>
      <c r="H15" s="692">
        <f>IFERROR('Area&amp;production data'!AB15/'Area&amp;production data'!K15,0)</f>
        <v>0</v>
      </c>
      <c r="I15" s="692">
        <f>IFERROR('Area&amp;production data'!AC15/'Area&amp;production data'!L15,0)</f>
        <v>0</v>
      </c>
      <c r="J15" s="692">
        <f>IFERROR('Area&amp;production data'!AD15/'Area&amp;production data'!M15,0)</f>
        <v>0</v>
      </c>
      <c r="K15" s="692">
        <f>IFERROR('Area&amp;production data'!AE15/'Area&amp;production data'!N15,0)</f>
        <v>0</v>
      </c>
      <c r="L15" s="692">
        <f>IFERROR('Area&amp;production data'!AF15/'Area&amp;production data'!O15,0)</f>
        <v>0</v>
      </c>
      <c r="M15" s="455" t="str">
        <f>IFERROR('Area&amp;production data'!AG15/'Area&amp;production data'!Q15,"")</f>
        <v/>
      </c>
      <c r="N15" s="455" t="e">
        <f>SUMPRODUCT(I15:K15,'Area&amp;production data'!L15:N15)/SUM('Area&amp;production data'!L15:N15)</f>
        <v>#DIV/0!</v>
      </c>
      <c r="O15" s="455" t="str">
        <f>IFERROR('Area&amp;production data'!AH15/'Area&amp;production data'!R15,"")</f>
        <v/>
      </c>
    </row>
    <row r="16" spans="1:15" x14ac:dyDescent="0.25">
      <c r="A16" s="13">
        <v>12</v>
      </c>
      <c r="B16" s="13" t="s">
        <v>150</v>
      </c>
      <c r="C16" s="692">
        <f>IFERROR('Area&amp;production data'!W16/'Area&amp;production data'!F16,0)</f>
        <v>0</v>
      </c>
      <c r="D16" s="692">
        <f>IFERROR('Area&amp;production data'!X16/'Area&amp;production data'!G16,0)</f>
        <v>0</v>
      </c>
      <c r="E16" s="692">
        <f>IFERROR('Area&amp;production data'!Y16/'Area&amp;production data'!H16,0)</f>
        <v>0</v>
      </c>
      <c r="F16" s="692">
        <f>IFERROR('Area&amp;production data'!Z16/'Area&amp;production data'!I16,0)</f>
        <v>0</v>
      </c>
      <c r="G16" s="692">
        <f>IFERROR('Area&amp;production data'!AA16/'Area&amp;production data'!J16,0)</f>
        <v>0</v>
      </c>
      <c r="H16" s="692">
        <f>IFERROR('Area&amp;production data'!AB16/'Area&amp;production data'!K16,0)</f>
        <v>0</v>
      </c>
      <c r="I16" s="692">
        <f>IFERROR('Area&amp;production data'!AC16/'Area&amp;production data'!L16,0)</f>
        <v>0</v>
      </c>
      <c r="J16" s="692">
        <f>IFERROR('Area&amp;production data'!AD16/'Area&amp;production data'!M16,0)</f>
        <v>0</v>
      </c>
      <c r="K16" s="692">
        <f>IFERROR('Area&amp;production data'!AE16/'Area&amp;production data'!N16,0)</f>
        <v>0</v>
      </c>
      <c r="L16" s="692">
        <f>IFERROR('Area&amp;production data'!AF16/'Area&amp;production data'!O16,0)</f>
        <v>0</v>
      </c>
      <c r="M16" s="455" t="str">
        <f>IFERROR('Area&amp;production data'!AG16/'Area&amp;production data'!Q16,"")</f>
        <v/>
      </c>
      <c r="N16" s="455" t="e">
        <f>SUMPRODUCT(I16:K16,'Area&amp;production data'!L16:N16)/SUM('Area&amp;production data'!L16:N16)</f>
        <v>#DIV/0!</v>
      </c>
      <c r="O16" s="455" t="str">
        <f>IFERROR('Area&amp;production data'!AH16/'Area&amp;production data'!R16,"")</f>
        <v/>
      </c>
    </row>
    <row r="17" spans="1:15" x14ac:dyDescent="0.25">
      <c r="A17" s="272">
        <v>13</v>
      </c>
      <c r="B17" s="13" t="s">
        <v>151</v>
      </c>
      <c r="C17" s="692">
        <f>IFERROR('Area&amp;production data'!W17/'Area&amp;production data'!F17,0)</f>
        <v>0</v>
      </c>
      <c r="D17" s="692">
        <f>IFERROR('Area&amp;production data'!X17/'Area&amp;production data'!G17,0)</f>
        <v>0</v>
      </c>
      <c r="E17" s="692">
        <f>IFERROR('Area&amp;production data'!Y17/'Area&amp;production data'!H17,0)</f>
        <v>0</v>
      </c>
      <c r="F17" s="692">
        <f>IFERROR('Area&amp;production data'!Z17/'Area&amp;production data'!I17,0)</f>
        <v>0</v>
      </c>
      <c r="G17" s="692">
        <f>IFERROR('Area&amp;production data'!AA17/'Area&amp;production data'!J17,0)</f>
        <v>0</v>
      </c>
      <c r="H17" s="692">
        <f>IFERROR('Area&amp;production data'!AB17/'Area&amp;production data'!K17,0)</f>
        <v>0</v>
      </c>
      <c r="I17" s="692">
        <f>IFERROR('Area&amp;production data'!AC17/'Area&amp;production data'!L17,0)</f>
        <v>0</v>
      </c>
      <c r="J17" s="692">
        <f>IFERROR('Area&amp;production data'!AD17/'Area&amp;production data'!M17,0)</f>
        <v>0</v>
      </c>
      <c r="K17" s="692">
        <f>IFERROR('Area&amp;production data'!AE17/'Area&amp;production data'!N17,0)</f>
        <v>0</v>
      </c>
      <c r="L17" s="692">
        <f>IFERROR('Area&amp;production data'!AF17/'Area&amp;production data'!O17,0)</f>
        <v>0</v>
      </c>
      <c r="M17" s="455" t="str">
        <f>IFERROR('Area&amp;production data'!AG17/'Area&amp;production data'!Q17,"")</f>
        <v/>
      </c>
      <c r="N17" s="455" t="e">
        <f>SUMPRODUCT(I17:K17,'Area&amp;production data'!L17:N17)/SUM('Area&amp;production data'!L17:N17)</f>
        <v>#DIV/0!</v>
      </c>
      <c r="O17" s="455" t="str">
        <f>IFERROR('Area&amp;production data'!AH17/'Area&amp;production data'!R17,"")</f>
        <v/>
      </c>
    </row>
    <row r="18" spans="1:15" x14ac:dyDescent="0.25">
      <c r="A18" s="13">
        <v>14</v>
      </c>
      <c r="B18" s="13" t="s">
        <v>152</v>
      </c>
      <c r="C18" s="692">
        <f>IFERROR('Area&amp;production data'!W18/'Area&amp;production data'!F18,0)</f>
        <v>0</v>
      </c>
      <c r="D18" s="692">
        <f>IFERROR('Area&amp;production data'!X18/'Area&amp;production data'!G18,0)</f>
        <v>0</v>
      </c>
      <c r="E18" s="692">
        <f>IFERROR('Area&amp;production data'!Y18/'Area&amp;production data'!H18,0)</f>
        <v>0</v>
      </c>
      <c r="F18" s="692">
        <f>IFERROR('Area&amp;production data'!Z18/'Area&amp;production data'!I18,0)</f>
        <v>0</v>
      </c>
      <c r="G18" s="692">
        <f>IFERROR('Area&amp;production data'!AA18/'Area&amp;production data'!J18,0)</f>
        <v>0</v>
      </c>
      <c r="H18" s="692">
        <f>IFERROR('Area&amp;production data'!AB18/'Area&amp;production data'!K18,0)</f>
        <v>0</v>
      </c>
      <c r="I18" s="692">
        <f>IFERROR('Area&amp;production data'!AC18/'Area&amp;production data'!L18,0)</f>
        <v>0</v>
      </c>
      <c r="J18" s="692">
        <f>IFERROR('Area&amp;production data'!AD18/'Area&amp;production data'!M18,0)</f>
        <v>0</v>
      </c>
      <c r="K18" s="692">
        <f>IFERROR('Area&amp;production data'!AE18/'Area&amp;production data'!N18,0)</f>
        <v>0</v>
      </c>
      <c r="L18" s="692">
        <f>IFERROR('Area&amp;production data'!AF18/'Area&amp;production data'!O18,0)</f>
        <v>0</v>
      </c>
      <c r="M18" s="455" t="str">
        <f>IFERROR('Area&amp;production data'!AG18/'Area&amp;production data'!Q18,"")</f>
        <v/>
      </c>
      <c r="N18" s="455" t="e">
        <f>SUMPRODUCT(I18:K18,'Area&amp;production data'!L18:N18)/SUM('Area&amp;production data'!L18:N18)</f>
        <v>#DIV/0!</v>
      </c>
      <c r="O18" s="455" t="str">
        <f>IFERROR('Area&amp;production data'!AH18/'Area&amp;production data'!R18,"")</f>
        <v/>
      </c>
    </row>
    <row r="19" spans="1:15" x14ac:dyDescent="0.25">
      <c r="A19" s="272">
        <v>15</v>
      </c>
      <c r="B19" s="13" t="s">
        <v>153</v>
      </c>
      <c r="C19" s="692">
        <f>IFERROR('Area&amp;production data'!W19/'Area&amp;production data'!F19,0)</f>
        <v>0</v>
      </c>
      <c r="D19" s="692">
        <f>IFERROR('Area&amp;production data'!X19/'Area&amp;production data'!G19,0)</f>
        <v>0</v>
      </c>
      <c r="E19" s="692">
        <f>IFERROR('Area&amp;production data'!Y19/'Area&amp;production data'!H19,0)</f>
        <v>0</v>
      </c>
      <c r="F19" s="692">
        <f>IFERROR('Area&amp;production data'!Z19/'Area&amp;production data'!I19,0)</f>
        <v>0</v>
      </c>
      <c r="G19" s="692">
        <f>IFERROR('Area&amp;production data'!AA19/'Area&amp;production data'!J19,0)</f>
        <v>0</v>
      </c>
      <c r="H19" s="692">
        <f>IFERROR('Area&amp;production data'!AB19/'Area&amp;production data'!K19,0)</f>
        <v>0</v>
      </c>
      <c r="I19" s="692">
        <f>IFERROR('Area&amp;production data'!AC19/'Area&amp;production data'!L19,0)</f>
        <v>0</v>
      </c>
      <c r="J19" s="692">
        <f>IFERROR('Area&amp;production data'!AD19/'Area&amp;production data'!M19,0)</f>
        <v>0</v>
      </c>
      <c r="K19" s="692">
        <f>IFERROR('Area&amp;production data'!AE19/'Area&amp;production data'!N19,0)</f>
        <v>0</v>
      </c>
      <c r="L19" s="692">
        <f>IFERROR('Area&amp;production data'!AF19/'Area&amp;production data'!O19,0)</f>
        <v>0</v>
      </c>
      <c r="M19" s="455" t="str">
        <f>IFERROR('Area&amp;production data'!AG19/'Area&amp;production data'!Q19,"")</f>
        <v/>
      </c>
      <c r="N19" s="455" t="e">
        <f>SUMPRODUCT(I19:K19,'Area&amp;production data'!L19:N19)/SUM('Area&amp;production data'!L19:N19)</f>
        <v>#DIV/0!</v>
      </c>
      <c r="O19" s="455" t="str">
        <f>IFERROR('Area&amp;production data'!AH19/'Area&amp;production data'!R19,"")</f>
        <v/>
      </c>
    </row>
    <row r="20" spans="1:15" x14ac:dyDescent="0.25">
      <c r="A20" s="13">
        <v>16</v>
      </c>
      <c r="B20" s="13" t="s">
        <v>154</v>
      </c>
      <c r="C20" s="692">
        <f>IFERROR('Area&amp;production data'!W20/'Area&amp;production data'!F20,0)</f>
        <v>0</v>
      </c>
      <c r="D20" s="692">
        <f>IFERROR('Area&amp;production data'!X20/'Area&amp;production data'!G20,0)</f>
        <v>0</v>
      </c>
      <c r="E20" s="692">
        <f>IFERROR('Area&amp;production data'!Y20/'Area&amp;production data'!H20,0)</f>
        <v>0</v>
      </c>
      <c r="F20" s="692">
        <f>IFERROR('Area&amp;production data'!Z20/'Area&amp;production data'!I20,0)</f>
        <v>0</v>
      </c>
      <c r="G20" s="692">
        <f>IFERROR('Area&amp;production data'!AA20/'Area&amp;production data'!J20,0)</f>
        <v>0</v>
      </c>
      <c r="H20" s="692">
        <f>IFERROR('Area&amp;production data'!AB20/'Area&amp;production data'!K20,0)</f>
        <v>0</v>
      </c>
      <c r="I20" s="692">
        <f>IFERROR('Area&amp;production data'!AC20/'Area&amp;production data'!L20,0)</f>
        <v>0</v>
      </c>
      <c r="J20" s="692">
        <f>IFERROR('Area&amp;production data'!AD20/'Area&amp;production data'!M20,0)</f>
        <v>0</v>
      </c>
      <c r="K20" s="692">
        <f>IFERROR('Area&amp;production data'!AE20/'Area&amp;production data'!N20,0)</f>
        <v>0</v>
      </c>
      <c r="L20" s="692">
        <f>IFERROR('Area&amp;production data'!AF20/'Area&amp;production data'!O20,0)</f>
        <v>0</v>
      </c>
      <c r="M20" s="455" t="str">
        <f>IFERROR('Area&amp;production data'!AG20/'Area&amp;production data'!Q20,"")</f>
        <v/>
      </c>
      <c r="N20" s="455" t="e">
        <f>SUMPRODUCT(I20:K20,'Area&amp;production data'!L20:N20)/SUM('Area&amp;production data'!L20:N20)</f>
        <v>#DIV/0!</v>
      </c>
      <c r="O20" s="455" t="str">
        <f>IFERROR('Area&amp;production data'!AH20/'Area&amp;production data'!R20,"")</f>
        <v/>
      </c>
    </row>
    <row r="21" spans="1:15" x14ac:dyDescent="0.25">
      <c r="A21" s="272">
        <v>17</v>
      </c>
      <c r="B21" s="13" t="s">
        <v>155</v>
      </c>
      <c r="C21" s="692">
        <f>IFERROR('Area&amp;production data'!W21/'Area&amp;production data'!F21,0)</f>
        <v>0</v>
      </c>
      <c r="D21" s="692">
        <f>IFERROR('Area&amp;production data'!X21/'Area&amp;production data'!G21,0)</f>
        <v>0</v>
      </c>
      <c r="E21" s="692">
        <f>IFERROR('Area&amp;production data'!Y21/'Area&amp;production data'!H21,0)</f>
        <v>0</v>
      </c>
      <c r="F21" s="692">
        <f>IFERROR('Area&amp;production data'!Z21/'Area&amp;production data'!I21,0)</f>
        <v>0</v>
      </c>
      <c r="G21" s="692">
        <f>IFERROR('Area&amp;production data'!AA21/'Area&amp;production data'!J21,0)</f>
        <v>0</v>
      </c>
      <c r="H21" s="692">
        <f>IFERROR('Area&amp;production data'!AB21/'Area&amp;production data'!K21,0)</f>
        <v>0</v>
      </c>
      <c r="I21" s="692">
        <f>IFERROR('Area&amp;production data'!AC21/'Area&amp;production data'!L21,0)</f>
        <v>0</v>
      </c>
      <c r="J21" s="692">
        <f>IFERROR('Area&amp;production data'!AD21/'Area&amp;production data'!M21,0)</f>
        <v>0</v>
      </c>
      <c r="K21" s="692">
        <f>IFERROR('Area&amp;production data'!AE21/'Area&amp;production data'!N21,0)</f>
        <v>0</v>
      </c>
      <c r="L21" s="692">
        <f>IFERROR('Area&amp;production data'!AF21/'Area&amp;production data'!O21,0)</f>
        <v>0</v>
      </c>
      <c r="M21" s="455" t="str">
        <f>IFERROR('Area&amp;production data'!AG21/'Area&amp;production data'!Q21,"")</f>
        <v/>
      </c>
      <c r="N21" s="455" t="e">
        <f>SUMPRODUCT(I21:K21,'Area&amp;production data'!L21:N21)/SUM('Area&amp;production data'!L21:N21)</f>
        <v>#DIV/0!</v>
      </c>
      <c r="O21" s="455" t="str">
        <f>IFERROR('Area&amp;production data'!AH21/'Area&amp;production data'!R21,"")</f>
        <v/>
      </c>
    </row>
    <row r="22" spans="1:15" x14ac:dyDescent="0.25">
      <c r="A22" s="13">
        <v>18</v>
      </c>
      <c r="B22" s="13" t="s">
        <v>156</v>
      </c>
      <c r="C22" s="692">
        <f>IFERROR('Area&amp;production data'!W22/'Area&amp;production data'!F22,0)</f>
        <v>0</v>
      </c>
      <c r="D22" s="692">
        <f>IFERROR('Area&amp;production data'!X22/'Area&amp;production data'!G22,0)</f>
        <v>0</v>
      </c>
      <c r="E22" s="692">
        <f>IFERROR('Area&amp;production data'!Y22/'Area&amp;production data'!H22,0)</f>
        <v>0</v>
      </c>
      <c r="F22" s="692">
        <f>IFERROR('Area&amp;production data'!Z22/'Area&amp;production data'!I22,0)</f>
        <v>0</v>
      </c>
      <c r="G22" s="692">
        <f>IFERROR('Area&amp;production data'!AA22/'Area&amp;production data'!J22,0)</f>
        <v>0</v>
      </c>
      <c r="H22" s="692">
        <f>IFERROR('Area&amp;production data'!AB22/'Area&amp;production data'!K22,0)</f>
        <v>0</v>
      </c>
      <c r="I22" s="692">
        <f>IFERROR('Area&amp;production data'!AC22/'Area&amp;production data'!L22,0)</f>
        <v>0</v>
      </c>
      <c r="J22" s="692">
        <f>IFERROR('Area&amp;production data'!AD22/'Area&amp;production data'!M22,0)</f>
        <v>0</v>
      </c>
      <c r="K22" s="692">
        <f>IFERROR('Area&amp;production data'!AE22/'Area&amp;production data'!N22,0)</f>
        <v>0</v>
      </c>
      <c r="L22" s="692">
        <f>IFERROR('Area&amp;production data'!AF22/'Area&amp;production data'!O22,0)</f>
        <v>0</v>
      </c>
      <c r="M22" s="455" t="str">
        <f>IFERROR('Area&amp;production data'!AG22/'Area&amp;production data'!Q22,"")</f>
        <v/>
      </c>
      <c r="N22" s="455" t="e">
        <f>SUMPRODUCT(I22:K22,'Area&amp;production data'!L22:N22)/SUM('Area&amp;production data'!L22:N22)</f>
        <v>#DIV/0!</v>
      </c>
      <c r="O22" s="455" t="str">
        <f>IFERROR('Area&amp;production data'!AH22/'Area&amp;production data'!R22,"")</f>
        <v/>
      </c>
    </row>
    <row r="23" spans="1:15" x14ac:dyDescent="0.25">
      <c r="A23" s="272">
        <v>19</v>
      </c>
      <c r="B23" s="13" t="s">
        <v>157</v>
      </c>
      <c r="C23" s="692">
        <f>IFERROR('Area&amp;production data'!W23/'Area&amp;production data'!F23,0)</f>
        <v>0</v>
      </c>
      <c r="D23" s="692">
        <f>IFERROR('Area&amp;production data'!X23/'Area&amp;production data'!G23,0)</f>
        <v>0</v>
      </c>
      <c r="E23" s="692">
        <f>IFERROR('Area&amp;production data'!Y23/'Area&amp;production data'!H23,0)</f>
        <v>0</v>
      </c>
      <c r="F23" s="692">
        <f>IFERROR('Area&amp;production data'!Z23/'Area&amp;production data'!I23,0)</f>
        <v>0</v>
      </c>
      <c r="G23" s="692">
        <f>IFERROR('Area&amp;production data'!AA23/'Area&amp;production data'!J23,0)</f>
        <v>0</v>
      </c>
      <c r="H23" s="692">
        <f>IFERROR('Area&amp;production data'!AB23/'Area&amp;production data'!K23,0)</f>
        <v>0</v>
      </c>
      <c r="I23" s="692">
        <f>IFERROR('Area&amp;production data'!AC23/'Area&amp;production data'!L23,0)</f>
        <v>0</v>
      </c>
      <c r="J23" s="692">
        <f>IFERROR('Area&amp;production data'!AD23/'Area&amp;production data'!M23,0)</f>
        <v>0</v>
      </c>
      <c r="K23" s="692">
        <f>IFERROR('Area&amp;production data'!AE23/'Area&amp;production data'!N23,0)</f>
        <v>0</v>
      </c>
      <c r="L23" s="692">
        <f>IFERROR('Area&amp;production data'!AF23/'Area&amp;production data'!O23,0)</f>
        <v>0</v>
      </c>
      <c r="M23" s="455" t="str">
        <f>IFERROR('Area&amp;production data'!AG23/'Area&amp;production data'!Q23,"")</f>
        <v/>
      </c>
      <c r="N23" s="455" t="e">
        <f>SUMPRODUCT(I23:K23,'Area&amp;production data'!L23:N23)/SUM('Area&amp;production data'!L23:N23)</f>
        <v>#DIV/0!</v>
      </c>
      <c r="O23" s="455" t="str">
        <f>IFERROR('Area&amp;production data'!AH23/'Area&amp;production data'!R23,"")</f>
        <v/>
      </c>
    </row>
    <row r="24" spans="1:15" x14ac:dyDescent="0.25">
      <c r="A24" s="13">
        <v>20</v>
      </c>
      <c r="B24" s="13" t="s">
        <v>158</v>
      </c>
      <c r="C24" s="692">
        <f>IFERROR('Area&amp;production data'!W24/'Area&amp;production data'!F24,0)</f>
        <v>0</v>
      </c>
      <c r="D24" s="692">
        <f>IFERROR('Area&amp;production data'!X24/'Area&amp;production data'!G24,0)</f>
        <v>0</v>
      </c>
      <c r="E24" s="692">
        <f>IFERROR('Area&amp;production data'!Y24/'Area&amp;production data'!H24,0)</f>
        <v>0</v>
      </c>
      <c r="F24" s="692">
        <f>IFERROR('Area&amp;production data'!Z24/'Area&amp;production data'!I24,0)</f>
        <v>0</v>
      </c>
      <c r="G24" s="692">
        <f>IFERROR('Area&amp;production data'!AA24/'Area&amp;production data'!J24,0)</f>
        <v>0</v>
      </c>
      <c r="H24" s="692">
        <f>IFERROR('Area&amp;production data'!AB24/'Area&amp;production data'!K24,0)</f>
        <v>0</v>
      </c>
      <c r="I24" s="692">
        <f>IFERROR('Area&amp;production data'!AC24/'Area&amp;production data'!L24,0)</f>
        <v>0</v>
      </c>
      <c r="J24" s="692">
        <f>IFERROR('Area&amp;production data'!AD24/'Area&amp;production data'!M24,0)</f>
        <v>0</v>
      </c>
      <c r="K24" s="692">
        <f>IFERROR('Area&amp;production data'!AE24/'Area&amp;production data'!N24,0)</f>
        <v>0</v>
      </c>
      <c r="L24" s="692">
        <f>IFERROR('Area&amp;production data'!AF24/'Area&amp;production data'!O24,0)</f>
        <v>0</v>
      </c>
      <c r="M24" s="455" t="str">
        <f>IFERROR('Area&amp;production data'!AG24/'Area&amp;production data'!Q24,"")</f>
        <v/>
      </c>
      <c r="N24" s="455" t="e">
        <f>SUMPRODUCT(I24:K24,'Area&amp;production data'!L24:N24)/SUM('Area&amp;production data'!L24:N24)</f>
        <v>#DIV/0!</v>
      </c>
      <c r="O24" s="455" t="str">
        <f>IFERROR('Area&amp;production data'!AH24/'Area&amp;production data'!R24,"")</f>
        <v/>
      </c>
    </row>
    <row r="25" spans="1:15" x14ac:dyDescent="0.25">
      <c r="A25" s="272">
        <v>21</v>
      </c>
      <c r="B25" s="13" t="s">
        <v>159</v>
      </c>
      <c r="C25" s="692">
        <f>IFERROR('Area&amp;production data'!W25/'Area&amp;production data'!F25,0)</f>
        <v>0</v>
      </c>
      <c r="D25" s="692">
        <f>IFERROR('Area&amp;production data'!X25/'Area&amp;production data'!G25,0)</f>
        <v>0</v>
      </c>
      <c r="E25" s="692">
        <f>IFERROR('Area&amp;production data'!Y25/'Area&amp;production data'!H25,0)</f>
        <v>0</v>
      </c>
      <c r="F25" s="692">
        <f>IFERROR('Area&amp;production data'!Z25/'Area&amp;production data'!I25,0)</f>
        <v>0</v>
      </c>
      <c r="G25" s="692">
        <f>IFERROR('Area&amp;production data'!AA25/'Area&amp;production data'!J25,0)</f>
        <v>0</v>
      </c>
      <c r="H25" s="692">
        <f>IFERROR('Area&amp;production data'!AB25/'Area&amp;production data'!K25,0)</f>
        <v>0</v>
      </c>
      <c r="I25" s="692">
        <f>IFERROR('Area&amp;production data'!AC25/'Area&amp;production data'!L25,0)</f>
        <v>0</v>
      </c>
      <c r="J25" s="692">
        <f>IFERROR('Area&amp;production data'!AD25/'Area&amp;production data'!M25,0)</f>
        <v>0</v>
      </c>
      <c r="K25" s="692">
        <f>IFERROR('Area&amp;production data'!AE25/'Area&amp;production data'!N25,0)</f>
        <v>0</v>
      </c>
      <c r="L25" s="692">
        <f>IFERROR('Area&amp;production data'!AF25/'Area&amp;production data'!O25,0)</f>
        <v>0</v>
      </c>
      <c r="M25" s="455" t="str">
        <f>IFERROR('Area&amp;production data'!AG25/'Area&amp;production data'!Q25,"")</f>
        <v/>
      </c>
      <c r="N25" s="455" t="e">
        <f>SUMPRODUCT(I25:K25,'Area&amp;production data'!L25:N25)/SUM('Area&amp;production data'!L25:N25)</f>
        <v>#DIV/0!</v>
      </c>
      <c r="O25" s="455" t="str">
        <f>IFERROR('Area&amp;production data'!AH25/'Area&amp;production data'!R25,"")</f>
        <v/>
      </c>
    </row>
    <row r="26" spans="1:15" x14ac:dyDescent="0.25">
      <c r="A26" s="13">
        <v>22</v>
      </c>
      <c r="B26" s="13" t="s">
        <v>160</v>
      </c>
      <c r="C26" s="692">
        <f>IFERROR('Area&amp;production data'!W26/'Area&amp;production data'!F26,0)</f>
        <v>0</v>
      </c>
      <c r="D26" s="692">
        <f>IFERROR('Area&amp;production data'!X26/'Area&amp;production data'!G26,0)</f>
        <v>0</v>
      </c>
      <c r="E26" s="692">
        <f>IFERROR('Area&amp;production data'!Y26/'Area&amp;production data'!H26,0)</f>
        <v>0</v>
      </c>
      <c r="F26" s="692">
        <f>IFERROR('Area&amp;production data'!Z26/'Area&amp;production data'!I26,0)</f>
        <v>0</v>
      </c>
      <c r="G26" s="692">
        <f>IFERROR('Area&amp;production data'!AA26/'Area&amp;production data'!J26,0)</f>
        <v>0</v>
      </c>
      <c r="H26" s="692">
        <f>IFERROR('Area&amp;production data'!AB26/'Area&amp;production data'!K26,0)</f>
        <v>0</v>
      </c>
      <c r="I26" s="692">
        <f>IFERROR('Area&amp;production data'!AC26/'Area&amp;production data'!L26,0)</f>
        <v>0</v>
      </c>
      <c r="J26" s="692">
        <f>IFERROR('Area&amp;production data'!AD26/'Area&amp;production data'!M26,0)</f>
        <v>0</v>
      </c>
      <c r="K26" s="692">
        <f>IFERROR('Area&amp;production data'!AE26/'Area&amp;production data'!N26,0)</f>
        <v>0</v>
      </c>
      <c r="L26" s="692">
        <f>IFERROR('Area&amp;production data'!AF26/'Area&amp;production data'!O26,0)</f>
        <v>0</v>
      </c>
      <c r="M26" s="455" t="str">
        <f>IFERROR('Area&amp;production data'!AG26/'Area&amp;production data'!Q26,"")</f>
        <v/>
      </c>
      <c r="N26" s="455" t="e">
        <f>SUMPRODUCT(I26:K26,'Area&amp;production data'!L26:N26)/SUM('Area&amp;production data'!L26:N26)</f>
        <v>#DIV/0!</v>
      </c>
      <c r="O26" s="455" t="str">
        <f>IFERROR('Area&amp;production data'!AH26/'Area&amp;production data'!R26,"")</f>
        <v/>
      </c>
    </row>
    <row r="27" spans="1:15" x14ac:dyDescent="0.25">
      <c r="A27" s="272">
        <v>23</v>
      </c>
      <c r="B27" s="13" t="s">
        <v>161</v>
      </c>
      <c r="C27" s="692">
        <f>IFERROR('Area&amp;production data'!W27/'Area&amp;production data'!F27,0)</f>
        <v>0</v>
      </c>
      <c r="D27" s="692">
        <f>IFERROR('Area&amp;production data'!X27/'Area&amp;production data'!G27,0)</f>
        <v>0</v>
      </c>
      <c r="E27" s="692">
        <f>IFERROR('Area&amp;production data'!Y27/'Area&amp;production data'!H27,0)</f>
        <v>0</v>
      </c>
      <c r="F27" s="692">
        <f>IFERROR('Area&amp;production data'!Z27/'Area&amp;production data'!I27,0)</f>
        <v>0</v>
      </c>
      <c r="G27" s="692">
        <f>IFERROR('Area&amp;production data'!AA27/'Area&amp;production data'!J27,0)</f>
        <v>0</v>
      </c>
      <c r="H27" s="692">
        <f>IFERROR('Area&amp;production data'!AB27/'Area&amp;production data'!K27,0)</f>
        <v>0</v>
      </c>
      <c r="I27" s="692">
        <f>IFERROR('Area&amp;production data'!AC27/'Area&amp;production data'!L27,0)</f>
        <v>0</v>
      </c>
      <c r="J27" s="692">
        <f>IFERROR('Area&amp;production data'!AD27/'Area&amp;production data'!M27,0)</f>
        <v>0</v>
      </c>
      <c r="K27" s="692">
        <f>IFERROR('Area&amp;production data'!AE27/'Area&amp;production data'!N27,0)</f>
        <v>0</v>
      </c>
      <c r="L27" s="692">
        <f>IFERROR('Area&amp;production data'!AF27/'Area&amp;production data'!O27,0)</f>
        <v>0</v>
      </c>
      <c r="M27" s="455" t="str">
        <f>IFERROR('Area&amp;production data'!AG27/'Area&amp;production data'!Q27,"")</f>
        <v/>
      </c>
      <c r="N27" s="455" t="e">
        <f>SUMPRODUCT(I27:K27,'Area&amp;production data'!L27:N27)/SUM('Area&amp;production data'!L27:N27)</f>
        <v>#DIV/0!</v>
      </c>
      <c r="O27" s="455" t="str">
        <f>IFERROR('Area&amp;production data'!AH27/'Area&amp;production data'!R27,"")</f>
        <v/>
      </c>
    </row>
    <row r="28" spans="1:15" x14ac:dyDescent="0.25">
      <c r="A28" s="13">
        <v>24</v>
      </c>
      <c r="B28" s="13" t="s">
        <v>162</v>
      </c>
      <c r="C28" s="692">
        <f>IFERROR('Area&amp;production data'!W28/'Area&amp;production data'!F28,0)</f>
        <v>0</v>
      </c>
      <c r="D28" s="692">
        <f>IFERROR('Area&amp;production data'!X28/'Area&amp;production data'!G28,0)</f>
        <v>0</v>
      </c>
      <c r="E28" s="692">
        <f>IFERROR('Area&amp;production data'!Y28/'Area&amp;production data'!H28,0)</f>
        <v>0</v>
      </c>
      <c r="F28" s="692">
        <f>IFERROR('Area&amp;production data'!Z28/'Area&amp;production data'!I28,0)</f>
        <v>0</v>
      </c>
      <c r="G28" s="692">
        <f>IFERROR('Area&amp;production data'!AA28/'Area&amp;production data'!J28,0)</f>
        <v>0</v>
      </c>
      <c r="H28" s="692">
        <f>IFERROR('Area&amp;production data'!AB28/'Area&amp;production data'!K28,0)</f>
        <v>0</v>
      </c>
      <c r="I28" s="692">
        <f>IFERROR('Area&amp;production data'!AC28/'Area&amp;production data'!L28,0)</f>
        <v>0</v>
      </c>
      <c r="J28" s="692">
        <f>IFERROR('Area&amp;production data'!AD28/'Area&amp;production data'!M28,0)</f>
        <v>0</v>
      </c>
      <c r="K28" s="692">
        <f>IFERROR('Area&amp;production data'!AE28/'Area&amp;production data'!N28,0)</f>
        <v>0</v>
      </c>
      <c r="L28" s="692">
        <f>IFERROR('Area&amp;production data'!AF28/'Area&amp;production data'!O28,0)</f>
        <v>0</v>
      </c>
      <c r="M28" s="455" t="str">
        <f>IFERROR('Area&amp;production data'!AG28/'Area&amp;production data'!Q28,"")</f>
        <v/>
      </c>
      <c r="N28" s="455" t="e">
        <f>SUMPRODUCT(I28:K28,'Area&amp;production data'!L28:N28)/SUM('Area&amp;production data'!L28:N28)</f>
        <v>#DIV/0!</v>
      </c>
      <c r="O28" s="455" t="str">
        <f>IFERROR('Area&amp;production data'!AH28/'Area&amp;production data'!R28,"")</f>
        <v/>
      </c>
    </row>
    <row r="29" spans="1:15" s="1" customFormat="1" x14ac:dyDescent="0.25">
      <c r="A29" s="15"/>
      <c r="B29" s="15" t="s">
        <v>163</v>
      </c>
      <c r="C29" s="455">
        <f>IFERROR('Area&amp;production data'!W29/'Area&amp;production data'!F29,0)</f>
        <v>0</v>
      </c>
      <c r="D29" s="455">
        <f>IFERROR('Area&amp;production data'!X29/'Area&amp;production data'!G29,0)</f>
        <v>0</v>
      </c>
      <c r="E29" s="455">
        <f>IFERROR('Area&amp;production data'!Y29/'Area&amp;production data'!H29,0)</f>
        <v>0</v>
      </c>
      <c r="F29" s="455">
        <f>IFERROR('Area&amp;production data'!Z29/'Area&amp;production data'!I29,0)</f>
        <v>0</v>
      </c>
      <c r="G29" s="455">
        <f>IFERROR('Area&amp;production data'!AA29/'Area&amp;production data'!J29,0)</f>
        <v>0</v>
      </c>
      <c r="H29" s="455">
        <f>IFERROR('Area&amp;production data'!AB29/'Area&amp;production data'!K29,0)</f>
        <v>0</v>
      </c>
      <c r="I29" s="455">
        <f>IFERROR('Area&amp;production data'!AC29/'Area&amp;production data'!L29,0)</f>
        <v>0</v>
      </c>
      <c r="J29" s="455">
        <f>IFERROR('Area&amp;production data'!AD29/'Area&amp;production data'!M29,0)</f>
        <v>0</v>
      </c>
      <c r="K29" s="455">
        <f>IFERROR('Area&amp;production data'!AE29/'Area&amp;production data'!N29,0)</f>
        <v>0</v>
      </c>
      <c r="L29" s="455">
        <f>IFERROR('Area&amp;production data'!AF29/'Area&amp;production data'!O29,0)</f>
        <v>0</v>
      </c>
      <c r="M29" s="455" t="str">
        <f>IFERROR('Area&amp;production data'!AG29/'Area&amp;production data'!Q29,"")</f>
        <v/>
      </c>
      <c r="N29" s="455" t="str">
        <f>IFERROR('Area&amp;production data'!AH29/'Area&amp;production data'!R29,"")</f>
        <v/>
      </c>
      <c r="O29" s="455" t="str">
        <f>IFERROR('Area&amp;production data'!AH29/'Area&amp;production data'!R29,"")</f>
        <v/>
      </c>
    </row>
    <row r="30" spans="1:15" x14ac:dyDescent="0.25">
      <c r="I30" s="252"/>
      <c r="J30" s="252"/>
      <c r="K30" s="252"/>
    </row>
    <row r="31" spans="1:15" x14ac:dyDescent="0.25">
      <c r="I31" s="175"/>
      <c r="J31" s="175"/>
      <c r="K31" s="175"/>
      <c r="L31" s="250"/>
      <c r="M31" s="250"/>
      <c r="N31" s="250"/>
      <c r="O31" s="250"/>
    </row>
    <row r="32" spans="1:15" ht="15.75" thickBot="1" x14ac:dyDescent="0.3"/>
    <row r="33" spans="1:15" x14ac:dyDescent="0.25">
      <c r="B33" s="820" t="s">
        <v>101</v>
      </c>
      <c r="C33" s="821" t="s">
        <v>178</v>
      </c>
      <c r="D33" s="821"/>
      <c r="E33" s="821"/>
      <c r="F33" s="821"/>
      <c r="G33" s="821"/>
      <c r="H33" s="821"/>
      <c r="I33" s="821"/>
      <c r="J33" s="821"/>
      <c r="K33" s="821"/>
      <c r="L33" s="821"/>
      <c r="M33" s="821"/>
      <c r="N33" s="821"/>
      <c r="O33" s="821"/>
    </row>
    <row r="34" spans="1:15" ht="45.75" thickBot="1" x14ac:dyDescent="0.3">
      <c r="B34" s="799"/>
      <c r="C34" s="285" t="s">
        <v>24</v>
      </c>
      <c r="D34" s="285" t="s">
        <v>26</v>
      </c>
      <c r="E34" s="286" t="s">
        <v>28</v>
      </c>
      <c r="F34" s="286" t="s">
        <v>30</v>
      </c>
      <c r="G34" s="85" t="s">
        <v>121</v>
      </c>
      <c r="H34" s="85" t="s">
        <v>131</v>
      </c>
      <c r="I34" s="85" t="s">
        <v>123</v>
      </c>
      <c r="J34" s="85" t="s">
        <v>38</v>
      </c>
      <c r="K34" s="85" t="s">
        <v>124</v>
      </c>
      <c r="L34" s="286" t="s">
        <v>125</v>
      </c>
      <c r="M34" s="287" t="s">
        <v>179</v>
      </c>
      <c r="N34" s="287"/>
      <c r="O34" s="287" t="s">
        <v>180</v>
      </c>
    </row>
    <row r="35" spans="1:15" x14ac:dyDescent="0.25">
      <c r="A35" s="272">
        <v>1</v>
      </c>
      <c r="B35" s="272" t="s">
        <v>139</v>
      </c>
      <c r="C35" s="692">
        <f>IFERROR(C5*'Area&amp;production data'!F5,"")</f>
        <v>0</v>
      </c>
      <c r="D35" s="692">
        <f>IFERROR(D5*'Area&amp;production data'!G5,"")</f>
        <v>0</v>
      </c>
      <c r="E35" s="692">
        <f>IFERROR(E5*'Area&amp;production data'!H5,"")</f>
        <v>0</v>
      </c>
      <c r="F35" s="692">
        <f>IFERROR(F5*'Area&amp;production data'!I5,"")</f>
        <v>0</v>
      </c>
      <c r="G35" s="692">
        <f>IFERROR(G5*'Area&amp;production data'!J5,"")</f>
        <v>0</v>
      </c>
      <c r="H35" s="692">
        <f>IFERROR(H5*'Area&amp;production data'!K5,"")</f>
        <v>0</v>
      </c>
      <c r="I35" s="692">
        <f>IFERROR(I5*'Area&amp;production data'!L5,"")</f>
        <v>0</v>
      </c>
      <c r="J35" s="692">
        <f>IFERROR(J5*'Area&amp;production data'!M5,"")</f>
        <v>0</v>
      </c>
      <c r="K35" s="692">
        <f>IFERROR(K5*'Area&amp;production data'!N5,"")</f>
        <v>0</v>
      </c>
      <c r="L35" s="692">
        <f>IFERROR(L5*'Area&amp;production data'!O5,"")</f>
        <v>0</v>
      </c>
      <c r="M35" s="291">
        <f>SUM(C35:H35)</f>
        <v>0</v>
      </c>
      <c r="N35" s="291"/>
      <c r="O35" s="292">
        <f>SUM(C35:L35)</f>
        <v>0</v>
      </c>
    </row>
    <row r="36" spans="1:15" x14ac:dyDescent="0.25">
      <c r="A36" s="13">
        <v>2</v>
      </c>
      <c r="B36" s="13" t="s">
        <v>140</v>
      </c>
      <c r="C36" s="692">
        <f>IFERROR(C6*'Area&amp;production data'!F6,"")</f>
        <v>0</v>
      </c>
      <c r="D36" s="692">
        <f>IFERROR(D6*'Area&amp;production data'!G6,"")</f>
        <v>0</v>
      </c>
      <c r="E36" s="692">
        <f>IFERROR(E6*'Area&amp;production data'!H6,"")</f>
        <v>0</v>
      </c>
      <c r="F36" s="692">
        <f>IFERROR(F6*'Area&amp;production data'!I6,"")</f>
        <v>0</v>
      </c>
      <c r="G36" s="692">
        <f>IFERROR(G6*'Area&amp;production data'!J6,"")</f>
        <v>0</v>
      </c>
      <c r="H36" s="692">
        <f>IFERROR(H6*'Area&amp;production data'!K6,"")</f>
        <v>0</v>
      </c>
      <c r="I36" s="692">
        <f>IFERROR(I6*'Area&amp;production data'!L6,"")</f>
        <v>0</v>
      </c>
      <c r="J36" s="692">
        <f>IFERROR(J6*'Area&amp;production data'!M6,"")</f>
        <v>0</v>
      </c>
      <c r="K36" s="692">
        <f>IFERROR(K6*'Area&amp;production data'!N6,"")</f>
        <v>0</v>
      </c>
      <c r="L36" s="692">
        <f>IFERROR(L6*'Area&amp;production data'!O6,"")</f>
        <v>0</v>
      </c>
      <c r="M36" s="291">
        <f t="shared" ref="M36:M58" si="0">SUM(C36:H36)</f>
        <v>0</v>
      </c>
      <c r="N36" s="291"/>
      <c r="O36" s="292">
        <f t="shared" ref="O36:O58" si="1">SUM(C36:L36)</f>
        <v>0</v>
      </c>
    </row>
    <row r="37" spans="1:15" x14ac:dyDescent="0.25">
      <c r="A37" s="272">
        <v>3</v>
      </c>
      <c r="B37" s="13" t="s">
        <v>141</v>
      </c>
      <c r="C37" s="692">
        <f>IFERROR(C7*'Area&amp;production data'!F7,"")</f>
        <v>0</v>
      </c>
      <c r="D37" s="692">
        <f>IFERROR(D7*'Area&amp;production data'!G7,"")</f>
        <v>0</v>
      </c>
      <c r="E37" s="692">
        <f>IFERROR(E7*'Area&amp;production data'!H7,"")</f>
        <v>0</v>
      </c>
      <c r="F37" s="692">
        <f>IFERROR(F7*'Area&amp;production data'!I7,"")</f>
        <v>0</v>
      </c>
      <c r="G37" s="692">
        <f>IFERROR(G7*'Area&amp;production data'!J7,"")</f>
        <v>0</v>
      </c>
      <c r="H37" s="692">
        <f>IFERROR(H7*'Area&amp;production data'!K7,"")</f>
        <v>0</v>
      </c>
      <c r="I37" s="692">
        <f>IFERROR(I7*'Area&amp;production data'!L7,"")</f>
        <v>0</v>
      </c>
      <c r="J37" s="692">
        <f>IFERROR(J7*'Area&amp;production data'!M7,"")</f>
        <v>0</v>
      </c>
      <c r="K37" s="692">
        <f>IFERROR(K7*'Area&amp;production data'!N7,"")</f>
        <v>0</v>
      </c>
      <c r="L37" s="692">
        <f>IFERROR(L7*'Area&amp;production data'!O7,"")</f>
        <v>0</v>
      </c>
      <c r="M37" s="291">
        <f t="shared" si="0"/>
        <v>0</v>
      </c>
      <c r="N37" s="291"/>
      <c r="O37" s="292">
        <f t="shared" si="1"/>
        <v>0</v>
      </c>
    </row>
    <row r="38" spans="1:15" x14ac:dyDescent="0.25">
      <c r="A38" s="13">
        <v>4</v>
      </c>
      <c r="B38" s="13" t="s">
        <v>142</v>
      </c>
      <c r="C38" s="692">
        <f>IFERROR(C8*'Area&amp;production data'!F8,"")</f>
        <v>0</v>
      </c>
      <c r="D38" s="692">
        <f>IFERROR(D8*'Area&amp;production data'!G8,"")</f>
        <v>0</v>
      </c>
      <c r="E38" s="692">
        <f>IFERROR(E8*'Area&amp;production data'!H8,"")</f>
        <v>0</v>
      </c>
      <c r="F38" s="692">
        <f>IFERROR(F8*'Area&amp;production data'!I8,"")</f>
        <v>0</v>
      </c>
      <c r="G38" s="692">
        <f>IFERROR(G8*'Area&amp;production data'!J8,"")</f>
        <v>0</v>
      </c>
      <c r="H38" s="692">
        <f>IFERROR(H8*'Area&amp;production data'!K8,"")</f>
        <v>0</v>
      </c>
      <c r="I38" s="692">
        <f>IFERROR(I8*'Area&amp;production data'!L8,"")</f>
        <v>0</v>
      </c>
      <c r="J38" s="692">
        <f>IFERROR(J8*'Area&amp;production data'!M8,"")</f>
        <v>0</v>
      </c>
      <c r="K38" s="692">
        <f>IFERROR(K8*'Area&amp;production data'!N8,"")</f>
        <v>0</v>
      </c>
      <c r="L38" s="692">
        <f>IFERROR(L8*'Area&amp;production data'!O8,"")</f>
        <v>0</v>
      </c>
      <c r="M38" s="291">
        <f t="shared" si="0"/>
        <v>0</v>
      </c>
      <c r="N38" s="291"/>
      <c r="O38" s="292">
        <f t="shared" si="1"/>
        <v>0</v>
      </c>
    </row>
    <row r="39" spans="1:15" x14ac:dyDescent="0.25">
      <c r="A39" s="272">
        <v>5</v>
      </c>
      <c r="B39" s="13" t="s">
        <v>143</v>
      </c>
      <c r="C39" s="692">
        <f>IFERROR(C9*'Area&amp;production data'!F9,"")</f>
        <v>0</v>
      </c>
      <c r="D39" s="692">
        <f>IFERROR(D9*'Area&amp;production data'!G9,"")</f>
        <v>0</v>
      </c>
      <c r="E39" s="692">
        <f>IFERROR(E9*'Area&amp;production data'!H9,"")</f>
        <v>0</v>
      </c>
      <c r="F39" s="692">
        <f>IFERROR(F9*'Area&amp;production data'!I9,"")</f>
        <v>0</v>
      </c>
      <c r="G39" s="692">
        <f>IFERROR(G9*'Area&amp;production data'!J9,"")</f>
        <v>0</v>
      </c>
      <c r="H39" s="692">
        <f>IFERROR(H9*'Area&amp;production data'!K9,"")</f>
        <v>0</v>
      </c>
      <c r="I39" s="692">
        <f>IFERROR(I9*'Area&amp;production data'!L9,"")</f>
        <v>0</v>
      </c>
      <c r="J39" s="692">
        <f>IFERROR(J9*'Area&amp;production data'!M9,"")</f>
        <v>0</v>
      </c>
      <c r="K39" s="692">
        <f>IFERROR(K9*'Area&amp;production data'!N9,"")</f>
        <v>0</v>
      </c>
      <c r="L39" s="692">
        <f>IFERROR(L9*'Area&amp;production data'!O9,"")</f>
        <v>0</v>
      </c>
      <c r="M39" s="291">
        <f t="shared" si="0"/>
        <v>0</v>
      </c>
      <c r="N39" s="291"/>
      <c r="O39" s="292">
        <f t="shared" si="1"/>
        <v>0</v>
      </c>
    </row>
    <row r="40" spans="1:15" x14ac:dyDescent="0.25">
      <c r="A40" s="13">
        <v>6</v>
      </c>
      <c r="B40" s="13" t="s">
        <v>144</v>
      </c>
      <c r="C40" s="692">
        <f>IFERROR(C10*'Area&amp;production data'!F10,"")</f>
        <v>0</v>
      </c>
      <c r="D40" s="692">
        <f>IFERROR(D10*'Area&amp;production data'!G10,"")</f>
        <v>0</v>
      </c>
      <c r="E40" s="692">
        <f>IFERROR(E10*'Area&amp;production data'!H10,"")</f>
        <v>0</v>
      </c>
      <c r="F40" s="692">
        <f>IFERROR(F10*'Area&amp;production data'!I10,"")</f>
        <v>0</v>
      </c>
      <c r="G40" s="692">
        <f>IFERROR(G10*'Area&amp;production data'!J10,"")</f>
        <v>0</v>
      </c>
      <c r="H40" s="692">
        <f>IFERROR(H10*'Area&amp;production data'!K10,"")</f>
        <v>0</v>
      </c>
      <c r="I40" s="692">
        <f>IFERROR(I10*'Area&amp;production data'!L10,"")</f>
        <v>0</v>
      </c>
      <c r="J40" s="692">
        <f>IFERROR(J10*'Area&amp;production data'!M10,"")</f>
        <v>0</v>
      </c>
      <c r="K40" s="692">
        <f>IFERROR(K10*'Area&amp;production data'!N10,"")</f>
        <v>0</v>
      </c>
      <c r="L40" s="692">
        <f>IFERROR(L10*'Area&amp;production data'!O10,"")</f>
        <v>0</v>
      </c>
      <c r="M40" s="291">
        <f t="shared" si="0"/>
        <v>0</v>
      </c>
      <c r="N40" s="291"/>
      <c r="O40" s="292">
        <f t="shared" si="1"/>
        <v>0</v>
      </c>
    </row>
    <row r="41" spans="1:15" x14ac:dyDescent="0.25">
      <c r="A41" s="272">
        <v>7</v>
      </c>
      <c r="B41" s="13" t="s">
        <v>145</v>
      </c>
      <c r="C41" s="692">
        <f>IFERROR(C11*'Area&amp;production data'!F11,"")</f>
        <v>0</v>
      </c>
      <c r="D41" s="692">
        <f>IFERROR(D11*'Area&amp;production data'!G11,"")</f>
        <v>0</v>
      </c>
      <c r="E41" s="692">
        <f>IFERROR(E11*'Area&amp;production data'!H11,"")</f>
        <v>0</v>
      </c>
      <c r="F41" s="692">
        <f>IFERROR(F11*'Area&amp;production data'!I11,"")</f>
        <v>0</v>
      </c>
      <c r="G41" s="692">
        <f>IFERROR(G11*'Area&amp;production data'!J11,"")</f>
        <v>0</v>
      </c>
      <c r="H41" s="692">
        <f>IFERROR(H11*'Area&amp;production data'!K11,"")</f>
        <v>0</v>
      </c>
      <c r="I41" s="692">
        <f>IFERROR(I11*'Area&amp;production data'!L11,"")</f>
        <v>0</v>
      </c>
      <c r="J41" s="692">
        <f>IFERROR(J11*'Area&amp;production data'!M11,"")</f>
        <v>0</v>
      </c>
      <c r="K41" s="692">
        <f>IFERROR(K11*'Area&amp;production data'!N11,"")</f>
        <v>0</v>
      </c>
      <c r="L41" s="692">
        <f>IFERROR(L11*'Area&amp;production data'!O11,"")</f>
        <v>0</v>
      </c>
      <c r="M41" s="291">
        <f t="shared" si="0"/>
        <v>0</v>
      </c>
      <c r="N41" s="291"/>
      <c r="O41" s="292">
        <f t="shared" si="1"/>
        <v>0</v>
      </c>
    </row>
    <row r="42" spans="1:15" x14ac:dyDescent="0.25">
      <c r="A42" s="13">
        <v>8</v>
      </c>
      <c r="B42" s="13" t="s">
        <v>146</v>
      </c>
      <c r="C42" s="692">
        <f>IFERROR(C12*'Area&amp;production data'!F12,"")</f>
        <v>0</v>
      </c>
      <c r="D42" s="692">
        <f>IFERROR(D12*'Area&amp;production data'!G12,"")</f>
        <v>0</v>
      </c>
      <c r="E42" s="692">
        <f>IFERROR(E12*'Area&amp;production data'!H12,"")</f>
        <v>0</v>
      </c>
      <c r="F42" s="692">
        <f>IFERROR(F12*'Area&amp;production data'!I12,"")</f>
        <v>0</v>
      </c>
      <c r="G42" s="692">
        <f>IFERROR(G12*'Area&amp;production data'!J12,"")</f>
        <v>0</v>
      </c>
      <c r="H42" s="692">
        <f>IFERROR(H12*'Area&amp;production data'!K12,"")</f>
        <v>0</v>
      </c>
      <c r="I42" s="692">
        <f>IFERROR(I12*'Area&amp;production data'!L12,"")</f>
        <v>0</v>
      </c>
      <c r="J42" s="692">
        <f>IFERROR(J12*'Area&amp;production data'!M12,"")</f>
        <v>0</v>
      </c>
      <c r="K42" s="692">
        <f>IFERROR(K12*'Area&amp;production data'!N12,"")</f>
        <v>0</v>
      </c>
      <c r="L42" s="692">
        <f>IFERROR(L12*'Area&amp;production data'!O12,"")</f>
        <v>0</v>
      </c>
      <c r="M42" s="291">
        <f t="shared" si="0"/>
        <v>0</v>
      </c>
      <c r="N42" s="291"/>
      <c r="O42" s="292">
        <f t="shared" si="1"/>
        <v>0</v>
      </c>
    </row>
    <row r="43" spans="1:15" x14ac:dyDescent="0.25">
      <c r="A43" s="272">
        <v>9</v>
      </c>
      <c r="B43" s="13" t="s">
        <v>147</v>
      </c>
      <c r="C43" s="692">
        <f>IFERROR(C13*'Area&amp;production data'!F13,"")</f>
        <v>0</v>
      </c>
      <c r="D43" s="692">
        <f>IFERROR(D13*'Area&amp;production data'!G13,"")</f>
        <v>0</v>
      </c>
      <c r="E43" s="692">
        <f>IFERROR(E13*'Area&amp;production data'!H13,"")</f>
        <v>0</v>
      </c>
      <c r="F43" s="692">
        <f>IFERROR(F13*'Area&amp;production data'!I13,"")</f>
        <v>0</v>
      </c>
      <c r="G43" s="692">
        <f>IFERROR(G13*'Area&amp;production data'!J13,"")</f>
        <v>0</v>
      </c>
      <c r="H43" s="692">
        <f>IFERROR(H13*'Area&amp;production data'!K13,"")</f>
        <v>0</v>
      </c>
      <c r="I43" s="692">
        <f>IFERROR(I13*'Area&amp;production data'!L13,"")</f>
        <v>0</v>
      </c>
      <c r="J43" s="692">
        <f>IFERROR(J13*'Area&amp;production data'!M13,"")</f>
        <v>0</v>
      </c>
      <c r="K43" s="692">
        <f>IFERROR(K13*'Area&amp;production data'!N13,"")</f>
        <v>0</v>
      </c>
      <c r="L43" s="692">
        <f>IFERROR(L13*'Area&amp;production data'!O13,"")</f>
        <v>0</v>
      </c>
      <c r="M43" s="291">
        <f t="shared" si="0"/>
        <v>0</v>
      </c>
      <c r="N43" s="291"/>
      <c r="O43" s="292">
        <f t="shared" si="1"/>
        <v>0</v>
      </c>
    </row>
    <row r="44" spans="1:15" x14ac:dyDescent="0.25">
      <c r="A44" s="13">
        <v>10</v>
      </c>
      <c r="B44" s="13" t="s">
        <v>148</v>
      </c>
      <c r="C44" s="692">
        <f>IFERROR(C14*'Area&amp;production data'!F14,"")</f>
        <v>0</v>
      </c>
      <c r="D44" s="692">
        <f>IFERROR(D14*'Area&amp;production data'!G14,"")</f>
        <v>0</v>
      </c>
      <c r="E44" s="692">
        <f>IFERROR(E14*'Area&amp;production data'!H14,"")</f>
        <v>0</v>
      </c>
      <c r="F44" s="692">
        <f>IFERROR(F14*'Area&amp;production data'!I14,"")</f>
        <v>0</v>
      </c>
      <c r="G44" s="692">
        <f>IFERROR(G14*'Area&amp;production data'!J14,"")</f>
        <v>0</v>
      </c>
      <c r="H44" s="692">
        <f>IFERROR(H14*'Area&amp;production data'!K14,"")</f>
        <v>0</v>
      </c>
      <c r="I44" s="692">
        <f>IFERROR(I14*'Area&amp;production data'!L14,"")</f>
        <v>0</v>
      </c>
      <c r="J44" s="692">
        <f>IFERROR(J14*'Area&amp;production data'!M14,"")</f>
        <v>0</v>
      </c>
      <c r="K44" s="692">
        <f>IFERROR(K14*'Area&amp;production data'!N14,"")</f>
        <v>0</v>
      </c>
      <c r="L44" s="692">
        <f>IFERROR(L14*'Area&amp;production data'!O14,"")</f>
        <v>0</v>
      </c>
      <c r="M44" s="291">
        <f t="shared" si="0"/>
        <v>0</v>
      </c>
      <c r="N44" s="291"/>
      <c r="O44" s="292">
        <f t="shared" si="1"/>
        <v>0</v>
      </c>
    </row>
    <row r="45" spans="1:15" x14ac:dyDescent="0.25">
      <c r="A45" s="272">
        <v>11</v>
      </c>
      <c r="B45" s="13" t="s">
        <v>149</v>
      </c>
      <c r="C45" s="692">
        <f>IFERROR(C15*'Area&amp;production data'!F15,"")</f>
        <v>0</v>
      </c>
      <c r="D45" s="692">
        <f>IFERROR(D15*'Area&amp;production data'!G15,"")</f>
        <v>0</v>
      </c>
      <c r="E45" s="692">
        <f>IFERROR(E15*'Area&amp;production data'!H15,"")</f>
        <v>0</v>
      </c>
      <c r="F45" s="692">
        <f>IFERROR(F15*'Area&amp;production data'!I15,"")</f>
        <v>0</v>
      </c>
      <c r="G45" s="692">
        <f>IFERROR(G15*'Area&amp;production data'!J15,"")</f>
        <v>0</v>
      </c>
      <c r="H45" s="692">
        <f>IFERROR(H15*'Area&amp;production data'!K15,"")</f>
        <v>0</v>
      </c>
      <c r="I45" s="692">
        <f>IFERROR(I15*'Area&amp;production data'!L15,"")</f>
        <v>0</v>
      </c>
      <c r="J45" s="692">
        <f>IFERROR(J15*'Area&amp;production data'!M15,"")</f>
        <v>0</v>
      </c>
      <c r="K45" s="692">
        <f>IFERROR(K15*'Area&amp;production data'!N15,"")</f>
        <v>0</v>
      </c>
      <c r="L45" s="692">
        <f>IFERROR(L15*'Area&amp;production data'!O15,"")</f>
        <v>0</v>
      </c>
      <c r="M45" s="291">
        <f t="shared" si="0"/>
        <v>0</v>
      </c>
      <c r="N45" s="291"/>
      <c r="O45" s="292">
        <f t="shared" si="1"/>
        <v>0</v>
      </c>
    </row>
    <row r="46" spans="1:15" x14ac:dyDescent="0.25">
      <c r="A46" s="13">
        <v>12</v>
      </c>
      <c r="B46" s="13" t="s">
        <v>150</v>
      </c>
      <c r="C46" s="692">
        <f>IFERROR(C16*'Area&amp;production data'!F16,"")</f>
        <v>0</v>
      </c>
      <c r="D46" s="692">
        <f>IFERROR(D16*'Area&amp;production data'!G16,"")</f>
        <v>0</v>
      </c>
      <c r="E46" s="692">
        <f>IFERROR(E16*'Area&amp;production data'!H16,"")</f>
        <v>0</v>
      </c>
      <c r="F46" s="692">
        <f>IFERROR(F16*'Area&amp;production data'!I16,"")</f>
        <v>0</v>
      </c>
      <c r="G46" s="692">
        <f>IFERROR(G16*'Area&amp;production data'!J16,"")</f>
        <v>0</v>
      </c>
      <c r="H46" s="692">
        <f>IFERROR(H16*'Area&amp;production data'!K16,"")</f>
        <v>0</v>
      </c>
      <c r="I46" s="692">
        <f>IFERROR(I16*'Area&amp;production data'!L16,"")</f>
        <v>0</v>
      </c>
      <c r="J46" s="692">
        <f>IFERROR(J16*'Area&amp;production data'!M16,"")</f>
        <v>0</v>
      </c>
      <c r="K46" s="692">
        <f>IFERROR(K16*'Area&amp;production data'!N16,"")</f>
        <v>0</v>
      </c>
      <c r="L46" s="692">
        <f>IFERROR(L16*'Area&amp;production data'!O16,"")</f>
        <v>0</v>
      </c>
      <c r="M46" s="291">
        <f t="shared" si="0"/>
        <v>0</v>
      </c>
      <c r="N46" s="291"/>
      <c r="O46" s="292">
        <f t="shared" si="1"/>
        <v>0</v>
      </c>
    </row>
    <row r="47" spans="1:15" x14ac:dyDescent="0.25">
      <c r="A47" s="272">
        <v>13</v>
      </c>
      <c r="B47" s="13" t="s">
        <v>151</v>
      </c>
      <c r="C47" s="692">
        <f>IFERROR(C17*'Area&amp;production data'!F17,"")</f>
        <v>0</v>
      </c>
      <c r="D47" s="692">
        <f>IFERROR(D17*'Area&amp;production data'!G17,"")</f>
        <v>0</v>
      </c>
      <c r="E47" s="692">
        <f>IFERROR(E17*'Area&amp;production data'!H17,"")</f>
        <v>0</v>
      </c>
      <c r="F47" s="692">
        <f>IFERROR(F17*'Area&amp;production data'!I17,"")</f>
        <v>0</v>
      </c>
      <c r="G47" s="692">
        <f>IFERROR(G17*'Area&amp;production data'!J17,"")</f>
        <v>0</v>
      </c>
      <c r="H47" s="692">
        <f>IFERROR(H17*'Area&amp;production data'!K17,"")</f>
        <v>0</v>
      </c>
      <c r="I47" s="692">
        <f>IFERROR(I17*'Area&amp;production data'!L17,"")</f>
        <v>0</v>
      </c>
      <c r="J47" s="692">
        <f>IFERROR(J17*'Area&amp;production data'!M17,"")</f>
        <v>0</v>
      </c>
      <c r="K47" s="692">
        <f>IFERROR(K17*'Area&amp;production data'!N17,"")</f>
        <v>0</v>
      </c>
      <c r="L47" s="692">
        <f>IFERROR(L17*'Area&amp;production data'!O17,"")</f>
        <v>0</v>
      </c>
      <c r="M47" s="291">
        <f t="shared" si="0"/>
        <v>0</v>
      </c>
      <c r="N47" s="291"/>
      <c r="O47" s="292">
        <f t="shared" si="1"/>
        <v>0</v>
      </c>
    </row>
    <row r="48" spans="1:15" x14ac:dyDescent="0.25">
      <c r="A48" s="13">
        <v>14</v>
      </c>
      <c r="B48" s="13" t="s">
        <v>152</v>
      </c>
      <c r="C48" s="692">
        <f>IFERROR(C18*'Area&amp;production data'!F18,"")</f>
        <v>0</v>
      </c>
      <c r="D48" s="692">
        <f>IFERROR(D18*'Area&amp;production data'!G18,"")</f>
        <v>0</v>
      </c>
      <c r="E48" s="692">
        <f>IFERROR(E18*'Area&amp;production data'!H18,"")</f>
        <v>0</v>
      </c>
      <c r="F48" s="692">
        <f>IFERROR(F18*'Area&amp;production data'!I18,"")</f>
        <v>0</v>
      </c>
      <c r="G48" s="692">
        <f>IFERROR(G18*'Area&amp;production data'!J18,"")</f>
        <v>0</v>
      </c>
      <c r="H48" s="692">
        <f>IFERROR(H18*'Area&amp;production data'!K18,"")</f>
        <v>0</v>
      </c>
      <c r="I48" s="692">
        <f>IFERROR(I18*'Area&amp;production data'!L18,"")</f>
        <v>0</v>
      </c>
      <c r="J48" s="692">
        <f>IFERROR(J18*'Area&amp;production data'!M18,"")</f>
        <v>0</v>
      </c>
      <c r="K48" s="692">
        <f>IFERROR(K18*'Area&amp;production data'!N18,"")</f>
        <v>0</v>
      </c>
      <c r="L48" s="692">
        <f>IFERROR(L18*'Area&amp;production data'!O18,"")</f>
        <v>0</v>
      </c>
      <c r="M48" s="291">
        <f t="shared" si="0"/>
        <v>0</v>
      </c>
      <c r="N48" s="291"/>
      <c r="O48" s="292">
        <f t="shared" si="1"/>
        <v>0</v>
      </c>
    </row>
    <row r="49" spans="1:16" x14ac:dyDescent="0.25">
      <c r="A49" s="272">
        <v>15</v>
      </c>
      <c r="B49" s="13" t="s">
        <v>153</v>
      </c>
      <c r="C49" s="692">
        <f>IFERROR(C19*'Area&amp;production data'!F19,"")</f>
        <v>0</v>
      </c>
      <c r="D49" s="692">
        <f>IFERROR(D19*'Area&amp;production data'!G19,"")</f>
        <v>0</v>
      </c>
      <c r="E49" s="692">
        <f>IFERROR(E19*'Area&amp;production data'!H19,"")</f>
        <v>0</v>
      </c>
      <c r="F49" s="692">
        <f>IFERROR(F19*'Area&amp;production data'!I19,"")</f>
        <v>0</v>
      </c>
      <c r="G49" s="692">
        <f>IFERROR(G19*'Area&amp;production data'!J19,"")</f>
        <v>0</v>
      </c>
      <c r="H49" s="692">
        <f>IFERROR(H19*'Area&amp;production data'!K19,"")</f>
        <v>0</v>
      </c>
      <c r="I49" s="692">
        <f>IFERROR(I19*'Area&amp;production data'!L19,"")</f>
        <v>0</v>
      </c>
      <c r="J49" s="692">
        <f>IFERROR(J19*'Area&amp;production data'!M19,"")</f>
        <v>0</v>
      </c>
      <c r="K49" s="692">
        <f>IFERROR(K19*'Area&amp;production data'!N19,"")</f>
        <v>0</v>
      </c>
      <c r="L49" s="692">
        <f>IFERROR(L19*'Area&amp;production data'!O19,"")</f>
        <v>0</v>
      </c>
      <c r="M49" s="291">
        <f t="shared" si="0"/>
        <v>0</v>
      </c>
      <c r="N49" s="291"/>
      <c r="O49" s="292">
        <f t="shared" si="1"/>
        <v>0</v>
      </c>
    </row>
    <row r="50" spans="1:16" x14ac:dyDescent="0.25">
      <c r="A50" s="13">
        <v>16</v>
      </c>
      <c r="B50" s="13" t="s">
        <v>154</v>
      </c>
      <c r="C50" s="692">
        <f>IFERROR(C20*'Area&amp;production data'!F20,"")</f>
        <v>0</v>
      </c>
      <c r="D50" s="692">
        <f>IFERROR(D20*'Area&amp;production data'!G20,"")</f>
        <v>0</v>
      </c>
      <c r="E50" s="692">
        <f>IFERROR(E20*'Area&amp;production data'!H20,"")</f>
        <v>0</v>
      </c>
      <c r="F50" s="692">
        <f>IFERROR(F20*'Area&amp;production data'!I20,"")</f>
        <v>0</v>
      </c>
      <c r="G50" s="692">
        <f>IFERROR(G20*'Area&amp;production data'!J20,"")</f>
        <v>0</v>
      </c>
      <c r="H50" s="692">
        <f>IFERROR(H20*'Area&amp;production data'!K20,"")</f>
        <v>0</v>
      </c>
      <c r="I50" s="692">
        <f>IFERROR(I20*'Area&amp;production data'!L20,"")</f>
        <v>0</v>
      </c>
      <c r="J50" s="692">
        <f>IFERROR(J20*'Area&amp;production data'!M20,"")</f>
        <v>0</v>
      </c>
      <c r="K50" s="692">
        <f>IFERROR(K20*'Area&amp;production data'!N20,"")</f>
        <v>0</v>
      </c>
      <c r="L50" s="692">
        <f>IFERROR(L20*'Area&amp;production data'!O20,"")</f>
        <v>0</v>
      </c>
      <c r="M50" s="291">
        <f t="shared" si="0"/>
        <v>0</v>
      </c>
      <c r="N50" s="291"/>
      <c r="O50" s="292">
        <f t="shared" si="1"/>
        <v>0</v>
      </c>
    </row>
    <row r="51" spans="1:16" x14ac:dyDescent="0.25">
      <c r="A51" s="272">
        <v>17</v>
      </c>
      <c r="B51" s="13" t="s">
        <v>155</v>
      </c>
      <c r="C51" s="692">
        <f>IFERROR(C21*'Area&amp;production data'!F21,"")</f>
        <v>0</v>
      </c>
      <c r="D51" s="692">
        <f>IFERROR(D21*'Area&amp;production data'!G21,"")</f>
        <v>0</v>
      </c>
      <c r="E51" s="692">
        <f>IFERROR(E21*'Area&amp;production data'!H21,"")</f>
        <v>0</v>
      </c>
      <c r="F51" s="692">
        <f>IFERROR(F21*'Area&amp;production data'!I21,"")</f>
        <v>0</v>
      </c>
      <c r="G51" s="692">
        <f>IFERROR(G21*'Area&amp;production data'!J21,"")</f>
        <v>0</v>
      </c>
      <c r="H51" s="692">
        <f>IFERROR(H21*'Area&amp;production data'!K21,"")</f>
        <v>0</v>
      </c>
      <c r="I51" s="692">
        <f>IFERROR(I21*'Area&amp;production data'!L21,"")</f>
        <v>0</v>
      </c>
      <c r="J51" s="692">
        <f>IFERROR(J21*'Area&amp;production data'!M21,"")</f>
        <v>0</v>
      </c>
      <c r="K51" s="692">
        <f>IFERROR(K21*'Area&amp;production data'!N21,"")</f>
        <v>0</v>
      </c>
      <c r="L51" s="692">
        <f>IFERROR(L21*'Area&amp;production data'!O21,"")</f>
        <v>0</v>
      </c>
      <c r="M51" s="291">
        <f t="shared" si="0"/>
        <v>0</v>
      </c>
      <c r="N51" s="291"/>
      <c r="O51" s="292">
        <f t="shared" si="1"/>
        <v>0</v>
      </c>
    </row>
    <row r="52" spans="1:16" x14ac:dyDescent="0.25">
      <c r="A52" s="13">
        <v>18</v>
      </c>
      <c r="B52" s="13" t="s">
        <v>156</v>
      </c>
      <c r="C52" s="692">
        <f>IFERROR(C22*'Area&amp;production data'!F22,"")</f>
        <v>0</v>
      </c>
      <c r="D52" s="692">
        <f>IFERROR(D22*'Area&amp;production data'!G22,"")</f>
        <v>0</v>
      </c>
      <c r="E52" s="692">
        <f>IFERROR(E22*'Area&amp;production data'!H22,"")</f>
        <v>0</v>
      </c>
      <c r="F52" s="692">
        <f>IFERROR(F22*'Area&amp;production data'!I22,"")</f>
        <v>0</v>
      </c>
      <c r="G52" s="692">
        <f>IFERROR(G22*'Area&amp;production data'!J22,"")</f>
        <v>0</v>
      </c>
      <c r="H52" s="692">
        <f>IFERROR(H22*'Area&amp;production data'!K22,"")</f>
        <v>0</v>
      </c>
      <c r="I52" s="692">
        <f>IFERROR(I22*'Area&amp;production data'!L22,"")</f>
        <v>0</v>
      </c>
      <c r="J52" s="692">
        <f>IFERROR(J22*'Area&amp;production data'!M22,"")</f>
        <v>0</v>
      </c>
      <c r="K52" s="692">
        <f>IFERROR(K22*'Area&amp;production data'!N22,"")</f>
        <v>0</v>
      </c>
      <c r="L52" s="692">
        <f>IFERROR(L22*'Area&amp;production data'!O22,"")</f>
        <v>0</v>
      </c>
      <c r="M52" s="291">
        <f t="shared" si="0"/>
        <v>0</v>
      </c>
      <c r="N52" s="291"/>
      <c r="O52" s="292">
        <f t="shared" si="1"/>
        <v>0</v>
      </c>
    </row>
    <row r="53" spans="1:16" x14ac:dyDescent="0.25">
      <c r="A53" s="272">
        <v>19</v>
      </c>
      <c r="B53" s="13" t="s">
        <v>157</v>
      </c>
      <c r="C53" s="692">
        <f>IFERROR(C23*'Area&amp;production data'!F23,"")</f>
        <v>0</v>
      </c>
      <c r="D53" s="692">
        <f>IFERROR(D23*'Area&amp;production data'!G23,"")</f>
        <v>0</v>
      </c>
      <c r="E53" s="692">
        <f>IFERROR(E23*'Area&amp;production data'!H23,"")</f>
        <v>0</v>
      </c>
      <c r="F53" s="692">
        <f>IFERROR(F23*'Area&amp;production data'!I23,"")</f>
        <v>0</v>
      </c>
      <c r="G53" s="692">
        <f>IFERROR(G23*'Area&amp;production data'!J23,"")</f>
        <v>0</v>
      </c>
      <c r="H53" s="692">
        <f>IFERROR(H23*'Area&amp;production data'!K23,"")</f>
        <v>0</v>
      </c>
      <c r="I53" s="692">
        <f>IFERROR(I23*'Area&amp;production data'!L23,"")</f>
        <v>0</v>
      </c>
      <c r="J53" s="692">
        <f>IFERROR(J23*'Area&amp;production data'!M23,"")</f>
        <v>0</v>
      </c>
      <c r="K53" s="692">
        <f>IFERROR(K23*'Area&amp;production data'!N23,"")</f>
        <v>0</v>
      </c>
      <c r="L53" s="692">
        <f>IFERROR(L23*'Area&amp;production data'!O23,"")</f>
        <v>0</v>
      </c>
      <c r="M53" s="291">
        <f t="shared" si="0"/>
        <v>0</v>
      </c>
      <c r="N53" s="291"/>
      <c r="O53" s="292">
        <f t="shared" si="1"/>
        <v>0</v>
      </c>
    </row>
    <row r="54" spans="1:16" x14ac:dyDescent="0.25">
      <c r="A54" s="13">
        <v>20</v>
      </c>
      <c r="B54" s="13" t="s">
        <v>158</v>
      </c>
      <c r="C54" s="692">
        <f>IFERROR(C24*'Area&amp;production data'!F24,"")</f>
        <v>0</v>
      </c>
      <c r="D54" s="692">
        <f>IFERROR(D24*'Area&amp;production data'!G24,"")</f>
        <v>0</v>
      </c>
      <c r="E54" s="692">
        <f>IFERROR(E24*'Area&amp;production data'!H24,"")</f>
        <v>0</v>
      </c>
      <c r="F54" s="692">
        <f>IFERROR(F24*'Area&amp;production data'!I24,"")</f>
        <v>0</v>
      </c>
      <c r="G54" s="692">
        <f>IFERROR(G24*'Area&amp;production data'!J24,"")</f>
        <v>0</v>
      </c>
      <c r="H54" s="692">
        <f>IFERROR(H24*'Area&amp;production data'!K24,"")</f>
        <v>0</v>
      </c>
      <c r="I54" s="692">
        <f>IFERROR(I24*'Area&amp;production data'!L24,"")</f>
        <v>0</v>
      </c>
      <c r="J54" s="692">
        <f>IFERROR(J24*'Area&amp;production data'!M24,"")</f>
        <v>0</v>
      </c>
      <c r="K54" s="692">
        <f>IFERROR(K24*'Area&amp;production data'!N24,"")</f>
        <v>0</v>
      </c>
      <c r="L54" s="692">
        <f>IFERROR(L24*'Area&amp;production data'!O24,"")</f>
        <v>0</v>
      </c>
      <c r="M54" s="291">
        <f t="shared" si="0"/>
        <v>0</v>
      </c>
      <c r="N54" s="291"/>
      <c r="O54" s="292">
        <f t="shared" si="1"/>
        <v>0</v>
      </c>
    </row>
    <row r="55" spans="1:16" x14ac:dyDescent="0.25">
      <c r="A55" s="272">
        <v>21</v>
      </c>
      <c r="B55" s="13" t="s">
        <v>159</v>
      </c>
      <c r="C55" s="692">
        <f>IFERROR(C25*'Area&amp;production data'!F25,"")</f>
        <v>0</v>
      </c>
      <c r="D55" s="692">
        <f>IFERROR(D25*'Area&amp;production data'!G25,"")</f>
        <v>0</v>
      </c>
      <c r="E55" s="692">
        <f>IFERROR(E25*'Area&amp;production data'!H25,"")</f>
        <v>0</v>
      </c>
      <c r="F55" s="692">
        <f>IFERROR(F25*'Area&amp;production data'!I25,"")</f>
        <v>0</v>
      </c>
      <c r="G55" s="692">
        <f>IFERROR(G25*'Area&amp;production data'!J25,"")</f>
        <v>0</v>
      </c>
      <c r="H55" s="692">
        <f>IFERROR(H25*'Area&amp;production data'!K25,"")</f>
        <v>0</v>
      </c>
      <c r="I55" s="692">
        <f>IFERROR(I25*'Area&amp;production data'!L25,"")</f>
        <v>0</v>
      </c>
      <c r="J55" s="692">
        <f>IFERROR(J25*'Area&amp;production data'!M25,"")</f>
        <v>0</v>
      </c>
      <c r="K55" s="692">
        <f>IFERROR(K25*'Area&amp;production data'!N25,"")</f>
        <v>0</v>
      </c>
      <c r="L55" s="692">
        <f>IFERROR(L25*'Area&amp;production data'!O25,"")</f>
        <v>0</v>
      </c>
      <c r="M55" s="291">
        <f t="shared" si="0"/>
        <v>0</v>
      </c>
      <c r="N55" s="291"/>
      <c r="O55" s="292">
        <f t="shared" si="1"/>
        <v>0</v>
      </c>
    </row>
    <row r="56" spans="1:16" x14ac:dyDescent="0.25">
      <c r="A56" s="13">
        <v>22</v>
      </c>
      <c r="B56" s="13" t="s">
        <v>160</v>
      </c>
      <c r="C56" s="692">
        <f>IFERROR(C26*'Area&amp;production data'!F26,"")</f>
        <v>0</v>
      </c>
      <c r="D56" s="692">
        <f>IFERROR(D26*'Area&amp;production data'!G26,"")</f>
        <v>0</v>
      </c>
      <c r="E56" s="692">
        <f>IFERROR(E26*'Area&amp;production data'!H26,"")</f>
        <v>0</v>
      </c>
      <c r="F56" s="692">
        <f>IFERROR(F26*'Area&amp;production data'!I26,"")</f>
        <v>0</v>
      </c>
      <c r="G56" s="692">
        <f>IFERROR(G26*'Area&amp;production data'!J26,"")</f>
        <v>0</v>
      </c>
      <c r="H56" s="692">
        <f>IFERROR(H26*'Area&amp;production data'!K26,"")</f>
        <v>0</v>
      </c>
      <c r="I56" s="692">
        <f>IFERROR(I26*'Area&amp;production data'!L26,"")</f>
        <v>0</v>
      </c>
      <c r="J56" s="692">
        <f>IFERROR(J26*'Area&amp;production data'!M26,"")</f>
        <v>0</v>
      </c>
      <c r="K56" s="692">
        <f>IFERROR(K26*'Area&amp;production data'!N26,"")</f>
        <v>0</v>
      </c>
      <c r="L56" s="692">
        <f>IFERROR(L26*'Area&amp;production data'!O26,"")</f>
        <v>0</v>
      </c>
      <c r="M56" s="291">
        <f t="shared" si="0"/>
        <v>0</v>
      </c>
      <c r="N56" s="291"/>
      <c r="O56" s="292">
        <f t="shared" si="1"/>
        <v>0</v>
      </c>
    </row>
    <row r="57" spans="1:16" x14ac:dyDescent="0.25">
      <c r="A57" s="272">
        <v>23</v>
      </c>
      <c r="B57" s="13" t="s">
        <v>161</v>
      </c>
      <c r="C57" s="692">
        <f>IFERROR(C27*'Area&amp;production data'!F27,"")</f>
        <v>0</v>
      </c>
      <c r="D57" s="692">
        <f>IFERROR(D27*'Area&amp;production data'!G27,"")</f>
        <v>0</v>
      </c>
      <c r="E57" s="692">
        <f>IFERROR(E27*'Area&amp;production data'!H27,"")</f>
        <v>0</v>
      </c>
      <c r="F57" s="692">
        <f>IFERROR(F27*'Area&amp;production data'!I27,"")</f>
        <v>0</v>
      </c>
      <c r="G57" s="692">
        <f>IFERROR(G27*'Area&amp;production data'!J27,"")</f>
        <v>0</v>
      </c>
      <c r="H57" s="692">
        <f>IFERROR(H27*'Area&amp;production data'!K27,"")</f>
        <v>0</v>
      </c>
      <c r="I57" s="692">
        <f>IFERROR(I27*'Area&amp;production data'!L27,"")</f>
        <v>0</v>
      </c>
      <c r="J57" s="692">
        <f>IFERROR(J27*'Area&amp;production data'!M27,"")</f>
        <v>0</v>
      </c>
      <c r="K57" s="692">
        <f>IFERROR(K27*'Area&amp;production data'!N27,"")</f>
        <v>0</v>
      </c>
      <c r="L57" s="692">
        <f>IFERROR(L27*'Area&amp;production data'!O27,"")</f>
        <v>0</v>
      </c>
      <c r="M57" s="291">
        <f t="shared" si="0"/>
        <v>0</v>
      </c>
      <c r="N57" s="291"/>
      <c r="O57" s="292">
        <f t="shared" si="1"/>
        <v>0</v>
      </c>
    </row>
    <row r="58" spans="1:16" x14ac:dyDescent="0.25">
      <c r="A58" s="13">
        <v>24</v>
      </c>
      <c r="B58" s="13" t="s">
        <v>162</v>
      </c>
      <c r="C58" s="692">
        <f>IFERROR(C28*'Area&amp;production data'!F28,"")</f>
        <v>0</v>
      </c>
      <c r="D58" s="692">
        <f>IFERROR(D28*'Area&amp;production data'!G28,"")</f>
        <v>0</v>
      </c>
      <c r="E58" s="692">
        <f>IFERROR(E28*'Area&amp;production data'!H28,"")</f>
        <v>0</v>
      </c>
      <c r="F58" s="692">
        <f>IFERROR(F28*'Area&amp;production data'!I28,"")</f>
        <v>0</v>
      </c>
      <c r="G58" s="692">
        <f>IFERROR(G28*'Area&amp;production data'!J28,"")</f>
        <v>0</v>
      </c>
      <c r="H58" s="692">
        <f>IFERROR(H28*'Area&amp;production data'!K28,"")</f>
        <v>0</v>
      </c>
      <c r="I58" s="692">
        <f>IFERROR(I28*'Area&amp;production data'!L28,"")</f>
        <v>0</v>
      </c>
      <c r="J58" s="692">
        <f>IFERROR(J28*'Area&amp;production data'!M28,"")</f>
        <v>0</v>
      </c>
      <c r="K58" s="692">
        <f>IFERROR(K28*'Area&amp;production data'!N28,"")</f>
        <v>0</v>
      </c>
      <c r="L58" s="692">
        <f>IFERROR(L28*'Area&amp;production data'!O28,"")</f>
        <v>0</v>
      </c>
      <c r="M58" s="291">
        <f t="shared" si="0"/>
        <v>0</v>
      </c>
      <c r="N58" s="291"/>
      <c r="O58" s="292">
        <f t="shared" si="1"/>
        <v>0</v>
      </c>
    </row>
    <row r="59" spans="1:16" x14ac:dyDescent="0.25">
      <c r="B59" s="15" t="s">
        <v>163</v>
      </c>
      <c r="C59" s="214">
        <f>SUM(C35:C58)</f>
        <v>0</v>
      </c>
      <c r="D59" s="214">
        <f t="shared" ref="D59:L59" si="2">SUM(D35:D58)</f>
        <v>0</v>
      </c>
      <c r="E59" s="214">
        <f t="shared" si="2"/>
        <v>0</v>
      </c>
      <c r="F59" s="214">
        <f t="shared" si="2"/>
        <v>0</v>
      </c>
      <c r="G59" s="214">
        <f t="shared" si="2"/>
        <v>0</v>
      </c>
      <c r="H59" s="214">
        <f t="shared" si="2"/>
        <v>0</v>
      </c>
      <c r="I59" s="214">
        <f t="shared" si="2"/>
        <v>0</v>
      </c>
      <c r="J59" s="214">
        <f t="shared" si="2"/>
        <v>0</v>
      </c>
      <c r="K59" s="214">
        <f t="shared" si="2"/>
        <v>0</v>
      </c>
      <c r="L59" s="214">
        <f t="shared" si="2"/>
        <v>0</v>
      </c>
      <c r="M59" s="291">
        <f>SUM(C59:H59)</f>
        <v>0</v>
      </c>
      <c r="N59" s="291"/>
      <c r="O59" s="292">
        <f>SUM(C59:L59)</f>
        <v>0</v>
      </c>
      <c r="P59" s="1" t="b">
        <f>SUM(O35:O58)=O59</f>
        <v>1</v>
      </c>
    </row>
    <row r="60" spans="1:16" x14ac:dyDescent="0.25">
      <c r="M60" s="125" t="b">
        <f>SUM(M35:M58)=M59</f>
        <v>1</v>
      </c>
      <c r="N60" s="125"/>
    </row>
  </sheetData>
  <mergeCells count="5">
    <mergeCell ref="A3:A4"/>
    <mergeCell ref="B3:B4"/>
    <mergeCell ref="C3:O3"/>
    <mergeCell ref="B33:B34"/>
    <mergeCell ref="C33:O3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D1E56-79F3-4154-BDEC-545FACB1B627}">
  <dimension ref="A1:U35"/>
  <sheetViews>
    <sheetView topLeftCell="A20" workbookViewId="0">
      <selection activeCell="M1" sqref="M1"/>
    </sheetView>
  </sheetViews>
  <sheetFormatPr defaultRowHeight="15" x14ac:dyDescent="0.25"/>
  <cols>
    <col min="2" max="2" width="25.85546875" customWidth="1"/>
    <col min="3" max="3" width="16.140625" customWidth="1"/>
    <col min="4" max="11" width="14.85546875" customWidth="1"/>
    <col min="12" max="12" width="31.7109375" bestFit="1" customWidth="1"/>
    <col min="13" max="13" width="17.140625" customWidth="1"/>
    <col min="14" max="14" width="13.5703125" customWidth="1"/>
    <col min="15" max="15" width="12.85546875" customWidth="1"/>
    <col min="16" max="16" width="11.42578125" customWidth="1"/>
    <col min="17" max="17" width="15.42578125" customWidth="1"/>
    <col min="18" max="18" width="15.28515625" customWidth="1"/>
    <col min="19" max="19" width="17" customWidth="1"/>
    <col min="20" max="20" width="11.85546875" customWidth="1"/>
    <col min="21" max="21" width="11.5703125" customWidth="1"/>
  </cols>
  <sheetData>
    <row r="1" spans="1:21" ht="14.45" customHeight="1" x14ac:dyDescent="0.25">
      <c r="H1" s="814" t="s">
        <v>95</v>
      </c>
      <c r="I1" s="814"/>
      <c r="J1" s="814"/>
      <c r="K1" s="814"/>
      <c r="L1" s="814"/>
      <c r="M1" s="419">
        <v>58.74</v>
      </c>
      <c r="N1" s="18" t="s">
        <v>96</v>
      </c>
      <c r="O1" s="754" t="s">
        <v>97</v>
      </c>
      <c r="P1" s="754"/>
      <c r="Q1" s="754"/>
      <c r="R1" s="754"/>
      <c r="S1" s="754"/>
    </row>
    <row r="2" spans="1:21" ht="15.75" thickBot="1" x14ac:dyDescent="0.3">
      <c r="A2" s="59" t="s">
        <v>98</v>
      </c>
      <c r="H2" t="s">
        <v>99</v>
      </c>
      <c r="M2" s="49">
        <v>0.1</v>
      </c>
    </row>
    <row r="3" spans="1:21" x14ac:dyDescent="0.25">
      <c r="A3" s="796" t="s">
        <v>100</v>
      </c>
      <c r="B3" s="820" t="s">
        <v>101</v>
      </c>
      <c r="C3" s="821" t="s">
        <v>181</v>
      </c>
      <c r="D3" s="821"/>
      <c r="E3" s="821"/>
      <c r="F3" s="821"/>
      <c r="G3" s="821"/>
      <c r="H3" s="821"/>
      <c r="I3" s="821"/>
      <c r="J3" s="821"/>
      <c r="K3" s="821"/>
      <c r="L3" s="821"/>
      <c r="M3" s="821"/>
      <c r="O3" s="456" t="s">
        <v>182</v>
      </c>
    </row>
    <row r="4" spans="1:21" ht="30.75" thickBot="1" x14ac:dyDescent="0.3">
      <c r="A4" s="797"/>
      <c r="B4" s="799"/>
      <c r="C4" s="285" t="s">
        <v>24</v>
      </c>
      <c r="D4" s="285" t="s">
        <v>26</v>
      </c>
      <c r="E4" s="286" t="s">
        <v>28</v>
      </c>
      <c r="F4" s="286" t="s">
        <v>30</v>
      </c>
      <c r="G4" s="85" t="s">
        <v>121</v>
      </c>
      <c r="H4" s="85" t="s">
        <v>131</v>
      </c>
      <c r="I4" s="85" t="s">
        <v>123</v>
      </c>
      <c r="J4" s="85" t="s">
        <v>38</v>
      </c>
      <c r="K4" s="85" t="s">
        <v>124</v>
      </c>
      <c r="L4" s="286" t="s">
        <v>125</v>
      </c>
      <c r="M4" s="287" t="s">
        <v>183</v>
      </c>
      <c r="O4" s="399" t="s">
        <v>184</v>
      </c>
      <c r="P4" s="399" t="s">
        <v>185</v>
      </c>
      <c r="Q4" s="85" t="s">
        <v>123</v>
      </c>
      <c r="R4" s="85" t="s">
        <v>38</v>
      </c>
      <c r="S4" s="85" t="s">
        <v>124</v>
      </c>
      <c r="T4" s="399" t="s">
        <v>186</v>
      </c>
      <c r="U4" s="399" t="s">
        <v>120</v>
      </c>
    </row>
    <row r="5" spans="1:21" x14ac:dyDescent="0.25">
      <c r="A5" s="272">
        <v>1</v>
      </c>
      <c r="B5" s="272" t="s">
        <v>139</v>
      </c>
      <c r="C5" s="693" t="str">
        <f>IFERROR('Prices,exch.rates,harvest index'!$M$21*'Area&amp;production data'!W5+'Prices,exch.rates,harvest index'!$N$21*'Value of production'!$C$33*'Area&amp;production data'!W5,"")</f>
        <v/>
      </c>
      <c r="D5" s="693" t="str">
        <f>IFERROR('Prices,exch.rates,harvest index'!$M$22*'Area&amp;production data'!X5+'Prices,exch.rates,harvest index'!$N$22*'Value of production'!$D$33*'Area&amp;production data'!X5,"")</f>
        <v/>
      </c>
      <c r="E5" s="693" t="str">
        <f>IFERROR('Prices,exch.rates,harvest index'!$M$23*'Area&amp;production data'!Y5,"")</f>
        <v/>
      </c>
      <c r="F5" s="693">
        <f>IFERROR('Prices,exch.rates,harvest index'!$M$24*'Area&amp;production data'!Z5,"")</f>
        <v>0</v>
      </c>
      <c r="G5" s="693" t="str">
        <f>IFERROR('Prices,exch.rates,harvest index'!$M$25*'Area&amp;production data'!AA5,"")</f>
        <v/>
      </c>
      <c r="H5" s="693">
        <f>IFERROR('Prices,exch.rates,harvest index'!$G$38*'Area&amp;production data'!AB5,"")</f>
        <v>0</v>
      </c>
      <c r="I5" s="693">
        <f>IFERROR('Prices,exch.rates,harvest index'!$M$27*'Area&amp;production data'!AC5,"")</f>
        <v>0</v>
      </c>
      <c r="J5" s="693">
        <f>IFERROR('Prices,exch.rates,harvest index'!$M$28*'Area&amp;production data'!AD5,"")</f>
        <v>0</v>
      </c>
      <c r="K5" s="693">
        <f>IFERROR('Prices,exch.rates,harvest index'!$M$29*'Area&amp;production data'!AE5,"")</f>
        <v>0</v>
      </c>
      <c r="L5" s="693">
        <f>IFERROR('Prices,exch.rates,harvest index'!$M$30*'Area&amp;production data'!AF5,"")</f>
        <v>0</v>
      </c>
      <c r="M5" s="275">
        <f>SUM(C5:L5)</f>
        <v>0</v>
      </c>
      <c r="O5" s="140" t="str">
        <f>IFERROR(SUM(C5:H5)/'Area&amp;production data'!Q5,"")</f>
        <v/>
      </c>
      <c r="P5" s="140" t="str">
        <f>IFERROR(L5/'Area&amp;production data'!O5,"")</f>
        <v/>
      </c>
      <c r="Q5" s="140" t="str">
        <f>IFERROR(I5/'Area&amp;production data'!L5,"")</f>
        <v/>
      </c>
      <c r="R5" s="140" t="str">
        <f>IFERROR(J5/'Area&amp;production data'!M5,"")</f>
        <v/>
      </c>
      <c r="S5" s="140" t="str">
        <f>IFERROR(K5/'Area&amp;production data'!N5,"")</f>
        <v/>
      </c>
      <c r="T5" s="95" t="str">
        <f>IFERROR(SUM(I5:K5)/SUM('Area&amp;production data'!L5:N5),"")</f>
        <v/>
      </c>
      <c r="U5" s="140" t="str">
        <f>IFERROR(M5/'Area&amp;production data'!V5,"")</f>
        <v/>
      </c>
    </row>
    <row r="6" spans="1:21" x14ac:dyDescent="0.25">
      <c r="A6" s="13">
        <v>2</v>
      </c>
      <c r="B6" s="13" t="s">
        <v>140</v>
      </c>
      <c r="C6" s="693" t="str">
        <f>IFERROR('Prices,exch.rates,harvest index'!$M$21*'Area&amp;production data'!W6+'Prices,exch.rates,harvest index'!$N$21*'Value of production'!$C$33*'Area&amp;production data'!W6,"")</f>
        <v/>
      </c>
      <c r="D6" s="693" t="str">
        <f>IFERROR('Prices,exch.rates,harvest index'!$M$22*'Area&amp;production data'!X6+'Prices,exch.rates,harvest index'!$N$22*'Value of production'!$D$33*'Area&amp;production data'!X6,"")</f>
        <v/>
      </c>
      <c r="E6" s="693" t="str">
        <f>IFERROR('Prices,exch.rates,harvest index'!$M$23*'Area&amp;production data'!Y6,"")</f>
        <v/>
      </c>
      <c r="F6" s="693">
        <f>IFERROR('Prices,exch.rates,harvest index'!$M$24*'Area&amp;production data'!Z6,"")</f>
        <v>0</v>
      </c>
      <c r="G6" s="693" t="str">
        <f>IFERROR('Prices,exch.rates,harvest index'!$M$25*'Area&amp;production data'!AA6,"")</f>
        <v/>
      </c>
      <c r="H6" s="693">
        <f>IFERROR('Prices,exch.rates,harvest index'!$G$38*'Area&amp;production data'!AB6,"")</f>
        <v>0</v>
      </c>
      <c r="I6" s="693">
        <f>IFERROR('Prices,exch.rates,harvest index'!$M$27*'Area&amp;production data'!AC6,"")</f>
        <v>0</v>
      </c>
      <c r="J6" s="693">
        <f>IFERROR('Prices,exch.rates,harvest index'!$M$28*'Area&amp;production data'!AD6,"")</f>
        <v>0</v>
      </c>
      <c r="K6" s="693">
        <f>IFERROR('Prices,exch.rates,harvest index'!$M$29*'Area&amp;production data'!AE6,"")</f>
        <v>0</v>
      </c>
      <c r="L6" s="693">
        <f>IFERROR('Prices,exch.rates,harvest index'!$M$30*'Area&amp;production data'!AF6,"")</f>
        <v>0</v>
      </c>
      <c r="M6" s="275">
        <f t="shared" ref="M6:M29" si="0">SUM(C6:L6)</f>
        <v>0</v>
      </c>
      <c r="O6" s="140" t="str">
        <f>IFERROR(SUM(C6:H6)/'Area&amp;production data'!Q6,"")</f>
        <v/>
      </c>
      <c r="P6" s="140" t="str">
        <f>IFERROR(L6/'Area&amp;production data'!O6,"")</f>
        <v/>
      </c>
      <c r="Q6" s="140" t="str">
        <f>IFERROR(I6/'Area&amp;production data'!L6,"")</f>
        <v/>
      </c>
      <c r="R6" s="140" t="str">
        <f>IFERROR(J6/'Area&amp;production data'!M6,"")</f>
        <v/>
      </c>
      <c r="S6" s="140" t="str">
        <f>IFERROR(K6/'Area&amp;production data'!N6,"")</f>
        <v/>
      </c>
      <c r="T6" s="95" t="str">
        <f>IFERROR(SUM(I6:K6)/SUM('Area&amp;production data'!L6:N6),"")</f>
        <v/>
      </c>
      <c r="U6" s="140" t="str">
        <f>IFERROR(M6/'Area&amp;production data'!V6,"")</f>
        <v/>
      </c>
    </row>
    <row r="7" spans="1:21" x14ac:dyDescent="0.25">
      <c r="A7" s="13">
        <v>3</v>
      </c>
      <c r="B7" s="13" t="s">
        <v>141</v>
      </c>
      <c r="C7" s="693" t="str">
        <f>IFERROR('Prices,exch.rates,harvest index'!$M$21*'Area&amp;production data'!W7+'Prices,exch.rates,harvest index'!$N$21*'Value of production'!$C$33*'Area&amp;production data'!W7,"")</f>
        <v/>
      </c>
      <c r="D7" s="693" t="str">
        <f>IFERROR('Prices,exch.rates,harvest index'!$M$22*'Area&amp;production data'!X7+'Prices,exch.rates,harvest index'!$N$22*'Value of production'!$D$33*'Area&amp;production data'!X7,"")</f>
        <v/>
      </c>
      <c r="E7" s="693" t="str">
        <f>IFERROR('Prices,exch.rates,harvest index'!$M$23*'Area&amp;production data'!Y7,"")</f>
        <v/>
      </c>
      <c r="F7" s="693">
        <f>IFERROR('Prices,exch.rates,harvest index'!$M$24*'Area&amp;production data'!Z7,"")</f>
        <v>0</v>
      </c>
      <c r="G7" s="693" t="str">
        <f>IFERROR('Prices,exch.rates,harvest index'!$M$25*'Area&amp;production data'!AA7,"")</f>
        <v/>
      </c>
      <c r="H7" s="693">
        <f>IFERROR('Prices,exch.rates,harvest index'!$G$38*'Area&amp;production data'!AB7,"")</f>
        <v>0</v>
      </c>
      <c r="I7" s="693">
        <f>IFERROR('Prices,exch.rates,harvest index'!$M$27*'Area&amp;production data'!AC7,"")</f>
        <v>0</v>
      </c>
      <c r="J7" s="693">
        <f>IFERROR('Prices,exch.rates,harvest index'!$M$28*'Area&amp;production data'!AD7,"")</f>
        <v>0</v>
      </c>
      <c r="K7" s="693">
        <f>IFERROR('Prices,exch.rates,harvest index'!$M$29*'Area&amp;production data'!AE7,"")</f>
        <v>0</v>
      </c>
      <c r="L7" s="693">
        <f>IFERROR('Prices,exch.rates,harvest index'!$M$30*'Area&amp;production data'!AF7,"")</f>
        <v>0</v>
      </c>
      <c r="M7" s="275">
        <f t="shared" si="0"/>
        <v>0</v>
      </c>
      <c r="O7" s="140" t="str">
        <f>IFERROR(SUM(C7:H7)/'Area&amp;production data'!Q7,"")</f>
        <v/>
      </c>
      <c r="P7" s="140" t="str">
        <f>IFERROR(L7/'Area&amp;production data'!O7,"")</f>
        <v/>
      </c>
      <c r="Q7" s="140" t="str">
        <f>IFERROR(I7/'Area&amp;production data'!L7,"")</f>
        <v/>
      </c>
      <c r="R7" s="140" t="str">
        <f>IFERROR(J7/'Area&amp;production data'!M7,"")</f>
        <v/>
      </c>
      <c r="S7" s="140" t="str">
        <f>IFERROR(K7/'Area&amp;production data'!N7,"")</f>
        <v/>
      </c>
      <c r="T7" s="95" t="str">
        <f>IFERROR(SUM(I7:K7)/SUM('Area&amp;production data'!L7:N7),"")</f>
        <v/>
      </c>
      <c r="U7" s="140" t="str">
        <f>IFERROR(M7/'Area&amp;production data'!V7,"")</f>
        <v/>
      </c>
    </row>
    <row r="8" spans="1:21" x14ac:dyDescent="0.25">
      <c r="A8" s="13">
        <v>4</v>
      </c>
      <c r="B8" s="13" t="s">
        <v>142</v>
      </c>
      <c r="C8" s="693" t="str">
        <f>IFERROR('Prices,exch.rates,harvest index'!$M$21*'Area&amp;production data'!W8+'Prices,exch.rates,harvest index'!$N$21*'Value of production'!$C$33*'Area&amp;production data'!W8,"")</f>
        <v/>
      </c>
      <c r="D8" s="693" t="str">
        <f>IFERROR('Prices,exch.rates,harvest index'!$M$22*'Area&amp;production data'!X8+'Prices,exch.rates,harvest index'!$N$22*'Value of production'!$D$33*'Area&amp;production data'!X8,"")</f>
        <v/>
      </c>
      <c r="E8" s="693" t="str">
        <f>IFERROR('Prices,exch.rates,harvest index'!$M$23*'Area&amp;production data'!Y8,"")</f>
        <v/>
      </c>
      <c r="F8" s="693">
        <f>IFERROR('Prices,exch.rates,harvest index'!$M$24*'Area&amp;production data'!Z8,"")</f>
        <v>0</v>
      </c>
      <c r="G8" s="693" t="str">
        <f>IFERROR('Prices,exch.rates,harvest index'!$M$25*'Area&amp;production data'!AA8,"")</f>
        <v/>
      </c>
      <c r="H8" s="693">
        <f>IFERROR('Prices,exch.rates,harvest index'!$G$38*'Area&amp;production data'!AB8,"")</f>
        <v>0</v>
      </c>
      <c r="I8" s="693">
        <f>IFERROR('Prices,exch.rates,harvest index'!$M$27*'Area&amp;production data'!AC8,"")</f>
        <v>0</v>
      </c>
      <c r="J8" s="693">
        <f>IFERROR('Prices,exch.rates,harvest index'!$M$28*'Area&amp;production data'!AD8,"")</f>
        <v>0</v>
      </c>
      <c r="K8" s="693">
        <f>IFERROR('Prices,exch.rates,harvest index'!$M$29*'Area&amp;production data'!AE8,"")</f>
        <v>0</v>
      </c>
      <c r="L8" s="693">
        <f>IFERROR('Prices,exch.rates,harvest index'!$M$30*'Area&amp;production data'!AF8,"")</f>
        <v>0</v>
      </c>
      <c r="M8" s="275">
        <f t="shared" si="0"/>
        <v>0</v>
      </c>
      <c r="O8" s="140" t="str">
        <f>IFERROR(SUM(C8:H8)/'Area&amp;production data'!Q8,"")</f>
        <v/>
      </c>
      <c r="P8" s="140" t="str">
        <f>IFERROR(L8/'Area&amp;production data'!O8,"")</f>
        <v/>
      </c>
      <c r="Q8" s="140" t="str">
        <f>IFERROR(I8/'Area&amp;production data'!L8,"")</f>
        <v/>
      </c>
      <c r="R8" s="140" t="str">
        <f>IFERROR(J8/'Area&amp;production data'!M8,"")</f>
        <v/>
      </c>
      <c r="S8" s="140" t="str">
        <f>IFERROR(K8/'Area&amp;production data'!N8,"")</f>
        <v/>
      </c>
      <c r="T8" s="95" t="str">
        <f>IFERROR(SUM(I8:K8)/SUM('Area&amp;production data'!L8:N8),"")</f>
        <v/>
      </c>
      <c r="U8" s="140" t="str">
        <f>IFERROR(M8/'Area&amp;production data'!V8,"")</f>
        <v/>
      </c>
    </row>
    <row r="9" spans="1:21" x14ac:dyDescent="0.25">
      <c r="A9" s="13">
        <v>5</v>
      </c>
      <c r="B9" s="13" t="s">
        <v>143</v>
      </c>
      <c r="C9" s="693" t="str">
        <f>IFERROR('Prices,exch.rates,harvest index'!$M$21*'Area&amp;production data'!W9+'Prices,exch.rates,harvest index'!$N$21*'Value of production'!$C$33*'Area&amp;production data'!W9,"")</f>
        <v/>
      </c>
      <c r="D9" s="693" t="str">
        <f>IFERROR('Prices,exch.rates,harvest index'!$M$22*'Area&amp;production data'!X9+'Prices,exch.rates,harvest index'!$N$22*'Value of production'!$D$33*'Area&amp;production data'!X9,"")</f>
        <v/>
      </c>
      <c r="E9" s="693" t="str">
        <f>IFERROR('Prices,exch.rates,harvest index'!$M$23*'Area&amp;production data'!Y9,"")</f>
        <v/>
      </c>
      <c r="F9" s="693">
        <f>IFERROR('Prices,exch.rates,harvest index'!$M$24*'Area&amp;production data'!Z9,"")</f>
        <v>0</v>
      </c>
      <c r="G9" s="693" t="str">
        <f>IFERROR('Prices,exch.rates,harvest index'!$M$25*'Area&amp;production data'!AA9,"")</f>
        <v/>
      </c>
      <c r="H9" s="693">
        <f>IFERROR('Prices,exch.rates,harvest index'!$G$38*'Area&amp;production data'!AB9,"")</f>
        <v>0</v>
      </c>
      <c r="I9" s="693">
        <f>IFERROR('Prices,exch.rates,harvest index'!$M$27*'Area&amp;production data'!AC9,"")</f>
        <v>0</v>
      </c>
      <c r="J9" s="693">
        <f>IFERROR('Prices,exch.rates,harvest index'!$M$28*'Area&amp;production data'!AD9,"")</f>
        <v>0</v>
      </c>
      <c r="K9" s="693">
        <f>IFERROR('Prices,exch.rates,harvest index'!$M$29*'Area&amp;production data'!AE9,"")</f>
        <v>0</v>
      </c>
      <c r="L9" s="693">
        <f>IFERROR('Prices,exch.rates,harvest index'!$M$30*'Area&amp;production data'!AF9,"")</f>
        <v>0</v>
      </c>
      <c r="M9" s="275">
        <f t="shared" si="0"/>
        <v>0</v>
      </c>
      <c r="O9" s="140" t="str">
        <f>IFERROR(SUM(C9:H9)/'Area&amp;production data'!Q9,"")</f>
        <v/>
      </c>
      <c r="P9" s="140" t="str">
        <f>IFERROR(L9/'Area&amp;production data'!O9,"")</f>
        <v/>
      </c>
      <c r="Q9" s="140" t="str">
        <f>IFERROR(I9/'Area&amp;production data'!L9,"")</f>
        <v/>
      </c>
      <c r="R9" s="140" t="str">
        <f>IFERROR(J9/'Area&amp;production data'!M9,"")</f>
        <v/>
      </c>
      <c r="S9" s="140" t="str">
        <f>IFERROR(K9/'Area&amp;production data'!N9,"")</f>
        <v/>
      </c>
      <c r="T9" s="95" t="str">
        <f>IFERROR(SUM(I9:K9)/SUM('Area&amp;production data'!L9:N9),"")</f>
        <v/>
      </c>
      <c r="U9" s="140" t="str">
        <f>IFERROR(M9/'Area&amp;production data'!V9,"")</f>
        <v/>
      </c>
    </row>
    <row r="10" spans="1:21" x14ac:dyDescent="0.25">
      <c r="A10" s="13">
        <v>6</v>
      </c>
      <c r="B10" s="13" t="s">
        <v>144</v>
      </c>
      <c r="C10" s="693" t="str">
        <f>IFERROR('Prices,exch.rates,harvest index'!$M$21*'Area&amp;production data'!W10+'Prices,exch.rates,harvest index'!$N$21*'Value of production'!$C$33*'Area&amp;production data'!W10,"")</f>
        <v/>
      </c>
      <c r="D10" s="693" t="str">
        <f>IFERROR('Prices,exch.rates,harvest index'!$M$22*'Area&amp;production data'!X10+'Prices,exch.rates,harvest index'!$N$22*'Value of production'!$D$33*'Area&amp;production data'!X10,"")</f>
        <v/>
      </c>
      <c r="E10" s="693" t="str">
        <f>IFERROR('Prices,exch.rates,harvest index'!$M$23*'Area&amp;production data'!Y10,"")</f>
        <v/>
      </c>
      <c r="F10" s="693">
        <f>IFERROR('Prices,exch.rates,harvest index'!$M$24*'Area&amp;production data'!Z10,"")</f>
        <v>0</v>
      </c>
      <c r="G10" s="693" t="str">
        <f>IFERROR('Prices,exch.rates,harvest index'!$M$25*'Area&amp;production data'!AA10,"")</f>
        <v/>
      </c>
      <c r="H10" s="693">
        <f>IFERROR('Prices,exch.rates,harvest index'!$G$38*'Area&amp;production data'!AB10,"")</f>
        <v>0</v>
      </c>
      <c r="I10" s="693">
        <f>IFERROR('Prices,exch.rates,harvest index'!$M$27*'Area&amp;production data'!AC10,"")</f>
        <v>0</v>
      </c>
      <c r="J10" s="693">
        <f>IFERROR('Prices,exch.rates,harvest index'!$M$28*'Area&amp;production data'!AD10,"")</f>
        <v>0</v>
      </c>
      <c r="K10" s="693">
        <f>IFERROR('Prices,exch.rates,harvest index'!$M$29*'Area&amp;production data'!AE10,"")</f>
        <v>0</v>
      </c>
      <c r="L10" s="693">
        <f>IFERROR('Prices,exch.rates,harvest index'!$M$30*'Area&amp;production data'!AF10,"")</f>
        <v>0</v>
      </c>
      <c r="M10" s="275">
        <f t="shared" si="0"/>
        <v>0</v>
      </c>
      <c r="O10" s="140" t="str">
        <f>IFERROR(SUM(C10:H10)/'Area&amp;production data'!Q10,"")</f>
        <v/>
      </c>
      <c r="P10" s="140" t="str">
        <f>IFERROR(L10/'Area&amp;production data'!O10,"")</f>
        <v/>
      </c>
      <c r="Q10" s="140" t="str">
        <f>IFERROR(I10/'Area&amp;production data'!L10,"")</f>
        <v/>
      </c>
      <c r="R10" s="140" t="str">
        <f>IFERROR(J10/'Area&amp;production data'!M10,"")</f>
        <v/>
      </c>
      <c r="S10" s="140" t="str">
        <f>IFERROR(K10/'Area&amp;production data'!N10,"")</f>
        <v/>
      </c>
      <c r="T10" s="95" t="str">
        <f>IFERROR(SUM(I10:K10)/SUM('Area&amp;production data'!L10:N10),"")</f>
        <v/>
      </c>
      <c r="U10" s="140" t="str">
        <f>IFERROR(M10/'Area&amp;production data'!V10,"")</f>
        <v/>
      </c>
    </row>
    <row r="11" spans="1:21" x14ac:dyDescent="0.25">
      <c r="A11" s="13">
        <v>7</v>
      </c>
      <c r="B11" s="13" t="s">
        <v>145</v>
      </c>
      <c r="C11" s="693" t="str">
        <f>IFERROR('Prices,exch.rates,harvest index'!$M$21*'Area&amp;production data'!W11+'Prices,exch.rates,harvest index'!$N$21*'Value of production'!$C$33*'Area&amp;production data'!W11,"")</f>
        <v/>
      </c>
      <c r="D11" s="693" t="str">
        <f>IFERROR('Prices,exch.rates,harvest index'!$M$22*'Area&amp;production data'!X11+'Prices,exch.rates,harvest index'!$N$22*'Value of production'!$D$33*'Area&amp;production data'!X11,"")</f>
        <v/>
      </c>
      <c r="E11" s="693" t="str">
        <f>IFERROR('Prices,exch.rates,harvest index'!$M$23*'Area&amp;production data'!Y11,"")</f>
        <v/>
      </c>
      <c r="F11" s="693">
        <f>IFERROR('Prices,exch.rates,harvest index'!$M$24*'Area&amp;production data'!Z11,"")</f>
        <v>0</v>
      </c>
      <c r="G11" s="693" t="str">
        <f>IFERROR('Prices,exch.rates,harvest index'!$M$25*'Area&amp;production data'!AA11,"")</f>
        <v/>
      </c>
      <c r="H11" s="693">
        <f>IFERROR('Prices,exch.rates,harvest index'!$G$38*'Area&amp;production data'!AB11,"")</f>
        <v>0</v>
      </c>
      <c r="I11" s="693">
        <f>IFERROR('Prices,exch.rates,harvest index'!$M$27*'Area&amp;production data'!AC11,"")</f>
        <v>0</v>
      </c>
      <c r="J11" s="693">
        <f>IFERROR('Prices,exch.rates,harvest index'!$M$28*'Area&amp;production data'!AD11,"")</f>
        <v>0</v>
      </c>
      <c r="K11" s="693">
        <f>IFERROR('Prices,exch.rates,harvest index'!$M$29*'Area&amp;production data'!AE11,"")</f>
        <v>0</v>
      </c>
      <c r="L11" s="693">
        <f>IFERROR('Prices,exch.rates,harvest index'!$M$30*'Area&amp;production data'!AF11,"")</f>
        <v>0</v>
      </c>
      <c r="M11" s="275">
        <f t="shared" si="0"/>
        <v>0</v>
      </c>
      <c r="O11" s="140" t="str">
        <f>IFERROR(SUM(C11:H11)/'Area&amp;production data'!Q11,"")</f>
        <v/>
      </c>
      <c r="P11" s="140" t="str">
        <f>IFERROR(L11/'Area&amp;production data'!O11,"")</f>
        <v/>
      </c>
      <c r="Q11" s="140" t="str">
        <f>IFERROR(I11/'Area&amp;production data'!L11,"")</f>
        <v/>
      </c>
      <c r="R11" s="140" t="str">
        <f>IFERROR(J11/'Area&amp;production data'!M11,"")</f>
        <v/>
      </c>
      <c r="S11" s="140" t="str">
        <f>IFERROR(K11/'Area&amp;production data'!N11,"")</f>
        <v/>
      </c>
      <c r="T11" s="95" t="str">
        <f>IFERROR(SUM(I11:K11)/SUM('Area&amp;production data'!L11:N11),"")</f>
        <v/>
      </c>
      <c r="U11" s="140" t="str">
        <f>IFERROR(M11/'Area&amp;production data'!V11,"")</f>
        <v/>
      </c>
    </row>
    <row r="12" spans="1:21" x14ac:dyDescent="0.25">
      <c r="A12" s="13">
        <v>8</v>
      </c>
      <c r="B12" s="13" t="s">
        <v>146</v>
      </c>
      <c r="C12" s="693" t="str">
        <f>IFERROR('Prices,exch.rates,harvest index'!$M$21*'Area&amp;production data'!W12+'Prices,exch.rates,harvest index'!$N$21*'Value of production'!$C$33*'Area&amp;production data'!W12,"")</f>
        <v/>
      </c>
      <c r="D12" s="693" t="str">
        <f>IFERROR('Prices,exch.rates,harvest index'!$M$22*'Area&amp;production data'!X12+'Prices,exch.rates,harvest index'!$N$22*'Value of production'!$D$33*'Area&amp;production data'!X12,"")</f>
        <v/>
      </c>
      <c r="E12" s="693" t="str">
        <f>IFERROR('Prices,exch.rates,harvest index'!$M$23*'Area&amp;production data'!Y12,"")</f>
        <v/>
      </c>
      <c r="F12" s="693">
        <f>IFERROR('Prices,exch.rates,harvest index'!$M$24*'Area&amp;production data'!Z12,"")</f>
        <v>0</v>
      </c>
      <c r="G12" s="693" t="str">
        <f>IFERROR('Prices,exch.rates,harvest index'!$M$25*'Area&amp;production data'!AA12,"")</f>
        <v/>
      </c>
      <c r="H12" s="693">
        <f>IFERROR('Prices,exch.rates,harvest index'!$G$38*'Area&amp;production data'!AB12,"")</f>
        <v>0</v>
      </c>
      <c r="I12" s="693">
        <f>IFERROR('Prices,exch.rates,harvest index'!$M$27*'Area&amp;production data'!AC12,"")</f>
        <v>0</v>
      </c>
      <c r="J12" s="693">
        <f>IFERROR('Prices,exch.rates,harvest index'!$M$28*'Area&amp;production data'!AD12,"")</f>
        <v>0</v>
      </c>
      <c r="K12" s="693">
        <f>IFERROR('Prices,exch.rates,harvest index'!$M$29*'Area&amp;production data'!AE12,"")</f>
        <v>0</v>
      </c>
      <c r="L12" s="693">
        <f>IFERROR('Prices,exch.rates,harvest index'!$M$30*'Area&amp;production data'!AF12,"")</f>
        <v>0</v>
      </c>
      <c r="M12" s="275">
        <f t="shared" si="0"/>
        <v>0</v>
      </c>
      <c r="O12" s="140" t="str">
        <f>IFERROR(SUM(C12:H12)/'Area&amp;production data'!Q12,"")</f>
        <v/>
      </c>
      <c r="P12" s="140" t="str">
        <f>IFERROR(L12/'Area&amp;production data'!O12,"")</f>
        <v/>
      </c>
      <c r="Q12" s="140" t="str">
        <f>IFERROR(I12/'Area&amp;production data'!L12,"")</f>
        <v/>
      </c>
      <c r="R12" s="140" t="str">
        <f>IFERROR(J12/'Area&amp;production data'!M12,"")</f>
        <v/>
      </c>
      <c r="S12" s="140" t="str">
        <f>IFERROR(K12/'Area&amp;production data'!N12,"")</f>
        <v/>
      </c>
      <c r="T12" s="95" t="str">
        <f>IFERROR(SUM(I12:K12)/SUM('Area&amp;production data'!L12:N12),"")</f>
        <v/>
      </c>
      <c r="U12" s="140" t="str">
        <f>IFERROR(M12/'Area&amp;production data'!V12,"")</f>
        <v/>
      </c>
    </row>
    <row r="13" spans="1:21" x14ac:dyDescent="0.25">
      <c r="A13" s="13">
        <v>9</v>
      </c>
      <c r="B13" s="13" t="s">
        <v>147</v>
      </c>
      <c r="C13" s="693" t="str">
        <f>IFERROR('Prices,exch.rates,harvest index'!$M$21*'Area&amp;production data'!W13+'Prices,exch.rates,harvest index'!$N$21*'Value of production'!$C$33*'Area&amp;production data'!W13,"")</f>
        <v/>
      </c>
      <c r="D13" s="693" t="str">
        <f>IFERROR('Prices,exch.rates,harvest index'!$M$22*'Area&amp;production data'!X13+'Prices,exch.rates,harvest index'!$N$22*'Value of production'!$D$33*'Area&amp;production data'!X13,"")</f>
        <v/>
      </c>
      <c r="E13" s="693" t="str">
        <f>IFERROR('Prices,exch.rates,harvest index'!$M$23*'Area&amp;production data'!Y13,"")</f>
        <v/>
      </c>
      <c r="F13" s="693">
        <f>IFERROR('Prices,exch.rates,harvest index'!$M$24*'Area&amp;production data'!Z13,"")</f>
        <v>0</v>
      </c>
      <c r="G13" s="693" t="str">
        <f>IFERROR('Prices,exch.rates,harvest index'!$M$25*'Area&amp;production data'!AA13,"")</f>
        <v/>
      </c>
      <c r="H13" s="693">
        <f>IFERROR('Prices,exch.rates,harvest index'!$G$38*'Area&amp;production data'!AB13,"")</f>
        <v>0</v>
      </c>
      <c r="I13" s="693">
        <f>IFERROR('Prices,exch.rates,harvest index'!$M$27*'Area&amp;production data'!AC13,"")</f>
        <v>0</v>
      </c>
      <c r="J13" s="693">
        <f>IFERROR('Prices,exch.rates,harvest index'!$M$28*'Area&amp;production data'!AD13,"")</f>
        <v>0</v>
      </c>
      <c r="K13" s="693">
        <f>IFERROR('Prices,exch.rates,harvest index'!$M$29*'Area&amp;production data'!AE13,"")</f>
        <v>0</v>
      </c>
      <c r="L13" s="693">
        <f>IFERROR('Prices,exch.rates,harvest index'!$M$30*'Area&amp;production data'!AF13,"")</f>
        <v>0</v>
      </c>
      <c r="M13" s="275">
        <f t="shared" si="0"/>
        <v>0</v>
      </c>
      <c r="O13" s="140" t="str">
        <f>IFERROR(SUM(C13:H13)/'Area&amp;production data'!Q13,"")</f>
        <v/>
      </c>
      <c r="P13" s="140" t="str">
        <f>IFERROR(L13/'Area&amp;production data'!O13,"")</f>
        <v/>
      </c>
      <c r="Q13" s="140" t="str">
        <f>IFERROR(I13/'Area&amp;production data'!L13,"")</f>
        <v/>
      </c>
      <c r="R13" s="140" t="str">
        <f>IFERROR(J13/'Area&amp;production data'!M13,"")</f>
        <v/>
      </c>
      <c r="S13" s="140" t="str">
        <f>IFERROR(K13/'Area&amp;production data'!N13,"")</f>
        <v/>
      </c>
      <c r="T13" s="95" t="str">
        <f>IFERROR(SUM(I13:K13)/SUM('Area&amp;production data'!L13:N13),"")</f>
        <v/>
      </c>
      <c r="U13" s="140" t="str">
        <f>IFERROR(M13/'Area&amp;production data'!V13,"")</f>
        <v/>
      </c>
    </row>
    <row r="14" spans="1:21" x14ac:dyDescent="0.25">
      <c r="A14" s="13">
        <v>10</v>
      </c>
      <c r="B14" s="13" t="s">
        <v>148</v>
      </c>
      <c r="C14" s="693" t="str">
        <f>IFERROR('Prices,exch.rates,harvest index'!$M$21*'Area&amp;production data'!W14+'Prices,exch.rates,harvest index'!$N$21*'Value of production'!$C$33*'Area&amp;production data'!W14,"")</f>
        <v/>
      </c>
      <c r="D14" s="693" t="str">
        <f>IFERROR('Prices,exch.rates,harvest index'!$M$22*'Area&amp;production data'!X14+'Prices,exch.rates,harvest index'!$N$22*'Value of production'!$D$33*'Area&amp;production data'!X14,"")</f>
        <v/>
      </c>
      <c r="E14" s="693" t="str">
        <f>IFERROR('Prices,exch.rates,harvest index'!$M$23*'Area&amp;production data'!Y14,"")</f>
        <v/>
      </c>
      <c r="F14" s="693">
        <f>IFERROR('Prices,exch.rates,harvest index'!$M$24*'Area&amp;production data'!Z14,"")</f>
        <v>0</v>
      </c>
      <c r="G14" s="693" t="str">
        <f>IFERROR('Prices,exch.rates,harvest index'!$M$25*'Area&amp;production data'!AA14,"")</f>
        <v/>
      </c>
      <c r="H14" s="693">
        <f>IFERROR('Prices,exch.rates,harvest index'!$G$38*'Area&amp;production data'!AB14,"")</f>
        <v>0</v>
      </c>
      <c r="I14" s="693">
        <f>IFERROR('Prices,exch.rates,harvest index'!$M$27*'Area&amp;production data'!AC14,"")</f>
        <v>0</v>
      </c>
      <c r="J14" s="693">
        <f>IFERROR('Prices,exch.rates,harvest index'!$M$28*'Area&amp;production data'!AD14,"")</f>
        <v>0</v>
      </c>
      <c r="K14" s="693">
        <f>IFERROR('Prices,exch.rates,harvest index'!$M$29*'Area&amp;production data'!AE14,"")</f>
        <v>0</v>
      </c>
      <c r="L14" s="693">
        <f>IFERROR('Prices,exch.rates,harvest index'!$M$30*'Area&amp;production data'!AF14,"")</f>
        <v>0</v>
      </c>
      <c r="M14" s="275">
        <f t="shared" si="0"/>
        <v>0</v>
      </c>
      <c r="O14" s="140" t="str">
        <f>IFERROR(SUM(C14:H14)/'Area&amp;production data'!Q14,"")</f>
        <v/>
      </c>
      <c r="P14" s="140" t="str">
        <f>IFERROR(L14/'Area&amp;production data'!O14,"")</f>
        <v/>
      </c>
      <c r="Q14" s="140" t="str">
        <f>IFERROR(I14/'Area&amp;production data'!L14,"")</f>
        <v/>
      </c>
      <c r="R14" s="140" t="str">
        <f>IFERROR(J14/'Area&amp;production data'!M14,"")</f>
        <v/>
      </c>
      <c r="S14" s="140" t="str">
        <f>IFERROR(K14/'Area&amp;production data'!N14,"")</f>
        <v/>
      </c>
      <c r="T14" s="95" t="str">
        <f>IFERROR(SUM(I14:K14)/SUM('Area&amp;production data'!L14:N14),"")</f>
        <v/>
      </c>
      <c r="U14" s="140" t="str">
        <f>IFERROR(M14/'Area&amp;production data'!V14,"")</f>
        <v/>
      </c>
    </row>
    <row r="15" spans="1:21" x14ac:dyDescent="0.25">
      <c r="A15" s="13">
        <v>11</v>
      </c>
      <c r="B15" s="13" t="s">
        <v>149</v>
      </c>
      <c r="C15" s="693" t="str">
        <f>IFERROR('Prices,exch.rates,harvest index'!$M$21*'Area&amp;production data'!W15+'Prices,exch.rates,harvest index'!$N$21*'Value of production'!$C$33*'Area&amp;production data'!W15,"")</f>
        <v/>
      </c>
      <c r="D15" s="693" t="str">
        <f>IFERROR('Prices,exch.rates,harvest index'!$M$22*'Area&amp;production data'!X15+'Prices,exch.rates,harvest index'!$N$22*'Value of production'!$D$33*'Area&amp;production data'!X15,"")</f>
        <v/>
      </c>
      <c r="E15" s="693" t="str">
        <f>IFERROR('Prices,exch.rates,harvest index'!$M$23*'Area&amp;production data'!Y15,"")</f>
        <v/>
      </c>
      <c r="F15" s="693">
        <f>IFERROR('Prices,exch.rates,harvest index'!$M$24*'Area&amp;production data'!Z15,"")</f>
        <v>0</v>
      </c>
      <c r="G15" s="693" t="str">
        <f>IFERROR('Prices,exch.rates,harvest index'!$M$25*'Area&amp;production data'!AA15,"")</f>
        <v/>
      </c>
      <c r="H15" s="693">
        <f>IFERROR('Prices,exch.rates,harvest index'!$G$38*'Area&amp;production data'!AB15,"")</f>
        <v>0</v>
      </c>
      <c r="I15" s="693">
        <f>IFERROR('Prices,exch.rates,harvest index'!$M$27*'Area&amp;production data'!AC15,"")</f>
        <v>0</v>
      </c>
      <c r="J15" s="693">
        <f>IFERROR('Prices,exch.rates,harvest index'!$M$28*'Area&amp;production data'!AD15,"")</f>
        <v>0</v>
      </c>
      <c r="K15" s="693">
        <f>IFERROR('Prices,exch.rates,harvest index'!$M$29*'Area&amp;production data'!AE15,"")</f>
        <v>0</v>
      </c>
      <c r="L15" s="693">
        <f>IFERROR('Prices,exch.rates,harvest index'!$M$30*'Area&amp;production data'!AF15,"")</f>
        <v>0</v>
      </c>
      <c r="M15" s="275">
        <f t="shared" si="0"/>
        <v>0</v>
      </c>
      <c r="O15" s="140" t="str">
        <f>IFERROR(SUM(C15:H15)/'Area&amp;production data'!Q15,"")</f>
        <v/>
      </c>
      <c r="P15" s="140" t="str">
        <f>IFERROR(L15/'Area&amp;production data'!O15,"")</f>
        <v/>
      </c>
      <c r="Q15" s="140" t="str">
        <f>IFERROR(I15/'Area&amp;production data'!L15,"")</f>
        <v/>
      </c>
      <c r="R15" s="140" t="str">
        <f>IFERROR(J15/'Area&amp;production data'!M15,"")</f>
        <v/>
      </c>
      <c r="S15" s="140" t="str">
        <f>IFERROR(K15/'Area&amp;production data'!N15,"")</f>
        <v/>
      </c>
      <c r="T15" s="95" t="str">
        <f>IFERROR(SUM(I15:K15)/SUM('Area&amp;production data'!L15:N15),"")</f>
        <v/>
      </c>
      <c r="U15" s="140" t="str">
        <f>IFERROR(M15/'Area&amp;production data'!V15,"")</f>
        <v/>
      </c>
    </row>
    <row r="16" spans="1:21" x14ac:dyDescent="0.25">
      <c r="A16" s="13">
        <v>12</v>
      </c>
      <c r="B16" s="13" t="s">
        <v>150</v>
      </c>
      <c r="C16" s="693" t="str">
        <f>IFERROR('Prices,exch.rates,harvest index'!$M$21*'Area&amp;production data'!W16+'Prices,exch.rates,harvest index'!$N$21*'Value of production'!$C$33*'Area&amp;production data'!W16,"")</f>
        <v/>
      </c>
      <c r="D16" s="693" t="str">
        <f>IFERROR('Prices,exch.rates,harvest index'!$M$22*'Area&amp;production data'!X16+'Prices,exch.rates,harvest index'!$N$22*'Value of production'!$D$33*'Area&amp;production data'!X16,"")</f>
        <v/>
      </c>
      <c r="E16" s="693" t="str">
        <f>IFERROR('Prices,exch.rates,harvest index'!$M$23*'Area&amp;production data'!Y16,"")</f>
        <v/>
      </c>
      <c r="F16" s="693">
        <f>IFERROR('Prices,exch.rates,harvest index'!$M$24*'Area&amp;production data'!Z16,"")</f>
        <v>0</v>
      </c>
      <c r="G16" s="693" t="str">
        <f>IFERROR('Prices,exch.rates,harvest index'!$M$25*'Area&amp;production data'!AA16,"")</f>
        <v/>
      </c>
      <c r="H16" s="693">
        <f>IFERROR('Prices,exch.rates,harvest index'!$G$38*'Area&amp;production data'!AB16,"")</f>
        <v>0</v>
      </c>
      <c r="I16" s="693">
        <f>IFERROR('Prices,exch.rates,harvest index'!$M$27*'Area&amp;production data'!AC16,"")</f>
        <v>0</v>
      </c>
      <c r="J16" s="693">
        <f>IFERROR('Prices,exch.rates,harvest index'!$M$28*'Area&amp;production data'!AD16,"")</f>
        <v>0</v>
      </c>
      <c r="K16" s="693">
        <f>IFERROR('Prices,exch.rates,harvest index'!$M$29*'Area&amp;production data'!AE16,"")</f>
        <v>0</v>
      </c>
      <c r="L16" s="693">
        <f>IFERROR('Prices,exch.rates,harvest index'!$M$30*'Area&amp;production data'!AF16,"")</f>
        <v>0</v>
      </c>
      <c r="M16" s="275">
        <f t="shared" si="0"/>
        <v>0</v>
      </c>
      <c r="O16" s="140" t="str">
        <f>IFERROR(SUM(C16:H16)/'Area&amp;production data'!Q16,"")</f>
        <v/>
      </c>
      <c r="P16" s="140" t="str">
        <f>IFERROR(L16/'Area&amp;production data'!O16,"")</f>
        <v/>
      </c>
      <c r="Q16" s="140" t="str">
        <f>IFERROR(I16/'Area&amp;production data'!L16,"")</f>
        <v/>
      </c>
      <c r="R16" s="140" t="str">
        <f>IFERROR(J16/'Area&amp;production data'!M16,"")</f>
        <v/>
      </c>
      <c r="S16" s="140" t="str">
        <f>IFERROR(K16/'Area&amp;production data'!N16,"")</f>
        <v/>
      </c>
      <c r="T16" s="95" t="str">
        <f>IFERROR(SUM(I16:K16)/SUM('Area&amp;production data'!L16:N16),"")</f>
        <v/>
      </c>
      <c r="U16" s="140" t="str">
        <f>IFERROR(M16/'Area&amp;production data'!V16,"")</f>
        <v/>
      </c>
    </row>
    <row r="17" spans="1:21" x14ac:dyDescent="0.25">
      <c r="A17" s="13">
        <v>13</v>
      </c>
      <c r="B17" s="13" t="s">
        <v>151</v>
      </c>
      <c r="C17" s="693" t="str">
        <f>IFERROR('Prices,exch.rates,harvest index'!$M$21*'Area&amp;production data'!W17+'Prices,exch.rates,harvest index'!$N$21*'Value of production'!$C$33*'Area&amp;production data'!W17,"")</f>
        <v/>
      </c>
      <c r="D17" s="693" t="str">
        <f>IFERROR('Prices,exch.rates,harvest index'!$M$22*'Area&amp;production data'!X17+'Prices,exch.rates,harvest index'!$N$22*'Value of production'!$D$33*'Area&amp;production data'!X17,"")</f>
        <v/>
      </c>
      <c r="E17" s="693" t="str">
        <f>IFERROR('Prices,exch.rates,harvest index'!$M$23*'Area&amp;production data'!Y17,"")</f>
        <v/>
      </c>
      <c r="F17" s="693">
        <f>IFERROR('Prices,exch.rates,harvest index'!$M$24*'Area&amp;production data'!Z17,"")</f>
        <v>0</v>
      </c>
      <c r="G17" s="693" t="str">
        <f>IFERROR('Prices,exch.rates,harvest index'!$M$25*'Area&amp;production data'!AA17,"")</f>
        <v/>
      </c>
      <c r="H17" s="693">
        <f>IFERROR('Prices,exch.rates,harvest index'!$G$38*'Area&amp;production data'!AB17,"")</f>
        <v>0</v>
      </c>
      <c r="I17" s="693">
        <f>IFERROR('Prices,exch.rates,harvest index'!$M$27*'Area&amp;production data'!AC17,"")</f>
        <v>0</v>
      </c>
      <c r="J17" s="693">
        <f>IFERROR('Prices,exch.rates,harvest index'!$M$28*'Area&amp;production data'!AD17,"")</f>
        <v>0</v>
      </c>
      <c r="K17" s="693">
        <f>IFERROR('Prices,exch.rates,harvest index'!$M$29*'Area&amp;production data'!AE17,"")</f>
        <v>0</v>
      </c>
      <c r="L17" s="693">
        <f>IFERROR('Prices,exch.rates,harvest index'!$M$30*'Area&amp;production data'!AF17,"")</f>
        <v>0</v>
      </c>
      <c r="M17" s="275">
        <f t="shared" si="0"/>
        <v>0</v>
      </c>
      <c r="O17" s="140" t="str">
        <f>IFERROR(SUM(C17:H17)/'Area&amp;production data'!Q17,"")</f>
        <v/>
      </c>
      <c r="P17" s="140" t="str">
        <f>IFERROR(L17/'Area&amp;production data'!O17,"")</f>
        <v/>
      </c>
      <c r="Q17" s="140" t="str">
        <f>IFERROR(I17/'Area&amp;production data'!L17,"")</f>
        <v/>
      </c>
      <c r="R17" s="140" t="str">
        <f>IFERROR(J17/'Area&amp;production data'!M17,"")</f>
        <v/>
      </c>
      <c r="S17" s="140" t="str">
        <f>IFERROR(K17/'Area&amp;production data'!N17,"")</f>
        <v/>
      </c>
      <c r="T17" s="95" t="str">
        <f>IFERROR(SUM(I17:K17)/SUM('Area&amp;production data'!L17:N17),"")</f>
        <v/>
      </c>
      <c r="U17" s="140" t="str">
        <f>IFERROR(M17/'Area&amp;production data'!V17,"")</f>
        <v/>
      </c>
    </row>
    <row r="18" spans="1:21" x14ac:dyDescent="0.25">
      <c r="A18" s="13">
        <v>14</v>
      </c>
      <c r="B18" s="13" t="s">
        <v>152</v>
      </c>
      <c r="C18" s="693" t="str">
        <f>IFERROR('Prices,exch.rates,harvest index'!$M$21*'Area&amp;production data'!W18+'Prices,exch.rates,harvest index'!$N$21*'Value of production'!$C$33*'Area&amp;production data'!W18,"")</f>
        <v/>
      </c>
      <c r="D18" s="693" t="str">
        <f>IFERROR('Prices,exch.rates,harvest index'!$M$22*'Area&amp;production data'!X18+'Prices,exch.rates,harvest index'!$N$22*'Value of production'!$D$33*'Area&amp;production data'!X18,"")</f>
        <v/>
      </c>
      <c r="E18" s="693" t="str">
        <f>IFERROR('Prices,exch.rates,harvest index'!$M$23*'Area&amp;production data'!Y18,"")</f>
        <v/>
      </c>
      <c r="F18" s="693">
        <f>IFERROR('Prices,exch.rates,harvest index'!$M$24*'Area&amp;production data'!Z18,"")</f>
        <v>0</v>
      </c>
      <c r="G18" s="693" t="str">
        <f>IFERROR('Prices,exch.rates,harvest index'!$M$25*'Area&amp;production data'!AA18,"")</f>
        <v/>
      </c>
      <c r="H18" s="693">
        <f>IFERROR('Prices,exch.rates,harvest index'!$G$38*'Area&amp;production data'!AB18,"")</f>
        <v>0</v>
      </c>
      <c r="I18" s="693">
        <f>IFERROR('Prices,exch.rates,harvest index'!$M$27*'Area&amp;production data'!AC18,"")</f>
        <v>0</v>
      </c>
      <c r="J18" s="693">
        <f>IFERROR('Prices,exch.rates,harvest index'!$M$28*'Area&amp;production data'!AD18,"")</f>
        <v>0</v>
      </c>
      <c r="K18" s="693">
        <f>IFERROR('Prices,exch.rates,harvest index'!$M$29*'Area&amp;production data'!AE18,"")</f>
        <v>0</v>
      </c>
      <c r="L18" s="693">
        <f>IFERROR('Prices,exch.rates,harvest index'!$M$30*'Area&amp;production data'!AF18,"")</f>
        <v>0</v>
      </c>
      <c r="M18" s="275">
        <f t="shared" si="0"/>
        <v>0</v>
      </c>
      <c r="O18" s="140" t="str">
        <f>IFERROR(SUM(C18:H18)/'Area&amp;production data'!Q18,"")</f>
        <v/>
      </c>
      <c r="P18" s="140" t="str">
        <f>IFERROR(L18/'Area&amp;production data'!O18,"")</f>
        <v/>
      </c>
      <c r="Q18" s="140" t="str">
        <f>IFERROR(I18/'Area&amp;production data'!L18,"")</f>
        <v/>
      </c>
      <c r="R18" s="140" t="str">
        <f>IFERROR(J18/'Area&amp;production data'!M18,"")</f>
        <v/>
      </c>
      <c r="S18" s="140" t="str">
        <f>IFERROR(K18/'Area&amp;production data'!N18,"")</f>
        <v/>
      </c>
      <c r="T18" s="95" t="str">
        <f>IFERROR(SUM(I18:K18)/SUM('Area&amp;production data'!L18:N18),"")</f>
        <v/>
      </c>
      <c r="U18" s="140" t="str">
        <f>IFERROR(M18/'Area&amp;production data'!V18,"")</f>
        <v/>
      </c>
    </row>
    <row r="19" spans="1:21" x14ac:dyDescent="0.25">
      <c r="A19" s="13">
        <v>15</v>
      </c>
      <c r="B19" s="13" t="s">
        <v>153</v>
      </c>
      <c r="C19" s="693" t="str">
        <f>IFERROR('Prices,exch.rates,harvest index'!$M$21*'Area&amp;production data'!W19+'Prices,exch.rates,harvest index'!$N$21*'Value of production'!$C$33*'Area&amp;production data'!W19,"")</f>
        <v/>
      </c>
      <c r="D19" s="693" t="str">
        <f>IFERROR('Prices,exch.rates,harvest index'!$M$22*'Area&amp;production data'!X19+'Prices,exch.rates,harvest index'!$N$22*'Value of production'!$D$33*'Area&amp;production data'!X19,"")</f>
        <v/>
      </c>
      <c r="E19" s="693" t="str">
        <f>IFERROR('Prices,exch.rates,harvest index'!$M$23*'Area&amp;production data'!Y19,"")</f>
        <v/>
      </c>
      <c r="F19" s="693">
        <f>IFERROR('Prices,exch.rates,harvest index'!$M$24*'Area&amp;production data'!Z19,"")</f>
        <v>0</v>
      </c>
      <c r="G19" s="693" t="str">
        <f>IFERROR('Prices,exch.rates,harvest index'!$M$25*'Area&amp;production data'!AA19,"")</f>
        <v/>
      </c>
      <c r="H19" s="693">
        <f>IFERROR('Prices,exch.rates,harvest index'!$G$38*'Area&amp;production data'!AB19,"")</f>
        <v>0</v>
      </c>
      <c r="I19" s="693">
        <f>IFERROR('Prices,exch.rates,harvest index'!$M$27*'Area&amp;production data'!AC19,"")</f>
        <v>0</v>
      </c>
      <c r="J19" s="693">
        <f>IFERROR('Prices,exch.rates,harvest index'!$M$28*'Area&amp;production data'!AD19,"")</f>
        <v>0</v>
      </c>
      <c r="K19" s="693">
        <f>IFERROR('Prices,exch.rates,harvest index'!$M$29*'Area&amp;production data'!AE19,"")</f>
        <v>0</v>
      </c>
      <c r="L19" s="693">
        <f>IFERROR('Prices,exch.rates,harvest index'!$M$30*'Area&amp;production data'!AF19,"")</f>
        <v>0</v>
      </c>
      <c r="M19" s="275">
        <f t="shared" si="0"/>
        <v>0</v>
      </c>
      <c r="O19" s="140" t="str">
        <f>IFERROR(SUM(C19:H19)/'Area&amp;production data'!Q19,"")</f>
        <v/>
      </c>
      <c r="P19" s="140" t="str">
        <f>IFERROR(L19/'Area&amp;production data'!O19,"")</f>
        <v/>
      </c>
      <c r="Q19" s="140" t="str">
        <f>IFERROR(I19/'Area&amp;production data'!L19,"")</f>
        <v/>
      </c>
      <c r="R19" s="140" t="str">
        <f>IFERROR(J19/'Area&amp;production data'!M19,"")</f>
        <v/>
      </c>
      <c r="S19" s="140" t="str">
        <f>IFERROR(K19/'Area&amp;production data'!N19,"")</f>
        <v/>
      </c>
      <c r="T19" s="95" t="str">
        <f>IFERROR(SUM(I19:K19)/SUM('Area&amp;production data'!L19:N19),"")</f>
        <v/>
      </c>
      <c r="U19" s="140" t="str">
        <f>IFERROR(M19/'Area&amp;production data'!V19,"")</f>
        <v/>
      </c>
    </row>
    <row r="20" spans="1:21" x14ac:dyDescent="0.25">
      <c r="A20" s="13">
        <v>16</v>
      </c>
      <c r="B20" s="13" t="s">
        <v>154</v>
      </c>
      <c r="C20" s="693" t="str">
        <f>IFERROR('Prices,exch.rates,harvest index'!$M$21*'Area&amp;production data'!W20+'Prices,exch.rates,harvest index'!$N$21*'Value of production'!$C$33*'Area&amp;production data'!W20,"")</f>
        <v/>
      </c>
      <c r="D20" s="693" t="str">
        <f>IFERROR('Prices,exch.rates,harvest index'!$M$22*'Area&amp;production data'!X20+'Prices,exch.rates,harvest index'!$N$22*'Value of production'!$D$33*'Area&amp;production data'!X20,"")</f>
        <v/>
      </c>
      <c r="E20" s="693" t="str">
        <f>IFERROR('Prices,exch.rates,harvest index'!$M$23*'Area&amp;production data'!Y20,"")</f>
        <v/>
      </c>
      <c r="F20" s="693">
        <f>IFERROR('Prices,exch.rates,harvest index'!$M$24*'Area&amp;production data'!Z20,"")</f>
        <v>0</v>
      </c>
      <c r="G20" s="693" t="str">
        <f>IFERROR('Prices,exch.rates,harvest index'!$M$25*'Area&amp;production data'!AA20,"")</f>
        <v/>
      </c>
      <c r="H20" s="693">
        <f>IFERROR('Prices,exch.rates,harvest index'!$G$38*'Area&amp;production data'!AB20,"")</f>
        <v>0</v>
      </c>
      <c r="I20" s="693">
        <f>IFERROR('Prices,exch.rates,harvest index'!$M$27*'Area&amp;production data'!AC20,"")</f>
        <v>0</v>
      </c>
      <c r="J20" s="693">
        <f>IFERROR('Prices,exch.rates,harvest index'!$M$28*'Area&amp;production data'!AD20,"")</f>
        <v>0</v>
      </c>
      <c r="K20" s="693">
        <f>IFERROR('Prices,exch.rates,harvest index'!$M$29*'Area&amp;production data'!AE20,"")</f>
        <v>0</v>
      </c>
      <c r="L20" s="693">
        <f>IFERROR('Prices,exch.rates,harvest index'!$M$30*'Area&amp;production data'!AF20,"")</f>
        <v>0</v>
      </c>
      <c r="M20" s="275">
        <f t="shared" si="0"/>
        <v>0</v>
      </c>
      <c r="O20" s="140" t="str">
        <f>IFERROR(SUM(C20:H20)/'Area&amp;production data'!Q20,"")</f>
        <v/>
      </c>
      <c r="P20" s="140" t="str">
        <f>IFERROR(L20/'Area&amp;production data'!O20,"")</f>
        <v/>
      </c>
      <c r="Q20" s="140" t="str">
        <f>IFERROR(I20/'Area&amp;production data'!L20,"")</f>
        <v/>
      </c>
      <c r="R20" s="140" t="str">
        <f>IFERROR(J20/'Area&amp;production data'!M20,"")</f>
        <v/>
      </c>
      <c r="S20" s="140" t="str">
        <f>IFERROR(K20/'Area&amp;production data'!N20,"")</f>
        <v/>
      </c>
      <c r="T20" s="95" t="str">
        <f>IFERROR(SUM(I20:K20)/SUM('Area&amp;production data'!L20:N20),"")</f>
        <v/>
      </c>
      <c r="U20" s="140" t="str">
        <f>IFERROR(M20/'Area&amp;production data'!V20,"")</f>
        <v/>
      </c>
    </row>
    <row r="21" spans="1:21" x14ac:dyDescent="0.25">
      <c r="A21" s="13">
        <v>17</v>
      </c>
      <c r="B21" s="13" t="s">
        <v>155</v>
      </c>
      <c r="C21" s="693" t="str">
        <f>IFERROR('Prices,exch.rates,harvest index'!$M$21*'Area&amp;production data'!W21+'Prices,exch.rates,harvest index'!$N$21*'Value of production'!$C$33*'Area&amp;production data'!W21,"")</f>
        <v/>
      </c>
      <c r="D21" s="693" t="str">
        <f>IFERROR('Prices,exch.rates,harvest index'!$M$22*'Area&amp;production data'!X21+'Prices,exch.rates,harvest index'!$N$22*'Value of production'!$D$33*'Area&amp;production data'!X21,"")</f>
        <v/>
      </c>
      <c r="E21" s="693" t="str">
        <f>IFERROR('Prices,exch.rates,harvest index'!$M$23*'Area&amp;production data'!Y21,"")</f>
        <v/>
      </c>
      <c r="F21" s="693">
        <f>IFERROR('Prices,exch.rates,harvest index'!$M$24*'Area&amp;production data'!Z21,"")</f>
        <v>0</v>
      </c>
      <c r="G21" s="693" t="str">
        <f>IFERROR('Prices,exch.rates,harvest index'!$M$25*'Area&amp;production data'!AA21,"")</f>
        <v/>
      </c>
      <c r="H21" s="693">
        <f>IFERROR('Prices,exch.rates,harvest index'!$G$38*'Area&amp;production data'!AB21,"")</f>
        <v>0</v>
      </c>
      <c r="I21" s="693">
        <f>IFERROR('Prices,exch.rates,harvest index'!$M$27*'Area&amp;production data'!AC21,"")</f>
        <v>0</v>
      </c>
      <c r="J21" s="693">
        <f>IFERROR('Prices,exch.rates,harvest index'!$M$28*'Area&amp;production data'!AD21,"")</f>
        <v>0</v>
      </c>
      <c r="K21" s="693">
        <f>IFERROR('Prices,exch.rates,harvest index'!$M$29*'Area&amp;production data'!AE21,"")</f>
        <v>0</v>
      </c>
      <c r="L21" s="693">
        <f>IFERROR('Prices,exch.rates,harvest index'!$M$30*'Area&amp;production data'!AF21,"")</f>
        <v>0</v>
      </c>
      <c r="M21" s="275">
        <f t="shared" si="0"/>
        <v>0</v>
      </c>
      <c r="O21" s="140" t="str">
        <f>IFERROR(SUM(C21:H21)/'Area&amp;production data'!Q21,"")</f>
        <v/>
      </c>
      <c r="P21" s="140" t="str">
        <f>IFERROR(L21/'Area&amp;production data'!O21,"")</f>
        <v/>
      </c>
      <c r="Q21" s="140" t="str">
        <f>IFERROR(I21/'Area&amp;production data'!L21,"")</f>
        <v/>
      </c>
      <c r="R21" s="140" t="str">
        <f>IFERROR(J21/'Area&amp;production data'!M21,"")</f>
        <v/>
      </c>
      <c r="S21" s="140" t="str">
        <f>IFERROR(K21/'Area&amp;production data'!N21,"")</f>
        <v/>
      </c>
      <c r="T21" s="95" t="str">
        <f>IFERROR(SUM(I21:K21)/SUM('Area&amp;production data'!L21:N21),"")</f>
        <v/>
      </c>
      <c r="U21" s="140" t="str">
        <f>IFERROR(M21/'Area&amp;production data'!V21,"")</f>
        <v/>
      </c>
    </row>
    <row r="22" spans="1:21" x14ac:dyDescent="0.25">
      <c r="A22" s="13">
        <v>18</v>
      </c>
      <c r="B22" s="13" t="s">
        <v>156</v>
      </c>
      <c r="C22" s="693" t="str">
        <f>IFERROR('Prices,exch.rates,harvest index'!$M$21*'Area&amp;production data'!W22+'Prices,exch.rates,harvest index'!$N$21*'Value of production'!$C$33*'Area&amp;production data'!W22,"")</f>
        <v/>
      </c>
      <c r="D22" s="693" t="str">
        <f>IFERROR('Prices,exch.rates,harvest index'!$M$22*'Area&amp;production data'!X22+'Prices,exch.rates,harvest index'!$N$22*'Value of production'!$D$33*'Area&amp;production data'!X22,"")</f>
        <v/>
      </c>
      <c r="E22" s="693" t="str">
        <f>IFERROR('Prices,exch.rates,harvest index'!$M$23*'Area&amp;production data'!Y22,"")</f>
        <v/>
      </c>
      <c r="F22" s="693">
        <f>IFERROR('Prices,exch.rates,harvest index'!$M$24*'Area&amp;production data'!Z22,"")</f>
        <v>0</v>
      </c>
      <c r="G22" s="693" t="str">
        <f>IFERROR('Prices,exch.rates,harvest index'!$M$25*'Area&amp;production data'!AA22,"")</f>
        <v/>
      </c>
      <c r="H22" s="693">
        <f>IFERROR('Prices,exch.rates,harvest index'!$G$38*'Area&amp;production data'!AB22,"")</f>
        <v>0</v>
      </c>
      <c r="I22" s="693">
        <f>IFERROR('Prices,exch.rates,harvest index'!$M$27*'Area&amp;production data'!AC22,"")</f>
        <v>0</v>
      </c>
      <c r="J22" s="693">
        <f>IFERROR('Prices,exch.rates,harvest index'!$M$28*'Area&amp;production data'!AD22,"")</f>
        <v>0</v>
      </c>
      <c r="K22" s="693">
        <f>IFERROR('Prices,exch.rates,harvest index'!$M$29*'Area&amp;production data'!AE22,"")</f>
        <v>0</v>
      </c>
      <c r="L22" s="693">
        <f>IFERROR('Prices,exch.rates,harvest index'!$M$30*'Area&amp;production data'!AF22,"")</f>
        <v>0</v>
      </c>
      <c r="M22" s="275">
        <f t="shared" si="0"/>
        <v>0</v>
      </c>
      <c r="O22" s="140" t="str">
        <f>IFERROR(SUM(C22:H22)/'Area&amp;production data'!Q22,"")</f>
        <v/>
      </c>
      <c r="P22" s="140" t="str">
        <f>IFERROR(L22/'Area&amp;production data'!O22,"")</f>
        <v/>
      </c>
      <c r="Q22" s="140" t="str">
        <f>IFERROR(I22/'Area&amp;production data'!L22,"")</f>
        <v/>
      </c>
      <c r="R22" s="140" t="str">
        <f>IFERROR(J22/'Area&amp;production data'!M22,"")</f>
        <v/>
      </c>
      <c r="S22" s="140" t="str">
        <f>IFERROR(K22/'Area&amp;production data'!N22,"")</f>
        <v/>
      </c>
      <c r="T22" s="95" t="str">
        <f>IFERROR(SUM(I22:K22)/SUM('Area&amp;production data'!L22:N22),"")</f>
        <v/>
      </c>
      <c r="U22" s="140" t="str">
        <f>IFERROR(M22/'Area&amp;production data'!V22,"")</f>
        <v/>
      </c>
    </row>
    <row r="23" spans="1:21" x14ac:dyDescent="0.25">
      <c r="A23" s="13">
        <v>19</v>
      </c>
      <c r="B23" s="13" t="s">
        <v>157</v>
      </c>
      <c r="C23" s="693" t="str">
        <f>IFERROR('Prices,exch.rates,harvest index'!$M$21*'Area&amp;production data'!W23+'Prices,exch.rates,harvest index'!$N$21*'Value of production'!$C$33*'Area&amp;production data'!W23,"")</f>
        <v/>
      </c>
      <c r="D23" s="693" t="str">
        <f>IFERROR('Prices,exch.rates,harvest index'!$M$22*'Area&amp;production data'!X23+'Prices,exch.rates,harvest index'!$N$22*'Value of production'!$D$33*'Area&amp;production data'!X23,"")</f>
        <v/>
      </c>
      <c r="E23" s="693" t="str">
        <f>IFERROR('Prices,exch.rates,harvest index'!$M$23*'Area&amp;production data'!Y23,"")</f>
        <v/>
      </c>
      <c r="F23" s="693">
        <f>IFERROR('Prices,exch.rates,harvest index'!$M$24*'Area&amp;production data'!Z23,"")</f>
        <v>0</v>
      </c>
      <c r="G23" s="693" t="str">
        <f>IFERROR('Prices,exch.rates,harvest index'!$M$25*'Area&amp;production data'!AA23,"")</f>
        <v/>
      </c>
      <c r="H23" s="693">
        <f>IFERROR('Prices,exch.rates,harvest index'!$G$38*'Area&amp;production data'!AB23,"")</f>
        <v>0</v>
      </c>
      <c r="I23" s="693">
        <f>IFERROR('Prices,exch.rates,harvest index'!$M$27*'Area&amp;production data'!AC23,"")</f>
        <v>0</v>
      </c>
      <c r="J23" s="693">
        <f>IFERROR('Prices,exch.rates,harvest index'!$M$28*'Area&amp;production data'!AD23,"")</f>
        <v>0</v>
      </c>
      <c r="K23" s="693">
        <f>IFERROR('Prices,exch.rates,harvest index'!$M$29*'Area&amp;production data'!AE23,"")</f>
        <v>0</v>
      </c>
      <c r="L23" s="693">
        <f>IFERROR('Prices,exch.rates,harvest index'!$M$30*'Area&amp;production data'!AF23,"")</f>
        <v>0</v>
      </c>
      <c r="M23" s="275">
        <f t="shared" si="0"/>
        <v>0</v>
      </c>
      <c r="O23" s="140" t="str">
        <f>IFERROR(SUM(C23:H23)/'Area&amp;production data'!Q23,"")</f>
        <v/>
      </c>
      <c r="P23" s="140" t="str">
        <f>IFERROR(L23/'Area&amp;production data'!O23,"")</f>
        <v/>
      </c>
      <c r="Q23" s="140" t="str">
        <f>IFERROR(I23/'Area&amp;production data'!L23,"")</f>
        <v/>
      </c>
      <c r="R23" s="140" t="str">
        <f>IFERROR(J23/'Area&amp;production data'!M23,"")</f>
        <v/>
      </c>
      <c r="S23" s="140" t="str">
        <f>IFERROR(K23/'Area&amp;production data'!N23,"")</f>
        <v/>
      </c>
      <c r="T23" s="95" t="str">
        <f>IFERROR(SUM(I23:K23)/SUM('Area&amp;production data'!L23:N23),"")</f>
        <v/>
      </c>
      <c r="U23" s="140" t="str">
        <f>IFERROR(M23/'Area&amp;production data'!V23,"")</f>
        <v/>
      </c>
    </row>
    <row r="24" spans="1:21" x14ac:dyDescent="0.25">
      <c r="A24" s="13">
        <v>20</v>
      </c>
      <c r="B24" s="13" t="s">
        <v>158</v>
      </c>
      <c r="C24" s="693" t="str">
        <f>IFERROR('Prices,exch.rates,harvest index'!$M$21*'Area&amp;production data'!W24+'Prices,exch.rates,harvest index'!$N$21*'Value of production'!$C$33*'Area&amp;production data'!W24,"")</f>
        <v/>
      </c>
      <c r="D24" s="693" t="str">
        <f>IFERROR('Prices,exch.rates,harvest index'!$M$22*'Area&amp;production data'!X24+'Prices,exch.rates,harvest index'!$N$22*'Value of production'!$D$33*'Area&amp;production data'!X24,"")</f>
        <v/>
      </c>
      <c r="E24" s="693" t="str">
        <f>IFERROR('Prices,exch.rates,harvest index'!$M$23*'Area&amp;production data'!Y24,"")</f>
        <v/>
      </c>
      <c r="F24" s="693">
        <f>IFERROR('Prices,exch.rates,harvest index'!$M$24*'Area&amp;production data'!Z24,"")</f>
        <v>0</v>
      </c>
      <c r="G24" s="693" t="str">
        <f>IFERROR('Prices,exch.rates,harvest index'!$M$25*'Area&amp;production data'!AA24,"")</f>
        <v/>
      </c>
      <c r="H24" s="693">
        <f>IFERROR('Prices,exch.rates,harvest index'!$G$38*'Area&amp;production data'!AB24,"")</f>
        <v>0</v>
      </c>
      <c r="I24" s="693">
        <f>IFERROR('Prices,exch.rates,harvest index'!$M$27*'Area&amp;production data'!AC24,"")</f>
        <v>0</v>
      </c>
      <c r="J24" s="693">
        <f>IFERROR('Prices,exch.rates,harvest index'!$M$28*'Area&amp;production data'!AD24,"")</f>
        <v>0</v>
      </c>
      <c r="K24" s="693">
        <f>IFERROR('Prices,exch.rates,harvest index'!$M$29*'Area&amp;production data'!AE24,"")</f>
        <v>0</v>
      </c>
      <c r="L24" s="693">
        <f>IFERROR('Prices,exch.rates,harvest index'!$M$30*'Area&amp;production data'!AF24,"")</f>
        <v>0</v>
      </c>
      <c r="M24" s="275">
        <f t="shared" si="0"/>
        <v>0</v>
      </c>
      <c r="O24" s="140" t="str">
        <f>IFERROR(SUM(C24:H24)/'Area&amp;production data'!Q24,"")</f>
        <v/>
      </c>
      <c r="P24" s="140" t="str">
        <f>IFERROR(L24/'Area&amp;production data'!O24,"")</f>
        <v/>
      </c>
      <c r="Q24" s="140" t="str">
        <f>IFERROR(I24/'Area&amp;production data'!L24,"")</f>
        <v/>
      </c>
      <c r="R24" s="140" t="str">
        <f>IFERROR(J24/'Area&amp;production data'!M24,"")</f>
        <v/>
      </c>
      <c r="S24" s="140" t="str">
        <f>IFERROR(K24/'Area&amp;production data'!N24,"")</f>
        <v/>
      </c>
      <c r="T24" s="95" t="str">
        <f>IFERROR(SUM(I24:K24)/SUM('Area&amp;production data'!L24:N24),"")</f>
        <v/>
      </c>
      <c r="U24" s="140" t="str">
        <f>IFERROR(M24/'Area&amp;production data'!V24,"")</f>
        <v/>
      </c>
    </row>
    <row r="25" spans="1:21" x14ac:dyDescent="0.25">
      <c r="A25" s="13">
        <v>21</v>
      </c>
      <c r="B25" s="13" t="s">
        <v>159</v>
      </c>
      <c r="C25" s="693" t="str">
        <f>IFERROR('Prices,exch.rates,harvest index'!$M$21*'Area&amp;production data'!W25+'Prices,exch.rates,harvest index'!$N$21*'Value of production'!$C$33*'Area&amp;production data'!W25,"")</f>
        <v/>
      </c>
      <c r="D25" s="693" t="str">
        <f>IFERROR('Prices,exch.rates,harvest index'!$M$22*'Area&amp;production data'!X25+'Prices,exch.rates,harvest index'!$N$22*'Value of production'!$D$33*'Area&amp;production data'!X25,"")</f>
        <v/>
      </c>
      <c r="E25" s="693" t="str">
        <f>IFERROR('Prices,exch.rates,harvest index'!$M$23*'Area&amp;production data'!Y25,"")</f>
        <v/>
      </c>
      <c r="F25" s="693">
        <f>IFERROR('Prices,exch.rates,harvest index'!$M$24*'Area&amp;production data'!Z25,"")</f>
        <v>0</v>
      </c>
      <c r="G25" s="693" t="str">
        <f>IFERROR('Prices,exch.rates,harvest index'!$M$25*'Area&amp;production data'!AA25,"")</f>
        <v/>
      </c>
      <c r="H25" s="693">
        <f>IFERROR('Prices,exch.rates,harvest index'!$G$38*'Area&amp;production data'!AB25,"")</f>
        <v>0</v>
      </c>
      <c r="I25" s="693">
        <f>IFERROR('Prices,exch.rates,harvest index'!$M$27*'Area&amp;production data'!AC25,"")</f>
        <v>0</v>
      </c>
      <c r="J25" s="693">
        <f>IFERROR('Prices,exch.rates,harvest index'!$M$28*'Area&amp;production data'!AD25,"")</f>
        <v>0</v>
      </c>
      <c r="K25" s="693">
        <f>IFERROR('Prices,exch.rates,harvest index'!$M$29*'Area&amp;production data'!AE25,"")</f>
        <v>0</v>
      </c>
      <c r="L25" s="693">
        <f>IFERROR('Prices,exch.rates,harvest index'!$M$30*'Area&amp;production data'!AF25,"")</f>
        <v>0</v>
      </c>
      <c r="M25" s="275">
        <f t="shared" si="0"/>
        <v>0</v>
      </c>
      <c r="O25" s="140" t="str">
        <f>IFERROR(SUM(C25:H25)/'Area&amp;production data'!Q25,"")</f>
        <v/>
      </c>
      <c r="P25" s="140" t="str">
        <f>IFERROR(L25/'Area&amp;production data'!O25,"")</f>
        <v/>
      </c>
      <c r="Q25" s="140" t="str">
        <f>IFERROR(I25/'Area&amp;production data'!L25,"")</f>
        <v/>
      </c>
      <c r="R25" s="140" t="str">
        <f>IFERROR(J25/'Area&amp;production data'!M25,"")</f>
        <v/>
      </c>
      <c r="S25" s="140" t="str">
        <f>IFERROR(K25/'Area&amp;production data'!N25,"")</f>
        <v/>
      </c>
      <c r="T25" s="95" t="str">
        <f>IFERROR(SUM(I25:K25)/SUM('Area&amp;production data'!L25:N25),"")</f>
        <v/>
      </c>
      <c r="U25" s="140" t="str">
        <f>IFERROR(M25/'Area&amp;production data'!V25,"")</f>
        <v/>
      </c>
    </row>
    <row r="26" spans="1:21" x14ac:dyDescent="0.25">
      <c r="A26" s="13">
        <v>22</v>
      </c>
      <c r="B26" s="13" t="s">
        <v>160</v>
      </c>
      <c r="C26" s="693" t="str">
        <f>IFERROR('Prices,exch.rates,harvest index'!$M$21*'Area&amp;production data'!W26+'Prices,exch.rates,harvest index'!$N$21*'Value of production'!$C$33*'Area&amp;production data'!W26,"")</f>
        <v/>
      </c>
      <c r="D26" s="693" t="str">
        <f>IFERROR('Prices,exch.rates,harvest index'!$M$22*'Area&amp;production data'!X26+'Prices,exch.rates,harvest index'!$N$22*'Value of production'!$D$33*'Area&amp;production data'!X26,"")</f>
        <v/>
      </c>
      <c r="E26" s="693" t="str">
        <f>IFERROR('Prices,exch.rates,harvest index'!$M$23*'Area&amp;production data'!Y26,"")</f>
        <v/>
      </c>
      <c r="F26" s="693">
        <f>IFERROR('Prices,exch.rates,harvest index'!$M$24*'Area&amp;production data'!Z26,"")</f>
        <v>0</v>
      </c>
      <c r="G26" s="693" t="str">
        <f>IFERROR('Prices,exch.rates,harvest index'!$M$25*'Area&amp;production data'!AA26,"")</f>
        <v/>
      </c>
      <c r="H26" s="693">
        <f>IFERROR('Prices,exch.rates,harvest index'!$G$38*'Area&amp;production data'!AB26,"")</f>
        <v>0</v>
      </c>
      <c r="I26" s="693">
        <f>IFERROR('Prices,exch.rates,harvest index'!$M$27*'Area&amp;production data'!AC26,"")</f>
        <v>0</v>
      </c>
      <c r="J26" s="693">
        <f>IFERROR('Prices,exch.rates,harvest index'!$M$28*'Area&amp;production data'!AD26,"")</f>
        <v>0</v>
      </c>
      <c r="K26" s="693">
        <f>IFERROR('Prices,exch.rates,harvest index'!$M$29*'Area&amp;production data'!AE26,"")</f>
        <v>0</v>
      </c>
      <c r="L26" s="693">
        <f>IFERROR('Prices,exch.rates,harvest index'!$M$30*'Area&amp;production data'!AF26,"")</f>
        <v>0</v>
      </c>
      <c r="M26" s="275">
        <f t="shared" si="0"/>
        <v>0</v>
      </c>
      <c r="O26" s="140" t="str">
        <f>IFERROR(SUM(C26:H26)/'Area&amp;production data'!Q26,"")</f>
        <v/>
      </c>
      <c r="P26" s="140" t="str">
        <f>IFERROR(L26/'Area&amp;production data'!O26,"")</f>
        <v/>
      </c>
      <c r="Q26" s="140" t="str">
        <f>IFERROR(I26/'Area&amp;production data'!L26,"")</f>
        <v/>
      </c>
      <c r="R26" s="140" t="str">
        <f>IFERROR(J26/'Area&amp;production data'!M26,"")</f>
        <v/>
      </c>
      <c r="S26" s="140" t="str">
        <f>IFERROR(K26/'Area&amp;production data'!N26,"")</f>
        <v/>
      </c>
      <c r="T26" s="95" t="str">
        <f>IFERROR(SUM(I26:K26)/SUM('Area&amp;production data'!L26:N26),"")</f>
        <v/>
      </c>
      <c r="U26" s="140" t="str">
        <f>IFERROR(M26/'Area&amp;production data'!V26,"")</f>
        <v/>
      </c>
    </row>
    <row r="27" spans="1:21" x14ac:dyDescent="0.25">
      <c r="A27" s="13">
        <v>23</v>
      </c>
      <c r="B27" s="13" t="s">
        <v>161</v>
      </c>
      <c r="C27" s="693" t="str">
        <f>IFERROR('Prices,exch.rates,harvest index'!$M$21*'Area&amp;production data'!W27+'Prices,exch.rates,harvest index'!$N$21*'Value of production'!$C$33*'Area&amp;production data'!W27,"")</f>
        <v/>
      </c>
      <c r="D27" s="693" t="str">
        <f>IFERROR('Prices,exch.rates,harvest index'!$M$22*'Area&amp;production data'!X27+'Prices,exch.rates,harvest index'!$N$22*'Value of production'!$D$33*'Area&amp;production data'!X27,"")</f>
        <v/>
      </c>
      <c r="E27" s="693" t="str">
        <f>IFERROR('Prices,exch.rates,harvest index'!$M$23*'Area&amp;production data'!Y27,"")</f>
        <v/>
      </c>
      <c r="F27" s="693">
        <f>IFERROR('Prices,exch.rates,harvest index'!$M$24*'Area&amp;production data'!Z27,"")</f>
        <v>0</v>
      </c>
      <c r="G27" s="693" t="str">
        <f>IFERROR('Prices,exch.rates,harvest index'!$M$25*'Area&amp;production data'!AA27,"")</f>
        <v/>
      </c>
      <c r="H27" s="693">
        <f>IFERROR('Prices,exch.rates,harvest index'!$G$38*'Area&amp;production data'!AB27,"")</f>
        <v>0</v>
      </c>
      <c r="I27" s="693">
        <f>IFERROR('Prices,exch.rates,harvest index'!$M$27*'Area&amp;production data'!AC27,"")</f>
        <v>0</v>
      </c>
      <c r="J27" s="693">
        <f>IFERROR('Prices,exch.rates,harvest index'!$M$28*'Area&amp;production data'!AD27,"")</f>
        <v>0</v>
      </c>
      <c r="K27" s="693">
        <f>IFERROR('Prices,exch.rates,harvest index'!$M$29*'Area&amp;production data'!AE27,"")</f>
        <v>0</v>
      </c>
      <c r="L27" s="693">
        <f>IFERROR('Prices,exch.rates,harvest index'!$M$30*'Area&amp;production data'!AF27,"")</f>
        <v>0</v>
      </c>
      <c r="M27" s="275">
        <f t="shared" si="0"/>
        <v>0</v>
      </c>
      <c r="O27" s="140" t="str">
        <f>IFERROR(SUM(C27:H27)/'Area&amp;production data'!Q27,"")</f>
        <v/>
      </c>
      <c r="P27" s="140" t="str">
        <f>IFERROR(L27/'Area&amp;production data'!O27,"")</f>
        <v/>
      </c>
      <c r="Q27" s="140" t="str">
        <f>IFERROR(I27/'Area&amp;production data'!L27,"")</f>
        <v/>
      </c>
      <c r="R27" s="140" t="str">
        <f>IFERROR(J27/'Area&amp;production data'!M27,"")</f>
        <v/>
      </c>
      <c r="S27" s="140" t="str">
        <f>IFERROR(K27/'Area&amp;production data'!N27,"")</f>
        <v/>
      </c>
      <c r="T27" s="95" t="str">
        <f>IFERROR(SUM(I27:K27)/SUM('Area&amp;production data'!L27:N27),"")</f>
        <v/>
      </c>
      <c r="U27" s="140" t="str">
        <f>IFERROR(M27/'Area&amp;production data'!V27,"")</f>
        <v/>
      </c>
    </row>
    <row r="28" spans="1:21" x14ac:dyDescent="0.25">
      <c r="A28" s="13">
        <v>24</v>
      </c>
      <c r="B28" s="13" t="s">
        <v>162</v>
      </c>
      <c r="C28" s="693" t="str">
        <f>IFERROR('Prices,exch.rates,harvest index'!$M$21*'Area&amp;production data'!W28+'Prices,exch.rates,harvest index'!$N$21*'Value of production'!$C$33*'Area&amp;production data'!W28,"")</f>
        <v/>
      </c>
      <c r="D28" s="693" t="str">
        <f>IFERROR('Prices,exch.rates,harvest index'!$M$22*'Area&amp;production data'!X28+'Prices,exch.rates,harvest index'!$N$22*'Value of production'!$D$33*'Area&amp;production data'!X28,"")</f>
        <v/>
      </c>
      <c r="E28" s="693" t="str">
        <f>IFERROR('Prices,exch.rates,harvest index'!$M$23*'Area&amp;production data'!Y28,"")</f>
        <v/>
      </c>
      <c r="F28" s="693">
        <f>IFERROR('Prices,exch.rates,harvest index'!$M$24*'Area&amp;production data'!Z28,"")</f>
        <v>0</v>
      </c>
      <c r="G28" s="693" t="str">
        <f>IFERROR('Prices,exch.rates,harvest index'!$M$25*'Area&amp;production data'!AA28,"")</f>
        <v/>
      </c>
      <c r="H28" s="693">
        <f>IFERROR('Prices,exch.rates,harvest index'!$G$38*'Area&amp;production data'!AB28,"")</f>
        <v>0</v>
      </c>
      <c r="I28" s="693">
        <f>IFERROR('Prices,exch.rates,harvest index'!$M$27*'Area&amp;production data'!AC28,"")</f>
        <v>0</v>
      </c>
      <c r="J28" s="693">
        <f>IFERROR('Prices,exch.rates,harvest index'!$M$28*'Area&amp;production data'!AD28,"")</f>
        <v>0</v>
      </c>
      <c r="K28" s="693">
        <f>IFERROR('Prices,exch.rates,harvest index'!$M$29*'Area&amp;production data'!AE28,"")</f>
        <v>0</v>
      </c>
      <c r="L28" s="693">
        <f>IFERROR('Prices,exch.rates,harvest index'!$M$30*'Area&amp;production data'!AF28,"")</f>
        <v>0</v>
      </c>
      <c r="M28" s="275">
        <f t="shared" si="0"/>
        <v>0</v>
      </c>
      <c r="O28" s="140" t="str">
        <f>IFERROR(SUM(C28:H28)/'Area&amp;production data'!Q28,"")</f>
        <v/>
      </c>
      <c r="P28" s="140" t="str">
        <f>IFERROR(L28/'Area&amp;production data'!O28,"")</f>
        <v/>
      </c>
      <c r="Q28" s="140" t="str">
        <f>IFERROR(I28/'Area&amp;production data'!L28,"")</f>
        <v/>
      </c>
      <c r="R28" s="140" t="str">
        <f>IFERROR(J28/'Area&amp;production data'!M28,"")</f>
        <v/>
      </c>
      <c r="S28" s="140" t="str">
        <f>IFERROR(K28/'Area&amp;production data'!N28,"")</f>
        <v/>
      </c>
      <c r="T28" s="95" t="str">
        <f>IFERROR(SUM(I28:K28)/SUM('Area&amp;production data'!L28:N28),"")</f>
        <v/>
      </c>
      <c r="U28" s="140" t="str">
        <f>IFERROR(M28/'Area&amp;production data'!V28,"")</f>
        <v/>
      </c>
    </row>
    <row r="29" spans="1:21" s="1" customFormat="1" x14ac:dyDescent="0.25">
      <c r="A29" s="15"/>
      <c r="B29" s="15" t="s">
        <v>163</v>
      </c>
      <c r="C29" s="694" t="str">
        <f>IFERROR('Prices,exch.rates,harvest index'!$M$21*'Area&amp;production data'!W29+'Prices,exch.rates,harvest index'!$N$21*'Value of production'!$C$33*'Area&amp;production data'!W29,"")</f>
        <v/>
      </c>
      <c r="D29" s="694" t="str">
        <f>IFERROR('Prices,exch.rates,harvest index'!$M$22*'Area&amp;production data'!X29+'Prices,exch.rates,harvest index'!$N$22*'Value of production'!$D$33*'Area&amp;production data'!X29,"")</f>
        <v/>
      </c>
      <c r="E29" s="694" t="str">
        <f>IFERROR('Prices,exch.rates,harvest index'!$M$23*'Area&amp;production data'!Y29,"")</f>
        <v/>
      </c>
      <c r="F29" s="694">
        <f>IFERROR('Prices,exch.rates,harvest index'!$M$24*'Area&amp;production data'!Z29,"")</f>
        <v>0</v>
      </c>
      <c r="G29" s="694" t="str">
        <f>IFERROR('Prices,exch.rates,harvest index'!$M$25*'Area&amp;production data'!AA29,"")</f>
        <v/>
      </c>
      <c r="H29" s="694">
        <f>IFERROR('Prices,exch.rates,harvest index'!$G$38*'Area&amp;production data'!AB29,"")</f>
        <v>0</v>
      </c>
      <c r="I29" s="694">
        <f>IFERROR('Prices,exch.rates,harvest index'!$M$27*'Area&amp;production data'!AC29,"")</f>
        <v>0</v>
      </c>
      <c r="J29" s="694">
        <f>IFERROR('Prices,exch.rates,harvest index'!$M$28*'Area&amp;production data'!AD29,"")</f>
        <v>0</v>
      </c>
      <c r="K29" s="694">
        <f>IFERROR('Prices,exch.rates,harvest index'!$M$29*'Area&amp;production data'!AE29,"")</f>
        <v>0</v>
      </c>
      <c r="L29" s="694">
        <f>SUM(L5:L28)</f>
        <v>0</v>
      </c>
      <c r="M29" s="275">
        <f t="shared" si="0"/>
        <v>0</v>
      </c>
      <c r="O29" s="26" t="str">
        <f>IFERROR(SUM(C29:H29)/'Area&amp;production data'!Q29,"")</f>
        <v/>
      </c>
      <c r="P29" s="26" t="str">
        <f>IFERROR(L29/'Area&amp;production data'!O29,"")</f>
        <v/>
      </c>
      <c r="Q29" s="26" t="str">
        <f>IFERROR(I29/'Area&amp;production data'!L29,"")</f>
        <v/>
      </c>
      <c r="R29" s="26" t="str">
        <f>IFERROR(J29/'Area&amp;production data'!M29,"")</f>
        <v/>
      </c>
      <c r="S29" s="26" t="str">
        <f>IFERROR(K29/'Area&amp;production data'!N29,"")</f>
        <v/>
      </c>
      <c r="T29" s="124" t="str">
        <f>IFERROR(SUM(I29:K29)/SUM('Area&amp;production data'!L29:N29),"")</f>
        <v/>
      </c>
      <c r="U29" s="26" t="str">
        <f>IFERROR(M29/'Area&amp;production data'!V29,"")</f>
        <v/>
      </c>
    </row>
    <row r="30" spans="1:21" x14ac:dyDescent="0.25">
      <c r="B30" s="300" t="s">
        <v>164</v>
      </c>
      <c r="C30" s="563" t="e">
        <f>C29/$M$29</f>
        <v>#VALUE!</v>
      </c>
      <c r="D30" s="563" t="e">
        <f t="shared" ref="D30:L30" si="1">D29/$M$29</f>
        <v>#VALUE!</v>
      </c>
      <c r="E30" s="563" t="e">
        <f t="shared" si="1"/>
        <v>#VALUE!</v>
      </c>
      <c r="F30" s="563" t="e">
        <f t="shared" si="1"/>
        <v>#DIV/0!</v>
      </c>
      <c r="G30" s="563" t="e">
        <f t="shared" si="1"/>
        <v>#VALUE!</v>
      </c>
      <c r="H30" s="563" t="e">
        <f t="shared" si="1"/>
        <v>#DIV/0!</v>
      </c>
      <c r="I30" s="563" t="e">
        <f t="shared" si="1"/>
        <v>#DIV/0!</v>
      </c>
      <c r="J30" s="563" t="e">
        <f t="shared" si="1"/>
        <v>#DIV/0!</v>
      </c>
      <c r="K30" s="563" t="e">
        <f t="shared" si="1"/>
        <v>#DIV/0!</v>
      </c>
      <c r="L30" s="563" t="e">
        <f t="shared" si="1"/>
        <v>#DIV/0!</v>
      </c>
      <c r="M30" s="563" t="e">
        <f>M29/$M$29</f>
        <v>#DIV/0!</v>
      </c>
      <c r="N30" s="340"/>
      <c r="O30" s="340"/>
      <c r="P30" s="340"/>
      <c r="Q30" s="340"/>
      <c r="R30" s="340"/>
      <c r="S30" s="340"/>
    </row>
    <row r="31" spans="1:21" x14ac:dyDescent="0.25">
      <c r="B31" s="300" t="s">
        <v>187</v>
      </c>
      <c r="C31" s="562" t="e">
        <f>RANK(C29,$C$29:$L$29)</f>
        <v>#VALUE!</v>
      </c>
      <c r="D31" s="562" t="e">
        <f t="shared" ref="D31:L31" si="2">RANK(D29,$C$29:$L$29)</f>
        <v>#VALUE!</v>
      </c>
      <c r="E31" s="562" t="e">
        <f t="shared" si="2"/>
        <v>#VALUE!</v>
      </c>
      <c r="F31" s="562">
        <f t="shared" si="2"/>
        <v>1</v>
      </c>
      <c r="G31" s="562" t="e">
        <f t="shared" si="2"/>
        <v>#VALUE!</v>
      </c>
      <c r="H31" s="562">
        <f t="shared" si="2"/>
        <v>1</v>
      </c>
      <c r="I31" s="562">
        <f t="shared" si="2"/>
        <v>1</v>
      </c>
      <c r="J31" s="562">
        <f t="shared" si="2"/>
        <v>1</v>
      </c>
      <c r="K31" s="562">
        <f t="shared" si="2"/>
        <v>1</v>
      </c>
      <c r="L31" s="562">
        <f t="shared" si="2"/>
        <v>1</v>
      </c>
      <c r="M31" s="340"/>
      <c r="N31" s="340"/>
      <c r="O31" s="340"/>
      <c r="P31" s="340"/>
      <c r="Q31" s="340"/>
      <c r="R31" s="340"/>
      <c r="S31" s="340"/>
    </row>
    <row r="32" spans="1:21" x14ac:dyDescent="0.25">
      <c r="I32" s="252" t="b">
        <f>SUM(C29:L29)-M29&lt;0.1</f>
        <v>1</v>
      </c>
      <c r="J32" s="252"/>
      <c r="K32" s="252"/>
      <c r="L32" s="55" t="s">
        <v>188</v>
      </c>
      <c r="M32" s="432">
        <f>M29/'Prices,exch.rates,harvest index'!M3</f>
        <v>0</v>
      </c>
    </row>
    <row r="33" spans="2:13" x14ac:dyDescent="0.25">
      <c r="B33" t="s">
        <v>189</v>
      </c>
      <c r="C33" s="52" t="e">
        <f>'Cereals-all-year'!F61</f>
        <v>#DIV/0!</v>
      </c>
      <c r="D33" s="52" t="e">
        <f>'Legumes-all-year'!F64</f>
        <v>#DIV/0!</v>
      </c>
      <c r="I33" s="342"/>
      <c r="J33" s="342"/>
      <c r="K33" s="342"/>
      <c r="L33" s="55" t="s">
        <v>190</v>
      </c>
      <c r="M33" s="433">
        <v>0.1014</v>
      </c>
    </row>
    <row r="34" spans="2:13" x14ac:dyDescent="0.25">
      <c r="L34" s="342">
        <f>M1*'Area&amp;production data'!AF29</f>
        <v>0</v>
      </c>
      <c r="M34" s="290"/>
    </row>
    <row r="35" spans="2:13" x14ac:dyDescent="0.25">
      <c r="B35" s="1" t="str">
        <f>'Prices,exch.rates,harvest index'!L3</f>
        <v>GDP of Tunisia (USD)</v>
      </c>
      <c r="C35" s="41">
        <f>'Prices,exch.rates,harvest index'!M3</f>
        <v>46690000000</v>
      </c>
    </row>
  </sheetData>
  <mergeCells count="5">
    <mergeCell ref="O1:S1"/>
    <mergeCell ref="H1:L1"/>
    <mergeCell ref="A3:A4"/>
    <mergeCell ref="B3:B4"/>
    <mergeCell ref="C3:M3"/>
  </mergeCells>
  <hyperlinks>
    <hyperlink ref="O1" r:id="rId1" xr:uid="{23D9F573-910C-44B7-B72E-7946A1B49BD2}"/>
    <hyperlink ref="M33" r:id="rId2" display="https://www.statista.com/statistics/524575/share-of-economic-sectors-in-the-gdp-in-tunisia/" xr:uid="{843C4F3C-BE97-47F4-851D-C37343BE4C0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49F7A-1E4B-446A-ABC2-2AE1B275ECF8}">
  <dimension ref="A2:Q31"/>
  <sheetViews>
    <sheetView topLeftCell="D15" workbookViewId="0">
      <selection activeCell="O24" sqref="O24"/>
    </sheetView>
  </sheetViews>
  <sheetFormatPr defaultColWidth="11.42578125" defaultRowHeight="15" x14ac:dyDescent="0.25"/>
  <cols>
    <col min="2" max="2" width="22.140625" customWidth="1"/>
  </cols>
  <sheetData>
    <row r="2" spans="1:16" x14ac:dyDescent="0.25">
      <c r="A2" s="59" t="s">
        <v>1169</v>
      </c>
    </row>
    <row r="3" spans="1:16" ht="28.7" customHeight="1" x14ac:dyDescent="0.25">
      <c r="A3" s="755" t="s">
        <v>100</v>
      </c>
      <c r="B3" s="756" t="s">
        <v>101</v>
      </c>
      <c r="C3" s="761" t="s">
        <v>777</v>
      </c>
      <c r="D3" s="761"/>
      <c r="E3" s="761"/>
      <c r="F3" s="761"/>
      <c r="G3" s="761"/>
      <c r="H3" s="761"/>
      <c r="I3" s="761"/>
      <c r="J3" s="761"/>
      <c r="K3" s="761"/>
      <c r="L3" s="761"/>
      <c r="M3" s="761"/>
      <c r="N3" s="761"/>
      <c r="O3" s="761"/>
      <c r="P3" s="761"/>
    </row>
    <row r="4" spans="1:16" ht="45" x14ac:dyDescent="0.25">
      <c r="A4" s="755"/>
      <c r="B4" s="756"/>
      <c r="C4" s="16" t="s">
        <v>24</v>
      </c>
      <c r="D4" s="16" t="s">
        <v>26</v>
      </c>
      <c r="E4" s="85" t="s">
        <v>28</v>
      </c>
      <c r="F4" s="85" t="s">
        <v>30</v>
      </c>
      <c r="G4" s="85" t="s">
        <v>121</v>
      </c>
      <c r="H4" s="85" t="s">
        <v>122</v>
      </c>
      <c r="I4" s="85" t="s">
        <v>123</v>
      </c>
      <c r="J4" s="85" t="s">
        <v>38</v>
      </c>
      <c r="K4" s="85" t="s">
        <v>124</v>
      </c>
      <c r="L4" s="85" t="s">
        <v>125</v>
      </c>
      <c r="M4" s="174" t="s">
        <v>127</v>
      </c>
      <c r="N4" s="174" t="s">
        <v>128</v>
      </c>
      <c r="O4" s="174" t="s">
        <v>129</v>
      </c>
      <c r="P4" s="174" t="s">
        <v>130</v>
      </c>
    </row>
    <row r="5" spans="1:16" x14ac:dyDescent="0.25">
      <c r="A5" s="13">
        <v>1</v>
      </c>
      <c r="B5" s="13" t="s">
        <v>139</v>
      </c>
      <c r="C5" s="379"/>
      <c r="D5" s="379"/>
      <c r="E5" s="379"/>
      <c r="F5" s="379"/>
      <c r="G5" s="379"/>
      <c r="H5" s="379"/>
      <c r="I5" s="379"/>
      <c r="J5" s="379"/>
      <c r="K5" s="379"/>
      <c r="L5" s="379"/>
      <c r="M5" s="42" t="e">
        <f>SUMPRODUCT(C5:H5,'Area&amp;production data'!F5:K5)/SUM('Area&amp;production data'!F5:K5)</f>
        <v>#DIV/0!</v>
      </c>
      <c r="N5" s="42" t="e">
        <f>SUMPRODUCT(I5:K5,'Area&amp;production data'!L5:N5)/SUM('Area&amp;production data'!L5:N5)</f>
        <v>#DIV/0!</v>
      </c>
      <c r="O5" s="42">
        <f>L5</f>
        <v>0</v>
      </c>
      <c r="P5" s="42" t="e">
        <f>SUMPRODUCT(M5:O5,'Area&amp;production data'!Q5:S5)/SUM('Area&amp;production data'!Q5:S5)</f>
        <v>#DIV/0!</v>
      </c>
    </row>
    <row r="6" spans="1:16" x14ac:dyDescent="0.25">
      <c r="A6" s="13">
        <v>2</v>
      </c>
      <c r="B6" s="13" t="s">
        <v>140</v>
      </c>
      <c r="C6" s="379"/>
      <c r="D6" s="379"/>
      <c r="E6" s="379"/>
      <c r="F6" s="379"/>
      <c r="G6" s="379"/>
      <c r="H6" s="379"/>
      <c r="I6" s="379"/>
      <c r="J6" s="379"/>
      <c r="K6" s="379"/>
      <c r="L6" s="379"/>
      <c r="M6" s="42" t="e">
        <f>SUMPRODUCT(C6:H6,'Area&amp;production data'!F6:K6)/SUM('Area&amp;production data'!F6:K6)</f>
        <v>#DIV/0!</v>
      </c>
      <c r="N6" s="42" t="e">
        <f>SUMPRODUCT(I6:K6,'Area&amp;production data'!L6:N6)/SUM('Area&amp;production data'!L6:N6)</f>
        <v>#DIV/0!</v>
      </c>
      <c r="O6" s="42">
        <f t="shared" ref="O6:O28" si="0">L6</f>
        <v>0</v>
      </c>
      <c r="P6" s="42" t="e">
        <f>SUMPRODUCT(M6:O6,'Area&amp;production data'!Q6:S6)/SUM('Area&amp;production data'!Q6:S6)</f>
        <v>#DIV/0!</v>
      </c>
    </row>
    <row r="7" spans="1:16" x14ac:dyDescent="0.25">
      <c r="A7" s="13">
        <v>3</v>
      </c>
      <c r="B7" s="13" t="s">
        <v>141</v>
      </c>
      <c r="C7" s="379"/>
      <c r="D7" s="379"/>
      <c r="E7" s="379"/>
      <c r="F7" s="379"/>
      <c r="G7" s="379"/>
      <c r="H7" s="379"/>
      <c r="I7" s="379"/>
      <c r="J7" s="379"/>
      <c r="K7" s="379"/>
      <c r="L7" s="379"/>
      <c r="M7" s="42" t="e">
        <f>SUMPRODUCT(C7:H7,'Area&amp;production data'!F7:K7)/SUM('Area&amp;production data'!F7:K7)</f>
        <v>#DIV/0!</v>
      </c>
      <c r="N7" s="42" t="e">
        <f>SUMPRODUCT(I7:K7,'Area&amp;production data'!L7:N7)/SUM('Area&amp;production data'!L7:N7)</f>
        <v>#DIV/0!</v>
      </c>
      <c r="O7" s="42">
        <f t="shared" si="0"/>
        <v>0</v>
      </c>
      <c r="P7" s="42" t="e">
        <f>SUMPRODUCT(M7:O7,'Area&amp;production data'!Q7:S7)/SUM('Area&amp;production data'!Q7:S7)</f>
        <v>#DIV/0!</v>
      </c>
    </row>
    <row r="8" spans="1:16" x14ac:dyDescent="0.25">
      <c r="A8" s="13">
        <v>4</v>
      </c>
      <c r="B8" s="13" t="s">
        <v>142</v>
      </c>
      <c r="C8" s="379"/>
      <c r="D8" s="379"/>
      <c r="E8" s="379"/>
      <c r="F8" s="379"/>
      <c r="G8" s="379"/>
      <c r="H8" s="379"/>
      <c r="I8" s="379"/>
      <c r="J8" s="379"/>
      <c r="K8" s="379"/>
      <c r="L8" s="379"/>
      <c r="M8" s="42" t="e">
        <f>SUMPRODUCT(C8:H8,'Area&amp;production data'!F8:K8)/SUM('Area&amp;production data'!F8:K8)</f>
        <v>#DIV/0!</v>
      </c>
      <c r="N8" s="42" t="e">
        <f>SUMPRODUCT(I8:K8,'Area&amp;production data'!L8:N8)/SUM('Area&amp;production data'!L8:N8)</f>
        <v>#DIV/0!</v>
      </c>
      <c r="O8" s="42">
        <f t="shared" si="0"/>
        <v>0</v>
      </c>
      <c r="P8" s="42" t="e">
        <f>SUMPRODUCT(M8:O8,'Area&amp;production data'!Q8:S8)/SUM('Area&amp;production data'!Q8:S8)</f>
        <v>#DIV/0!</v>
      </c>
    </row>
    <row r="9" spans="1:16" x14ac:dyDescent="0.25">
      <c r="A9" s="13">
        <v>5</v>
      </c>
      <c r="B9" s="13" t="s">
        <v>143</v>
      </c>
      <c r="C9" s="379"/>
      <c r="D9" s="379"/>
      <c r="E9" s="379"/>
      <c r="F9" s="379"/>
      <c r="G9" s="379"/>
      <c r="H9" s="379"/>
      <c r="I9" s="379"/>
      <c r="J9" s="379"/>
      <c r="K9" s="379"/>
      <c r="L9" s="379"/>
      <c r="M9" s="42" t="e">
        <f>SUMPRODUCT(C9:H9,'Area&amp;production data'!F9:K9)/SUM('Area&amp;production data'!F9:K9)</f>
        <v>#DIV/0!</v>
      </c>
      <c r="N9" s="42" t="e">
        <f>SUMPRODUCT(I9:K9,'Area&amp;production data'!L9:N9)/SUM('Area&amp;production data'!L9:N9)</f>
        <v>#DIV/0!</v>
      </c>
      <c r="O9" s="42">
        <f t="shared" si="0"/>
        <v>0</v>
      </c>
      <c r="P9" s="42" t="e">
        <f>SUMPRODUCT(M9:O9,'Area&amp;production data'!Q9:S9)/SUM('Area&amp;production data'!Q9:S9)</f>
        <v>#DIV/0!</v>
      </c>
    </row>
    <row r="10" spans="1:16" x14ac:dyDescent="0.25">
      <c r="A10" s="13">
        <v>6</v>
      </c>
      <c r="B10" s="13" t="s">
        <v>144</v>
      </c>
      <c r="C10" s="379"/>
      <c r="D10" s="379"/>
      <c r="E10" s="379"/>
      <c r="F10" s="379"/>
      <c r="G10" s="379"/>
      <c r="H10" s="379"/>
      <c r="I10" s="379"/>
      <c r="J10" s="379"/>
      <c r="K10" s="379"/>
      <c r="L10" s="379"/>
      <c r="M10" s="42" t="e">
        <f>SUMPRODUCT(C10:H10,'Area&amp;production data'!F10:K10)/SUM('Area&amp;production data'!F10:K10)</f>
        <v>#DIV/0!</v>
      </c>
      <c r="N10" s="42" t="e">
        <f>SUMPRODUCT(I10:K10,'Area&amp;production data'!L10:N10)/SUM('Area&amp;production data'!L10:N10)</f>
        <v>#DIV/0!</v>
      </c>
      <c r="O10" s="42">
        <f t="shared" si="0"/>
        <v>0</v>
      </c>
      <c r="P10" s="42" t="e">
        <f>SUMPRODUCT(M10:O10,'Area&amp;production data'!Q10:S10)/SUM('Area&amp;production data'!Q10:S10)</f>
        <v>#DIV/0!</v>
      </c>
    </row>
    <row r="11" spans="1:16" x14ac:dyDescent="0.25">
      <c r="A11" s="13">
        <v>7</v>
      </c>
      <c r="B11" s="13" t="s">
        <v>145</v>
      </c>
      <c r="C11" s="379"/>
      <c r="D11" s="379"/>
      <c r="E11" s="379"/>
      <c r="F11" s="379"/>
      <c r="G11" s="379"/>
      <c r="H11" s="379"/>
      <c r="I11" s="379"/>
      <c r="J11" s="379"/>
      <c r="K11" s="379"/>
      <c r="L11" s="379"/>
      <c r="M11" s="42" t="e">
        <f>SUMPRODUCT(C11:H11,'Area&amp;production data'!F11:K11)/SUM('Area&amp;production data'!F11:K11)</f>
        <v>#DIV/0!</v>
      </c>
      <c r="N11" s="42" t="e">
        <f>SUMPRODUCT(I11:K11,'Area&amp;production data'!L11:N11)/SUM('Area&amp;production data'!L11:N11)</f>
        <v>#DIV/0!</v>
      </c>
      <c r="O11" s="42">
        <f t="shared" si="0"/>
        <v>0</v>
      </c>
      <c r="P11" s="42" t="e">
        <f>SUMPRODUCT(M11:O11,'Area&amp;production data'!Q11:S11)/SUM('Area&amp;production data'!Q11:S11)</f>
        <v>#DIV/0!</v>
      </c>
    </row>
    <row r="12" spans="1:16" x14ac:dyDescent="0.25">
      <c r="A12" s="13">
        <v>8</v>
      </c>
      <c r="B12" s="13" t="s">
        <v>146</v>
      </c>
      <c r="C12" s="379"/>
      <c r="D12" s="379"/>
      <c r="E12" s="379"/>
      <c r="F12" s="379"/>
      <c r="G12" s="379"/>
      <c r="H12" s="379"/>
      <c r="I12" s="379"/>
      <c r="J12" s="379"/>
      <c r="K12" s="379"/>
      <c r="L12" s="379"/>
      <c r="M12" s="42" t="e">
        <f>SUMPRODUCT(C12:H12,'Area&amp;production data'!F12:K12)/SUM('Area&amp;production data'!F12:K12)</f>
        <v>#DIV/0!</v>
      </c>
      <c r="N12" s="42" t="e">
        <f>SUMPRODUCT(I12:K12,'Area&amp;production data'!L12:N12)/SUM('Area&amp;production data'!L12:N12)</f>
        <v>#DIV/0!</v>
      </c>
      <c r="O12" s="42">
        <f t="shared" si="0"/>
        <v>0</v>
      </c>
      <c r="P12" s="42" t="e">
        <f>SUMPRODUCT(M12:O12,'Area&amp;production data'!Q12:S12)/SUM('Area&amp;production data'!Q12:S12)</f>
        <v>#DIV/0!</v>
      </c>
    </row>
    <row r="13" spans="1:16" x14ac:dyDescent="0.25">
      <c r="A13" s="13">
        <v>9</v>
      </c>
      <c r="B13" s="13" t="s">
        <v>147</v>
      </c>
      <c r="C13" s="379"/>
      <c r="D13" s="379"/>
      <c r="E13" s="379"/>
      <c r="F13" s="379"/>
      <c r="G13" s="379"/>
      <c r="H13" s="379"/>
      <c r="I13" s="379"/>
      <c r="J13" s="379"/>
      <c r="K13" s="379"/>
      <c r="L13" s="379"/>
      <c r="M13" s="42" t="e">
        <f>SUMPRODUCT(C13:H13,'Area&amp;production data'!F13:K13)/SUM('Area&amp;production data'!F13:K13)</f>
        <v>#DIV/0!</v>
      </c>
      <c r="N13" s="42" t="e">
        <f>SUMPRODUCT(I13:K13,'Area&amp;production data'!L13:N13)/SUM('Area&amp;production data'!L13:N13)</f>
        <v>#DIV/0!</v>
      </c>
      <c r="O13" s="42">
        <f t="shared" si="0"/>
        <v>0</v>
      </c>
      <c r="P13" s="42" t="e">
        <f>SUMPRODUCT(M13:O13,'Area&amp;production data'!Q13:S13)/SUM('Area&amp;production data'!Q13:S13)</f>
        <v>#DIV/0!</v>
      </c>
    </row>
    <row r="14" spans="1:16" x14ac:dyDescent="0.25">
      <c r="A14" s="13">
        <v>10</v>
      </c>
      <c r="B14" s="13" t="s">
        <v>148</v>
      </c>
      <c r="C14" s="379"/>
      <c r="D14" s="379"/>
      <c r="E14" s="379"/>
      <c r="F14" s="379"/>
      <c r="G14" s="379"/>
      <c r="H14" s="379"/>
      <c r="I14" s="379"/>
      <c r="J14" s="379"/>
      <c r="K14" s="379"/>
      <c r="L14" s="379"/>
      <c r="M14" s="42" t="e">
        <f>SUMPRODUCT(C14:H14,'Area&amp;production data'!F14:K14)/SUM('Area&amp;production data'!F14:K14)</f>
        <v>#DIV/0!</v>
      </c>
      <c r="N14" s="42" t="e">
        <f>SUMPRODUCT(I14:K14,'Area&amp;production data'!L14:N14)/SUM('Area&amp;production data'!L14:N14)</f>
        <v>#DIV/0!</v>
      </c>
      <c r="O14" s="42">
        <f t="shared" si="0"/>
        <v>0</v>
      </c>
      <c r="P14" s="42" t="e">
        <f>SUMPRODUCT(M14:O14,'Area&amp;production data'!Q14:S14)/SUM('Area&amp;production data'!Q14:S14)</f>
        <v>#DIV/0!</v>
      </c>
    </row>
    <row r="15" spans="1:16" x14ac:dyDescent="0.25">
      <c r="A15" s="13">
        <v>11</v>
      </c>
      <c r="B15" s="13" t="s">
        <v>149</v>
      </c>
      <c r="C15" s="379"/>
      <c r="D15" s="379"/>
      <c r="E15" s="379"/>
      <c r="F15" s="379"/>
      <c r="G15" s="379"/>
      <c r="H15" s="379"/>
      <c r="I15" s="379"/>
      <c r="J15" s="379"/>
      <c r="K15" s="379"/>
      <c r="L15" s="379"/>
      <c r="M15" s="42" t="e">
        <f>SUMPRODUCT(C15:H15,'Area&amp;production data'!F15:K15)/SUM('Area&amp;production data'!F15:K15)</f>
        <v>#DIV/0!</v>
      </c>
      <c r="N15" s="42" t="e">
        <f>SUMPRODUCT(I15:K15,'Area&amp;production data'!L15:N15)/SUM('Area&amp;production data'!L15:N15)</f>
        <v>#DIV/0!</v>
      </c>
      <c r="O15" s="42">
        <f t="shared" si="0"/>
        <v>0</v>
      </c>
      <c r="P15" s="42" t="e">
        <f>SUMPRODUCT(M15:O15,'Area&amp;production data'!Q15:S15)/SUM('Area&amp;production data'!Q15:S15)</f>
        <v>#DIV/0!</v>
      </c>
    </row>
    <row r="16" spans="1:16" x14ac:dyDescent="0.25">
      <c r="A16" s="13">
        <v>12</v>
      </c>
      <c r="B16" s="13" t="s">
        <v>150</v>
      </c>
      <c r="C16" s="379"/>
      <c r="D16" s="379"/>
      <c r="E16" s="379"/>
      <c r="F16" s="379"/>
      <c r="G16" s="379"/>
      <c r="H16" s="379"/>
      <c r="I16" s="379"/>
      <c r="J16" s="379"/>
      <c r="K16" s="379"/>
      <c r="L16" s="379"/>
      <c r="M16" s="42" t="e">
        <f>SUMPRODUCT(C16:H16,'Area&amp;production data'!F16:K16)/SUM('Area&amp;production data'!F16:K16)</f>
        <v>#DIV/0!</v>
      </c>
      <c r="N16" s="42" t="e">
        <f>SUMPRODUCT(I16:K16,'Area&amp;production data'!L16:N16)/SUM('Area&amp;production data'!L16:N16)</f>
        <v>#DIV/0!</v>
      </c>
      <c r="O16" s="42">
        <f t="shared" si="0"/>
        <v>0</v>
      </c>
      <c r="P16" s="42" t="e">
        <f>SUMPRODUCT(M16:O16,'Area&amp;production data'!Q16:S16)/SUM('Area&amp;production data'!Q16:S16)</f>
        <v>#DIV/0!</v>
      </c>
    </row>
    <row r="17" spans="1:17" x14ac:dyDescent="0.25">
      <c r="A17" s="13">
        <v>13</v>
      </c>
      <c r="B17" s="13" t="s">
        <v>151</v>
      </c>
      <c r="C17" s="379"/>
      <c r="D17" s="379"/>
      <c r="E17" s="379"/>
      <c r="F17" s="379"/>
      <c r="G17" s="379"/>
      <c r="H17" s="379"/>
      <c r="I17" s="379"/>
      <c r="J17" s="379"/>
      <c r="K17" s="379"/>
      <c r="L17" s="379"/>
      <c r="M17" s="42" t="e">
        <f>SUMPRODUCT(C17:H17,'Area&amp;production data'!F17:K17)/SUM('Area&amp;production data'!F17:K17)</f>
        <v>#DIV/0!</v>
      </c>
      <c r="N17" s="42" t="e">
        <f>SUMPRODUCT(I17:K17,'Area&amp;production data'!L17:N17)/SUM('Area&amp;production data'!L17:N17)</f>
        <v>#DIV/0!</v>
      </c>
      <c r="O17" s="42">
        <f t="shared" si="0"/>
        <v>0</v>
      </c>
      <c r="P17" s="42" t="e">
        <f>SUMPRODUCT(M17:O17,'Area&amp;production data'!Q17:S17)/SUM('Area&amp;production data'!Q17:S17)</f>
        <v>#DIV/0!</v>
      </c>
    </row>
    <row r="18" spans="1:17" x14ac:dyDescent="0.25">
      <c r="A18" s="13">
        <v>14</v>
      </c>
      <c r="B18" s="13" t="s">
        <v>152</v>
      </c>
      <c r="C18" s="379"/>
      <c r="D18" s="379"/>
      <c r="E18" s="379"/>
      <c r="F18" s="379"/>
      <c r="G18" s="379"/>
      <c r="H18" s="379"/>
      <c r="I18" s="379"/>
      <c r="J18" s="379"/>
      <c r="K18" s="379"/>
      <c r="L18" s="379"/>
      <c r="M18" s="42" t="e">
        <f>SUMPRODUCT(C18:H18,'Area&amp;production data'!F18:K18)/SUM('Area&amp;production data'!F18:K18)</f>
        <v>#DIV/0!</v>
      </c>
      <c r="N18" s="42" t="e">
        <f>SUMPRODUCT(I18:K18,'Area&amp;production data'!L18:N18)/SUM('Area&amp;production data'!L18:N18)</f>
        <v>#DIV/0!</v>
      </c>
      <c r="O18" s="42">
        <f t="shared" si="0"/>
        <v>0</v>
      </c>
      <c r="P18" s="42" t="e">
        <f>SUMPRODUCT(M18:O18,'Area&amp;production data'!Q18:S18)/SUM('Area&amp;production data'!Q18:S18)</f>
        <v>#DIV/0!</v>
      </c>
    </row>
    <row r="19" spans="1:17" x14ac:dyDescent="0.25">
      <c r="A19" s="13">
        <v>15</v>
      </c>
      <c r="B19" s="13" t="s">
        <v>153</v>
      </c>
      <c r="C19" s="379"/>
      <c r="D19" s="379"/>
      <c r="E19" s="379"/>
      <c r="F19" s="379"/>
      <c r="G19" s="379"/>
      <c r="H19" s="379"/>
      <c r="I19" s="379"/>
      <c r="J19" s="379"/>
      <c r="K19" s="379"/>
      <c r="L19" s="379"/>
      <c r="M19" s="42" t="e">
        <f>SUMPRODUCT(C19:H19,'Area&amp;production data'!F19:K19)/SUM('Area&amp;production data'!F19:K19)</f>
        <v>#DIV/0!</v>
      </c>
      <c r="N19" s="42" t="e">
        <f>SUMPRODUCT(I19:K19,'Area&amp;production data'!L19:N19)/SUM('Area&amp;production data'!L19:N19)</f>
        <v>#DIV/0!</v>
      </c>
      <c r="O19" s="42">
        <f t="shared" si="0"/>
        <v>0</v>
      </c>
      <c r="P19" s="42" t="e">
        <f>SUMPRODUCT(M19:O19,'Area&amp;production data'!Q19:S19)/SUM('Area&amp;production data'!Q19:S19)</f>
        <v>#DIV/0!</v>
      </c>
    </row>
    <row r="20" spans="1:17" x14ac:dyDescent="0.25">
      <c r="A20" s="13">
        <v>16</v>
      </c>
      <c r="B20" s="13" t="s">
        <v>154</v>
      </c>
      <c r="C20" s="379"/>
      <c r="D20" s="379"/>
      <c r="E20" s="379"/>
      <c r="F20" s="379"/>
      <c r="G20" s="379"/>
      <c r="H20" s="379"/>
      <c r="I20" s="379"/>
      <c r="J20" s="379"/>
      <c r="K20" s="379"/>
      <c r="L20" s="379"/>
      <c r="M20" s="42" t="e">
        <f>SUMPRODUCT(C20:H20,'Area&amp;production data'!F20:K20)/SUM('Area&amp;production data'!F20:K20)</f>
        <v>#DIV/0!</v>
      </c>
      <c r="N20" s="42" t="e">
        <f>SUMPRODUCT(I20:K20,'Area&amp;production data'!L20:N20)/SUM('Area&amp;production data'!L20:N20)</f>
        <v>#DIV/0!</v>
      </c>
      <c r="O20" s="42">
        <f t="shared" si="0"/>
        <v>0</v>
      </c>
      <c r="P20" s="42" t="e">
        <f>SUMPRODUCT(M20:O20,'Area&amp;production data'!Q20:S20)/SUM('Area&amp;production data'!Q20:S20)</f>
        <v>#DIV/0!</v>
      </c>
    </row>
    <row r="21" spans="1:17" x14ac:dyDescent="0.25">
      <c r="A21" s="13">
        <v>17</v>
      </c>
      <c r="B21" s="13" t="s">
        <v>155</v>
      </c>
      <c r="C21" s="379"/>
      <c r="D21" s="379"/>
      <c r="E21" s="379"/>
      <c r="F21" s="379"/>
      <c r="G21" s="379"/>
      <c r="H21" s="379"/>
      <c r="I21" s="379"/>
      <c r="J21" s="379"/>
      <c r="K21" s="379"/>
      <c r="L21" s="379"/>
      <c r="M21" s="42" t="e">
        <f>SUMPRODUCT(C21:H21,'Area&amp;production data'!F21:K21)/SUM('Area&amp;production data'!F21:K21)</f>
        <v>#DIV/0!</v>
      </c>
      <c r="N21" s="42" t="e">
        <f>SUMPRODUCT(I21:K21,'Area&amp;production data'!L21:N21)/SUM('Area&amp;production data'!L21:N21)</f>
        <v>#DIV/0!</v>
      </c>
      <c r="O21" s="42">
        <f t="shared" si="0"/>
        <v>0</v>
      </c>
      <c r="P21" s="42" t="e">
        <f>SUMPRODUCT(M21:O21,'Area&amp;production data'!Q21:S21)/SUM('Area&amp;production data'!Q21:S21)</f>
        <v>#DIV/0!</v>
      </c>
    </row>
    <row r="22" spans="1:17" x14ac:dyDescent="0.25">
      <c r="A22" s="13">
        <v>18</v>
      </c>
      <c r="B22" s="13" t="s">
        <v>156</v>
      </c>
      <c r="C22" s="379"/>
      <c r="D22" s="379"/>
      <c r="E22" s="379"/>
      <c r="F22" s="379"/>
      <c r="G22" s="379"/>
      <c r="H22" s="379"/>
      <c r="I22" s="379"/>
      <c r="J22" s="379"/>
      <c r="K22" s="379"/>
      <c r="L22" s="379"/>
      <c r="M22" s="42" t="e">
        <f>SUMPRODUCT(C22:H22,'Area&amp;production data'!F22:K22)/SUM('Area&amp;production data'!F22:K22)</f>
        <v>#DIV/0!</v>
      </c>
      <c r="N22" s="42" t="e">
        <f>SUMPRODUCT(I22:K22,'Area&amp;production data'!L22:N22)/SUM('Area&amp;production data'!L22:N22)</f>
        <v>#DIV/0!</v>
      </c>
      <c r="O22" s="42">
        <f t="shared" si="0"/>
        <v>0</v>
      </c>
      <c r="P22" s="42" t="e">
        <f>SUMPRODUCT(M22:O22,'Area&amp;production data'!Q22:S22)/SUM('Area&amp;production data'!Q22:S22)</f>
        <v>#DIV/0!</v>
      </c>
    </row>
    <row r="23" spans="1:17" x14ac:dyDescent="0.25">
      <c r="A23" s="13">
        <v>19</v>
      </c>
      <c r="B23" s="13" t="s">
        <v>157</v>
      </c>
      <c r="C23" s="379"/>
      <c r="D23" s="379"/>
      <c r="E23" s="379"/>
      <c r="F23" s="379"/>
      <c r="G23" s="379"/>
      <c r="H23" s="379"/>
      <c r="I23" s="379"/>
      <c r="J23" s="379"/>
      <c r="K23" s="379"/>
      <c r="L23" s="379"/>
      <c r="M23" s="42" t="e">
        <f>SUMPRODUCT(C23:H23,'Area&amp;production data'!F23:K23)/SUM('Area&amp;production data'!F23:K23)</f>
        <v>#DIV/0!</v>
      </c>
      <c r="N23" s="42" t="e">
        <f>SUMPRODUCT(I23:K23,'Area&amp;production data'!L23:N23)/SUM('Area&amp;production data'!L23:N23)</f>
        <v>#DIV/0!</v>
      </c>
      <c r="O23" s="42">
        <f t="shared" si="0"/>
        <v>0</v>
      </c>
      <c r="P23" s="42" t="e">
        <f>SUMPRODUCT(M23:O23,'Area&amp;production data'!Q23:S23)/SUM('Area&amp;production data'!Q23:S23)</f>
        <v>#DIV/0!</v>
      </c>
    </row>
    <row r="24" spans="1:17" x14ac:dyDescent="0.25">
      <c r="A24" s="13">
        <v>20</v>
      </c>
      <c r="B24" s="13" t="s">
        <v>158</v>
      </c>
      <c r="C24" s="379"/>
      <c r="D24" s="379"/>
      <c r="E24" s="379"/>
      <c r="F24" s="379"/>
      <c r="G24" s="379"/>
      <c r="H24" s="379"/>
      <c r="I24" s="379"/>
      <c r="J24" s="379"/>
      <c r="K24" s="379"/>
      <c r="L24" s="379"/>
      <c r="M24" s="42" t="e">
        <f>SUMPRODUCT(C24:H24,'Area&amp;production data'!F24:K24)/SUM('Area&amp;production data'!F24:K24)</f>
        <v>#DIV/0!</v>
      </c>
      <c r="N24" s="42" t="e">
        <f>SUMPRODUCT(I24:K24,'Area&amp;production data'!L24:N24)/SUM('Area&amp;production data'!L24:N24)</f>
        <v>#DIV/0!</v>
      </c>
      <c r="O24" s="42">
        <f t="shared" si="0"/>
        <v>0</v>
      </c>
      <c r="P24" s="42" t="e">
        <f>SUMPRODUCT(M24:O24,'Area&amp;production data'!Q24:S24)/SUM('Area&amp;production data'!Q24:S24)</f>
        <v>#DIV/0!</v>
      </c>
    </row>
    <row r="25" spans="1:17" x14ac:dyDescent="0.25">
      <c r="A25" s="13">
        <v>21</v>
      </c>
      <c r="B25" s="13" t="s">
        <v>159</v>
      </c>
      <c r="C25" s="379"/>
      <c r="D25" s="379"/>
      <c r="E25" s="379"/>
      <c r="F25" s="379"/>
      <c r="G25" s="379"/>
      <c r="H25" s="379"/>
      <c r="I25" s="379"/>
      <c r="J25" s="379"/>
      <c r="K25" s="379"/>
      <c r="L25" s="379"/>
      <c r="M25" s="42" t="e">
        <f>SUMPRODUCT(C25:H25,'Area&amp;production data'!F25:K25)/SUM('Area&amp;production data'!F25:K25)</f>
        <v>#DIV/0!</v>
      </c>
      <c r="N25" s="42" t="e">
        <f>SUMPRODUCT(I25:K25,'Area&amp;production data'!L25:N25)/SUM('Area&amp;production data'!L25:N25)</f>
        <v>#DIV/0!</v>
      </c>
      <c r="O25" s="42">
        <f t="shared" si="0"/>
        <v>0</v>
      </c>
      <c r="P25" s="42" t="e">
        <f>SUMPRODUCT(M25:O25,'Area&amp;production data'!Q25:S25)/SUM('Area&amp;production data'!Q25:S25)</f>
        <v>#DIV/0!</v>
      </c>
    </row>
    <row r="26" spans="1:17" x14ac:dyDescent="0.25">
      <c r="A26" s="13">
        <v>22</v>
      </c>
      <c r="B26" s="13" t="s">
        <v>160</v>
      </c>
      <c r="C26" s="379"/>
      <c r="D26" s="379"/>
      <c r="E26" s="379"/>
      <c r="F26" s="379"/>
      <c r="G26" s="379"/>
      <c r="H26" s="379"/>
      <c r="I26" s="379"/>
      <c r="J26" s="379"/>
      <c r="K26" s="379"/>
      <c r="L26" s="379"/>
      <c r="M26" s="42" t="e">
        <f>SUMPRODUCT(C26:H26,'Area&amp;production data'!F26:K26)/SUM('Area&amp;production data'!F26:K26)</f>
        <v>#DIV/0!</v>
      </c>
      <c r="N26" s="42" t="e">
        <f>SUMPRODUCT(I26:K26,'Area&amp;production data'!L26:N26)/SUM('Area&amp;production data'!L26:N26)</f>
        <v>#DIV/0!</v>
      </c>
      <c r="O26" s="42">
        <f t="shared" si="0"/>
        <v>0</v>
      </c>
      <c r="P26" s="42" t="e">
        <f>SUMPRODUCT(M26:O26,'Area&amp;production data'!Q26:S26)/SUM('Area&amp;production data'!Q26:S26)</f>
        <v>#DIV/0!</v>
      </c>
    </row>
    <row r="27" spans="1:17" x14ac:dyDescent="0.25">
      <c r="A27" s="13">
        <v>23</v>
      </c>
      <c r="B27" s="13" t="s">
        <v>161</v>
      </c>
      <c r="C27" s="379"/>
      <c r="D27" s="379"/>
      <c r="E27" s="379"/>
      <c r="F27" s="379"/>
      <c r="G27" s="379"/>
      <c r="H27" s="379"/>
      <c r="I27" s="379"/>
      <c r="J27" s="379"/>
      <c r="K27" s="379"/>
      <c r="L27" s="379"/>
      <c r="M27" s="42" t="e">
        <f>SUMPRODUCT(C27:H27,'Area&amp;production data'!F27:K27)/SUM('Area&amp;production data'!F27:K27)</f>
        <v>#DIV/0!</v>
      </c>
      <c r="N27" s="42" t="e">
        <f>SUMPRODUCT(I27:K27,'Area&amp;production data'!L27:N27)/SUM('Area&amp;production data'!L27:N27)</f>
        <v>#DIV/0!</v>
      </c>
      <c r="O27" s="42">
        <f t="shared" si="0"/>
        <v>0</v>
      </c>
      <c r="P27" s="42" t="e">
        <f>SUMPRODUCT(M27:O27,'Area&amp;production data'!Q27:S27)/SUM('Area&amp;production data'!Q27:S27)</f>
        <v>#DIV/0!</v>
      </c>
    </row>
    <row r="28" spans="1:17" x14ac:dyDescent="0.25">
      <c r="A28" s="13">
        <v>24</v>
      </c>
      <c r="B28" s="13" t="s">
        <v>162</v>
      </c>
      <c r="C28" s="379"/>
      <c r="D28" s="379"/>
      <c r="E28" s="379"/>
      <c r="F28" s="379"/>
      <c r="G28" s="379"/>
      <c r="H28" s="379"/>
      <c r="I28" s="379"/>
      <c r="J28" s="379"/>
      <c r="K28" s="379"/>
      <c r="L28" s="379"/>
      <c r="M28" s="42" t="e">
        <f>SUMPRODUCT(C28:H28,'Area&amp;production data'!F28:K28)/SUM('Area&amp;production data'!F28:K28)</f>
        <v>#DIV/0!</v>
      </c>
      <c r="N28" s="42" t="e">
        <f>SUMPRODUCT(I28:K28,'Area&amp;production data'!L28:N28)/SUM('Area&amp;production data'!L28:N28)</f>
        <v>#DIV/0!</v>
      </c>
      <c r="O28" s="42">
        <f t="shared" si="0"/>
        <v>0</v>
      </c>
      <c r="P28" s="42" t="e">
        <f>SUMPRODUCT(M28:O28,'Area&amp;production data'!Q28:S28)/SUM('Area&amp;production data'!Q28:S28)</f>
        <v>#DIV/0!</v>
      </c>
    </row>
    <row r="29" spans="1:17" x14ac:dyDescent="0.25">
      <c r="A29" s="13"/>
      <c r="B29" s="15" t="s">
        <v>163</v>
      </c>
      <c r="C29" s="172">
        <v>0.23286874244541073</v>
      </c>
      <c r="D29" s="172">
        <v>0.1645680586547657</v>
      </c>
      <c r="E29" s="172">
        <v>0.13034279414404021</v>
      </c>
      <c r="F29" s="172">
        <v>0.25073676941892969</v>
      </c>
      <c r="G29" s="172">
        <v>0.23921933320480768</v>
      </c>
      <c r="H29" s="172">
        <v>0.20980610298792116</v>
      </c>
      <c r="I29" s="172">
        <v>0.12284584117425666</v>
      </c>
      <c r="J29" s="172">
        <v>0.12254907221854222</v>
      </c>
      <c r="K29" s="172">
        <v>9.9999999999999992E-2</v>
      </c>
      <c r="L29" s="172">
        <v>0.12617337978190662</v>
      </c>
      <c r="M29" s="42" t="e">
        <f>SUMPRODUCT(M5:M28,'Area&amp;production data'!Q5:Q28)/'Area&amp;production data'!Q29</f>
        <v>#DIV/0!</v>
      </c>
      <c r="N29" s="42" t="e">
        <f>SUMPRODUCT(N5:N28,'Area&amp;production data'!R5:R28)/'Area&amp;production data'!R29</f>
        <v>#DIV/0!</v>
      </c>
      <c r="O29" s="42" t="e">
        <f>SUMPRODUCT(O5:O28,'Area&amp;production data'!S5:S28)/'Area&amp;production data'!S29</f>
        <v>#DIV/0!</v>
      </c>
      <c r="P29" s="42" t="e">
        <f>SUMPRODUCT(P5:P28,'Area&amp;production data'!T5:T28)/'Area&amp;production data'!T29</f>
        <v>#DIV/0!</v>
      </c>
      <c r="Q29" s="618"/>
    </row>
    <row r="30" spans="1:17" x14ac:dyDescent="0.25">
      <c r="B30" s="300"/>
      <c r="C30" s="30" t="b">
        <v>1</v>
      </c>
      <c r="D30" s="30" t="b">
        <v>1</v>
      </c>
      <c r="E30" s="30" t="b">
        <v>1</v>
      </c>
      <c r="F30" s="30" t="b">
        <v>1</v>
      </c>
      <c r="G30" s="30" t="b">
        <v>1</v>
      </c>
      <c r="H30" s="30" t="b">
        <v>1</v>
      </c>
      <c r="I30" s="30" t="b">
        <v>1</v>
      </c>
      <c r="J30" s="30" t="b">
        <v>1</v>
      </c>
      <c r="K30" s="30" t="b">
        <v>1</v>
      </c>
      <c r="L30" s="30" t="b">
        <v>1</v>
      </c>
      <c r="M30" s="30"/>
      <c r="N30" s="30"/>
      <c r="O30" s="30"/>
      <c r="P30" s="30"/>
    </row>
    <row r="31" spans="1:17" x14ac:dyDescent="0.25">
      <c r="J31" s="252"/>
      <c r="K31" s="252"/>
      <c r="L31" s="252"/>
      <c r="M31" s="250"/>
      <c r="N31" s="250"/>
      <c r="O31" s="250"/>
      <c r="P31" s="250"/>
    </row>
  </sheetData>
  <mergeCells count="3">
    <mergeCell ref="A3:A4"/>
    <mergeCell ref="B3:B4"/>
    <mergeCell ref="C3:P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9EF3F-0A12-4F89-B44A-C79E6D5E1F8E}">
  <dimension ref="A2:BK31"/>
  <sheetViews>
    <sheetView zoomScale="50" zoomScaleNormal="50" workbookViewId="0">
      <pane xSplit="2" ySplit="4" topLeftCell="AK5" activePane="bottomRight" state="frozen"/>
      <selection pane="topRight" activeCell="C1" sqref="C1"/>
      <selection pane="bottomLeft" activeCell="A5" sqref="A5"/>
      <selection pane="bottomRight" activeCell="AU7" sqref="AU7"/>
    </sheetView>
  </sheetViews>
  <sheetFormatPr defaultRowHeight="15" x14ac:dyDescent="0.25"/>
  <cols>
    <col min="1" max="1" width="3.85546875" customWidth="1"/>
    <col min="2" max="2" width="20.140625" customWidth="1"/>
    <col min="3" max="3" width="15.140625" customWidth="1"/>
    <col min="4" max="4" width="13.42578125" customWidth="1"/>
    <col min="5" max="5" width="10" customWidth="1"/>
    <col min="6" max="6" width="11.140625" bestFit="1" customWidth="1"/>
    <col min="7" max="7" width="11.140625" customWidth="1"/>
    <col min="8" max="8" width="11.140625" bestFit="1" customWidth="1"/>
    <col min="9" max="9" width="11" bestFit="1" customWidth="1"/>
    <col min="10" max="10" width="14.5703125" customWidth="1"/>
    <col min="11" max="11" width="11" customWidth="1"/>
    <col min="12" max="12" width="16.5703125" customWidth="1"/>
    <col min="13" max="13" width="14.140625" customWidth="1"/>
    <col min="14" max="14" width="13.42578125" customWidth="1"/>
    <col min="15" max="62" width="11.42578125"/>
    <col min="63" max="63" width="8.85546875" bestFit="1" customWidth="1"/>
  </cols>
  <sheetData>
    <row r="2" spans="1:62" ht="15.75" thickBot="1" x14ac:dyDescent="0.3"/>
    <row r="3" spans="1:62" ht="28.7" customHeight="1" thickBot="1" x14ac:dyDescent="0.3">
      <c r="A3" s="796" t="s">
        <v>100</v>
      </c>
      <c r="B3" s="820" t="s">
        <v>101</v>
      </c>
      <c r="C3" s="821" t="s">
        <v>103</v>
      </c>
      <c r="D3" s="821"/>
      <c r="E3" s="821"/>
      <c r="F3" s="821"/>
      <c r="G3" s="821"/>
      <c r="H3" s="821"/>
      <c r="I3" s="821"/>
      <c r="J3" s="821"/>
      <c r="K3" s="821"/>
      <c r="L3" s="821"/>
      <c r="M3" s="821"/>
      <c r="N3" s="821"/>
      <c r="O3" s="808" t="s">
        <v>106</v>
      </c>
      <c r="P3" s="809"/>
      <c r="Q3" s="809"/>
      <c r="R3" s="809"/>
      <c r="S3" s="806" t="s">
        <v>107</v>
      </c>
      <c r="T3" s="801"/>
      <c r="U3" s="801"/>
      <c r="V3" s="807"/>
      <c r="W3" s="810" t="s">
        <v>108</v>
      </c>
      <c r="X3" s="811"/>
      <c r="Y3" s="811"/>
      <c r="Z3" s="812"/>
      <c r="AA3" s="810" t="s">
        <v>109</v>
      </c>
      <c r="AB3" s="811"/>
      <c r="AC3" s="811"/>
      <c r="AD3" s="812"/>
      <c r="AE3" s="810" t="s">
        <v>110</v>
      </c>
      <c r="AF3" s="811"/>
      <c r="AG3" s="811"/>
      <c r="AH3" s="812"/>
      <c r="AI3" s="810" t="s">
        <v>111</v>
      </c>
      <c r="AJ3" s="811"/>
      <c r="AK3" s="811"/>
      <c r="AL3" s="812"/>
      <c r="AM3" s="810" t="s">
        <v>112</v>
      </c>
      <c r="AN3" s="811"/>
      <c r="AO3" s="811"/>
      <c r="AP3" s="812"/>
      <c r="AQ3" s="810" t="s">
        <v>113</v>
      </c>
      <c r="AR3" s="811"/>
      <c r="AS3" s="811"/>
      <c r="AT3" s="812"/>
      <c r="AU3" s="810" t="s">
        <v>114</v>
      </c>
      <c r="AV3" s="811"/>
      <c r="AW3" s="811"/>
      <c r="AX3" s="812"/>
      <c r="AY3" s="810" t="s">
        <v>115</v>
      </c>
      <c r="AZ3" s="811"/>
      <c r="BA3" s="811"/>
      <c r="BB3" s="812"/>
      <c r="BC3" s="810" t="s">
        <v>116</v>
      </c>
      <c r="BD3" s="811"/>
      <c r="BE3" s="811"/>
      <c r="BF3" s="811"/>
      <c r="BG3" s="806" t="s">
        <v>117</v>
      </c>
      <c r="BH3" s="801"/>
      <c r="BI3" s="801"/>
      <c r="BJ3" s="807"/>
    </row>
    <row r="4" spans="1:62" ht="45.75" thickBot="1" x14ac:dyDescent="0.3">
      <c r="A4" s="797"/>
      <c r="B4" s="799"/>
      <c r="C4" s="285" t="s">
        <v>24</v>
      </c>
      <c r="D4" s="285" t="s">
        <v>26</v>
      </c>
      <c r="E4" s="286" t="s">
        <v>28</v>
      </c>
      <c r="F4" s="286" t="s">
        <v>30</v>
      </c>
      <c r="G4" s="85" t="s">
        <v>121</v>
      </c>
      <c r="H4" s="85" t="s">
        <v>131</v>
      </c>
      <c r="I4" s="85" t="s">
        <v>123</v>
      </c>
      <c r="J4" s="85" t="s">
        <v>38</v>
      </c>
      <c r="K4" s="85" t="s">
        <v>124</v>
      </c>
      <c r="L4" s="286" t="s">
        <v>125</v>
      </c>
      <c r="M4" s="287" t="s">
        <v>191</v>
      </c>
      <c r="N4" s="287" t="s">
        <v>130</v>
      </c>
      <c r="O4" s="284" t="s">
        <v>136</v>
      </c>
      <c r="P4" s="284" t="s">
        <v>137</v>
      </c>
      <c r="Q4" s="284" t="s">
        <v>138</v>
      </c>
      <c r="R4" s="288" t="s">
        <v>120</v>
      </c>
      <c r="S4" s="415" t="s">
        <v>136</v>
      </c>
      <c r="T4" s="415" t="s">
        <v>137</v>
      </c>
      <c r="U4" s="415" t="s">
        <v>138</v>
      </c>
      <c r="V4" s="416" t="s">
        <v>120</v>
      </c>
      <c r="W4" s="284" t="s">
        <v>136</v>
      </c>
      <c r="X4" s="284" t="s">
        <v>137</v>
      </c>
      <c r="Y4" s="284" t="s">
        <v>138</v>
      </c>
      <c r="Z4" s="288" t="s">
        <v>120</v>
      </c>
      <c r="AA4" s="284" t="s">
        <v>136</v>
      </c>
      <c r="AB4" s="284" t="s">
        <v>137</v>
      </c>
      <c r="AC4" s="284" t="s">
        <v>138</v>
      </c>
      <c r="AD4" s="288" t="s">
        <v>120</v>
      </c>
      <c r="AE4" s="284"/>
      <c r="AF4" s="284"/>
      <c r="AG4" s="284"/>
      <c r="AH4" s="288"/>
      <c r="AI4" s="284" t="s">
        <v>136</v>
      </c>
      <c r="AJ4" s="284" t="s">
        <v>137</v>
      </c>
      <c r="AK4" s="284" t="s">
        <v>138</v>
      </c>
      <c r="AL4" s="288" t="s">
        <v>120</v>
      </c>
      <c r="AM4" s="284" t="s">
        <v>136</v>
      </c>
      <c r="AN4" s="284" t="s">
        <v>137</v>
      </c>
      <c r="AO4" s="284" t="s">
        <v>138</v>
      </c>
      <c r="AP4" s="288" t="s">
        <v>120</v>
      </c>
      <c r="AQ4" s="284" t="s">
        <v>136</v>
      </c>
      <c r="AR4" s="284" t="s">
        <v>137</v>
      </c>
      <c r="AS4" s="284" t="s">
        <v>138</v>
      </c>
      <c r="AT4" s="288" t="s">
        <v>120</v>
      </c>
      <c r="AU4" s="284" t="s">
        <v>136</v>
      </c>
      <c r="AV4" s="284" t="s">
        <v>137</v>
      </c>
      <c r="AW4" s="284" t="s">
        <v>138</v>
      </c>
      <c r="AX4" s="288" t="s">
        <v>120</v>
      </c>
      <c r="AY4" s="284" t="s">
        <v>136</v>
      </c>
      <c r="AZ4" s="284" t="s">
        <v>137</v>
      </c>
      <c r="BA4" s="284" t="s">
        <v>138</v>
      </c>
      <c r="BB4" s="288" t="s">
        <v>120</v>
      </c>
      <c r="BC4" s="288" t="s">
        <v>136</v>
      </c>
      <c r="BD4" s="288" t="s">
        <v>137</v>
      </c>
      <c r="BE4" s="288" t="s">
        <v>138</v>
      </c>
      <c r="BF4" s="288" t="s">
        <v>120</v>
      </c>
      <c r="BG4" s="288" t="s">
        <v>136</v>
      </c>
      <c r="BH4" s="288" t="s">
        <v>137</v>
      </c>
      <c r="BI4" s="288" t="s">
        <v>138</v>
      </c>
      <c r="BJ4" s="417" t="s">
        <v>120</v>
      </c>
    </row>
    <row r="5" spans="1:62" x14ac:dyDescent="0.25">
      <c r="A5" s="272">
        <v>1</v>
      </c>
      <c r="B5" s="272" t="s">
        <v>139</v>
      </c>
      <c r="C5" s="693">
        <f>'Area&amp;production data'!F5</f>
        <v>0</v>
      </c>
      <c r="D5" s="693">
        <f>'Area&amp;production data'!G5</f>
        <v>0</v>
      </c>
      <c r="E5" s="693">
        <f>'Area&amp;production data'!H5</f>
        <v>0</v>
      </c>
      <c r="F5" s="693">
        <f>'Area&amp;production data'!I5</f>
        <v>0</v>
      </c>
      <c r="G5" s="693">
        <f>'Area&amp;production data'!J5</f>
        <v>0</v>
      </c>
      <c r="H5" s="693">
        <f>'Area&amp;production data'!K5</f>
        <v>0</v>
      </c>
      <c r="I5" s="693">
        <f>'Area&amp;production data'!L5</f>
        <v>0</v>
      </c>
      <c r="J5" s="693">
        <f>'Area&amp;production data'!M5</f>
        <v>0</v>
      </c>
      <c r="K5" s="693">
        <f>'Area&amp;production data'!N5</f>
        <v>0</v>
      </c>
      <c r="L5" s="693">
        <f>'Area&amp;production data'!O5</f>
        <v>0</v>
      </c>
      <c r="M5" s="274">
        <f>SUM(C5:H5)</f>
        <v>0</v>
      </c>
      <c r="N5" s="275">
        <f>SUM(C5:L5)</f>
        <v>0</v>
      </c>
      <c r="O5" s="695">
        <f>'Area&amp;production data'!AW5</f>
        <v>0</v>
      </c>
      <c r="P5" s="695">
        <f>'Area&amp;production data'!AX5</f>
        <v>0</v>
      </c>
      <c r="Q5" s="695">
        <f>'Area&amp;production data'!AY5</f>
        <v>0</v>
      </c>
      <c r="R5" s="420">
        <f>'Area&amp;production data'!AZ5</f>
        <v>0</v>
      </c>
      <c r="S5" s="695">
        <f>'Area&amp;production data'!BA5</f>
        <v>0</v>
      </c>
      <c r="T5" s="695">
        <f>'Area&amp;production data'!BB5</f>
        <v>0</v>
      </c>
      <c r="U5" s="695">
        <f>'Area&amp;production data'!BC5</f>
        <v>0</v>
      </c>
      <c r="V5" s="420">
        <f>'Area&amp;production data'!BD5</f>
        <v>0</v>
      </c>
      <c r="W5" s="695">
        <f>'Area&amp;production data'!BE5</f>
        <v>0</v>
      </c>
      <c r="X5" s="695">
        <f>'Area&amp;production data'!BF5</f>
        <v>0</v>
      </c>
      <c r="Y5" s="695">
        <f>'Area&amp;production data'!BG5</f>
        <v>0</v>
      </c>
      <c r="Z5" s="420">
        <f>'Area&amp;production data'!BH5</f>
        <v>0</v>
      </c>
      <c r="AA5" s="695">
        <f>'Area&amp;production data'!BI5</f>
        <v>0</v>
      </c>
      <c r="AB5" s="695">
        <f>'Area&amp;production data'!BJ5</f>
        <v>0</v>
      </c>
      <c r="AC5" s="695">
        <f>'Area&amp;production data'!BK5</f>
        <v>0</v>
      </c>
      <c r="AD5" s="420">
        <f>'Area&amp;production data'!BL5</f>
        <v>0</v>
      </c>
      <c r="AE5" s="695">
        <f>'Area&amp;production data'!BM5</f>
        <v>0</v>
      </c>
      <c r="AF5" s="695">
        <f>'Area&amp;production data'!BN5</f>
        <v>0</v>
      </c>
      <c r="AG5" s="695">
        <f>'Area&amp;production data'!BO5</f>
        <v>0</v>
      </c>
      <c r="AH5" s="420">
        <f>'Area&amp;production data'!BP5</f>
        <v>0</v>
      </c>
      <c r="AI5" s="695">
        <f>'Area&amp;production data'!BQ5</f>
        <v>0</v>
      </c>
      <c r="AJ5" s="695">
        <f>'Area&amp;production data'!BR5</f>
        <v>0</v>
      </c>
      <c r="AK5" s="695">
        <f>'Area&amp;production data'!BS5</f>
        <v>0</v>
      </c>
      <c r="AL5" s="420">
        <f>'Area&amp;production data'!BT5</f>
        <v>0</v>
      </c>
      <c r="AM5" s="695">
        <f>'Area&amp;production data'!BU5</f>
        <v>0</v>
      </c>
      <c r="AN5" s="695">
        <f>'Area&amp;production data'!BV5</f>
        <v>0</v>
      </c>
      <c r="AO5" s="695">
        <f>'Area&amp;production data'!BW5</f>
        <v>0</v>
      </c>
      <c r="AP5" s="420">
        <f>'Area&amp;production data'!BX5</f>
        <v>0</v>
      </c>
      <c r="AQ5" s="695">
        <f>'Area&amp;production data'!BY5</f>
        <v>0</v>
      </c>
      <c r="AR5" s="695">
        <f>'Area&amp;production data'!BZ5</f>
        <v>0</v>
      </c>
      <c r="AS5" s="695">
        <f>'Area&amp;production data'!CA5</f>
        <v>0</v>
      </c>
      <c r="AT5" s="420">
        <f>'Area&amp;production data'!CB5</f>
        <v>0</v>
      </c>
      <c r="AU5" s="695">
        <f>'Area&amp;production data'!CC5</f>
        <v>0</v>
      </c>
      <c r="AV5" s="695">
        <f>'Area&amp;production data'!CD5</f>
        <v>0</v>
      </c>
      <c r="AW5" s="695">
        <f>'Area&amp;production data'!CE5</f>
        <v>0</v>
      </c>
      <c r="AX5" s="420">
        <f>'Area&amp;production data'!CF5</f>
        <v>0</v>
      </c>
      <c r="AY5" s="695">
        <f>'Area&amp;production data'!CG5</f>
        <v>0</v>
      </c>
      <c r="AZ5" s="695">
        <f>'Area&amp;production data'!CH5</f>
        <v>0</v>
      </c>
      <c r="BA5" s="695">
        <f>'Area&amp;production data'!CI5</f>
        <v>0</v>
      </c>
      <c r="BB5" s="420">
        <f>'Area&amp;production data'!CJ5</f>
        <v>0</v>
      </c>
      <c r="BC5" s="616" t="e">
        <f>'Area&amp;production data'!CK5</f>
        <v>#DIV/0!</v>
      </c>
      <c r="BD5" s="616" t="e">
        <f>'Area&amp;production data'!CL5</f>
        <v>#DIV/0!</v>
      </c>
      <c r="BE5" s="616" t="e">
        <f>'Area&amp;production data'!CM5</f>
        <v>#DIV/0!</v>
      </c>
      <c r="BF5" s="616" t="e">
        <f>'Area&amp;production data'!CN5</f>
        <v>#DIV/0!</v>
      </c>
      <c r="BG5" s="616" t="e">
        <f>'Area&amp;production data'!CO5</f>
        <v>#DIV/0!</v>
      </c>
      <c r="BH5" s="616" t="e">
        <f>'Area&amp;production data'!CP5</f>
        <v>#DIV/0!</v>
      </c>
      <c r="BI5" s="616" t="e">
        <f>'Area&amp;production data'!CQ5</f>
        <v>#DIV/0!</v>
      </c>
      <c r="BJ5" s="616" t="e">
        <f>'Area&amp;production data'!CR5</f>
        <v>#DIV/0!</v>
      </c>
    </row>
    <row r="6" spans="1:62" x14ac:dyDescent="0.25">
      <c r="A6" s="13">
        <v>2</v>
      </c>
      <c r="B6" s="13" t="s">
        <v>140</v>
      </c>
      <c r="C6" s="693">
        <f>'Area&amp;production data'!F6</f>
        <v>0</v>
      </c>
      <c r="D6" s="693">
        <f>'Area&amp;production data'!G6</f>
        <v>0</v>
      </c>
      <c r="E6" s="693">
        <f>'Area&amp;production data'!H6</f>
        <v>0</v>
      </c>
      <c r="F6" s="693">
        <f>'Area&amp;production data'!I6</f>
        <v>0</v>
      </c>
      <c r="G6" s="693">
        <f>'Area&amp;production data'!J6</f>
        <v>0</v>
      </c>
      <c r="H6" s="693">
        <f>'Area&amp;production data'!K6</f>
        <v>0</v>
      </c>
      <c r="I6" s="693">
        <f>'Area&amp;production data'!L6</f>
        <v>0</v>
      </c>
      <c r="J6" s="693">
        <f>'Area&amp;production data'!M6</f>
        <v>0</v>
      </c>
      <c r="K6" s="693">
        <f>'Area&amp;production data'!N6</f>
        <v>0</v>
      </c>
      <c r="L6" s="693">
        <f>'Area&amp;production data'!O6</f>
        <v>0</v>
      </c>
      <c r="M6" s="274">
        <f t="shared" ref="M6:M28" si="0">SUM(C6:H6)</f>
        <v>0</v>
      </c>
      <c r="N6" s="275">
        <f t="shared" ref="N6:N28" si="1">SUM(C6:L6)</f>
        <v>0</v>
      </c>
      <c r="O6" s="695">
        <f>'Area&amp;production data'!AW6</f>
        <v>0</v>
      </c>
      <c r="P6" s="695">
        <f>'Area&amp;production data'!AX6</f>
        <v>0</v>
      </c>
      <c r="Q6" s="695">
        <f>'Area&amp;production data'!AY6</f>
        <v>0</v>
      </c>
      <c r="R6" s="420">
        <f>'Area&amp;production data'!AZ6</f>
        <v>0</v>
      </c>
      <c r="S6" s="695">
        <f>'Area&amp;production data'!BA6</f>
        <v>0</v>
      </c>
      <c r="T6" s="695">
        <f>'Area&amp;production data'!BB6</f>
        <v>0</v>
      </c>
      <c r="U6" s="695">
        <f>'Area&amp;production data'!BC6</f>
        <v>0</v>
      </c>
      <c r="V6" s="420">
        <f>'Area&amp;production data'!BD6</f>
        <v>0</v>
      </c>
      <c r="W6" s="695">
        <f>'Area&amp;production data'!BE6</f>
        <v>0</v>
      </c>
      <c r="X6" s="695">
        <f>'Area&amp;production data'!BF6</f>
        <v>0</v>
      </c>
      <c r="Y6" s="695">
        <f>'Area&amp;production data'!BG6</f>
        <v>0</v>
      </c>
      <c r="Z6" s="420">
        <f>'Area&amp;production data'!BH6</f>
        <v>0</v>
      </c>
      <c r="AA6" s="695">
        <f>'Area&amp;production data'!BI6</f>
        <v>0</v>
      </c>
      <c r="AB6" s="695">
        <f>'Area&amp;production data'!BJ6</f>
        <v>0</v>
      </c>
      <c r="AC6" s="695">
        <f>'Area&amp;production data'!BK6</f>
        <v>0</v>
      </c>
      <c r="AD6" s="420">
        <f>'Area&amp;production data'!BL6</f>
        <v>0</v>
      </c>
      <c r="AE6" s="695">
        <f>'Area&amp;production data'!BM6</f>
        <v>0</v>
      </c>
      <c r="AF6" s="695">
        <f>'Area&amp;production data'!BN6</f>
        <v>0</v>
      </c>
      <c r="AG6" s="695">
        <f>'Area&amp;production data'!BO6</f>
        <v>0</v>
      </c>
      <c r="AH6" s="420">
        <f>'Area&amp;production data'!BP6</f>
        <v>0</v>
      </c>
      <c r="AI6" s="695">
        <f>'Area&amp;production data'!BQ6</f>
        <v>0</v>
      </c>
      <c r="AJ6" s="695">
        <f>'Area&amp;production data'!BR6</f>
        <v>0</v>
      </c>
      <c r="AK6" s="695">
        <f>'Area&amp;production data'!BS6</f>
        <v>0</v>
      </c>
      <c r="AL6" s="420">
        <f>'Area&amp;production data'!BT6</f>
        <v>0</v>
      </c>
      <c r="AM6" s="695">
        <f>'Area&amp;production data'!BU6</f>
        <v>0</v>
      </c>
      <c r="AN6" s="695">
        <f>'Area&amp;production data'!BV6</f>
        <v>0</v>
      </c>
      <c r="AO6" s="695">
        <f>'Area&amp;production data'!BW6</f>
        <v>0</v>
      </c>
      <c r="AP6" s="420">
        <f>'Area&amp;production data'!BX6</f>
        <v>0</v>
      </c>
      <c r="AQ6" s="695">
        <f>'Area&amp;production data'!BY6</f>
        <v>0</v>
      </c>
      <c r="AR6" s="695">
        <f>'Area&amp;production data'!BZ6</f>
        <v>0</v>
      </c>
      <c r="AS6" s="695">
        <f>'Area&amp;production data'!CA6</f>
        <v>0</v>
      </c>
      <c r="AT6" s="420">
        <f>'Area&amp;production data'!CB6</f>
        <v>0</v>
      </c>
      <c r="AU6" s="695">
        <f>'Area&amp;production data'!CC6</f>
        <v>0</v>
      </c>
      <c r="AV6" s="695">
        <f>'Area&amp;production data'!CD6</f>
        <v>0</v>
      </c>
      <c r="AW6" s="695">
        <f>'Area&amp;production data'!CE6</f>
        <v>0</v>
      </c>
      <c r="AX6" s="420">
        <f>'Area&amp;production data'!CF6</f>
        <v>0</v>
      </c>
      <c r="AY6" s="695">
        <f>'Area&amp;production data'!CG6</f>
        <v>0</v>
      </c>
      <c r="AZ6" s="695">
        <f>'Area&amp;production data'!CH6</f>
        <v>0</v>
      </c>
      <c r="BA6" s="695">
        <f>'Area&amp;production data'!CI6</f>
        <v>0</v>
      </c>
      <c r="BB6" s="420">
        <f>'Area&amp;production data'!CJ6</f>
        <v>0</v>
      </c>
      <c r="BC6" s="616" t="e">
        <f>'Area&amp;production data'!CK6</f>
        <v>#DIV/0!</v>
      </c>
      <c r="BD6" s="616" t="e">
        <f>'Area&amp;production data'!CL6</f>
        <v>#DIV/0!</v>
      </c>
      <c r="BE6" s="616" t="e">
        <f>'Area&amp;production data'!CM6</f>
        <v>#DIV/0!</v>
      </c>
      <c r="BF6" s="616" t="e">
        <f>'Area&amp;production data'!CN6</f>
        <v>#DIV/0!</v>
      </c>
      <c r="BG6" s="616" t="e">
        <f>'Area&amp;production data'!CO6</f>
        <v>#DIV/0!</v>
      </c>
      <c r="BH6" s="616" t="e">
        <f>'Area&amp;production data'!CP6</f>
        <v>#DIV/0!</v>
      </c>
      <c r="BI6" s="616" t="e">
        <f>'Area&amp;production data'!CQ6</f>
        <v>#DIV/0!</v>
      </c>
      <c r="BJ6" s="616" t="e">
        <f>'Area&amp;production data'!CR6</f>
        <v>#DIV/0!</v>
      </c>
    </row>
    <row r="7" spans="1:62" x14ac:dyDescent="0.25">
      <c r="A7" s="13">
        <v>3</v>
      </c>
      <c r="B7" s="13" t="s">
        <v>141</v>
      </c>
      <c r="C7" s="693">
        <f>'Area&amp;production data'!F7</f>
        <v>0</v>
      </c>
      <c r="D7" s="693">
        <f>'Area&amp;production data'!G7</f>
        <v>0</v>
      </c>
      <c r="E7" s="693">
        <f>'Area&amp;production data'!H7</f>
        <v>0</v>
      </c>
      <c r="F7" s="693">
        <f>'Area&amp;production data'!I7</f>
        <v>0</v>
      </c>
      <c r="G7" s="693">
        <f>'Area&amp;production data'!J7</f>
        <v>0</v>
      </c>
      <c r="H7" s="693">
        <f>'Area&amp;production data'!K7</f>
        <v>0</v>
      </c>
      <c r="I7" s="693">
        <f>'Area&amp;production data'!L7</f>
        <v>0</v>
      </c>
      <c r="J7" s="693">
        <f>'Area&amp;production data'!M7</f>
        <v>0</v>
      </c>
      <c r="K7" s="693">
        <f>'Area&amp;production data'!N7</f>
        <v>0</v>
      </c>
      <c r="L7" s="693">
        <f>'Area&amp;production data'!O7</f>
        <v>0</v>
      </c>
      <c r="M7" s="274">
        <f t="shared" si="0"/>
        <v>0</v>
      </c>
      <c r="N7" s="275">
        <f t="shared" si="1"/>
        <v>0</v>
      </c>
      <c r="O7" s="695">
        <f>'Area&amp;production data'!AW7</f>
        <v>0</v>
      </c>
      <c r="P7" s="695">
        <f>'Area&amp;production data'!AX7</f>
        <v>0</v>
      </c>
      <c r="Q7" s="695">
        <f>'Area&amp;production data'!AY7</f>
        <v>0</v>
      </c>
      <c r="R7" s="420">
        <f>'Area&amp;production data'!AZ7</f>
        <v>0</v>
      </c>
      <c r="S7" s="695">
        <f>'Area&amp;production data'!BA7</f>
        <v>0</v>
      </c>
      <c r="T7" s="695">
        <f>'Area&amp;production data'!BB7</f>
        <v>0</v>
      </c>
      <c r="U7" s="695">
        <f>'Area&amp;production data'!BC7</f>
        <v>0</v>
      </c>
      <c r="V7" s="420">
        <f>'Area&amp;production data'!BD7</f>
        <v>0</v>
      </c>
      <c r="W7" s="695">
        <f>'Area&amp;production data'!BE7</f>
        <v>0</v>
      </c>
      <c r="X7" s="695">
        <f>'Area&amp;production data'!BF7</f>
        <v>0</v>
      </c>
      <c r="Y7" s="695">
        <f>'Area&amp;production data'!BG7</f>
        <v>0</v>
      </c>
      <c r="Z7" s="420">
        <f>'Area&amp;production data'!BH7</f>
        <v>0</v>
      </c>
      <c r="AA7" s="695">
        <f>'Area&amp;production data'!BI7</f>
        <v>0</v>
      </c>
      <c r="AB7" s="695">
        <f>'Area&amp;production data'!BJ7</f>
        <v>0</v>
      </c>
      <c r="AC7" s="695">
        <f>'Area&amp;production data'!BK7</f>
        <v>0</v>
      </c>
      <c r="AD7" s="420">
        <f>'Area&amp;production data'!BL7</f>
        <v>0</v>
      </c>
      <c r="AE7" s="695">
        <f>'Area&amp;production data'!BM7</f>
        <v>0</v>
      </c>
      <c r="AF7" s="695">
        <f>'Area&amp;production data'!BN7</f>
        <v>0</v>
      </c>
      <c r="AG7" s="695">
        <f>'Area&amp;production data'!BO7</f>
        <v>0</v>
      </c>
      <c r="AH7" s="420">
        <f>'Area&amp;production data'!BP7</f>
        <v>0</v>
      </c>
      <c r="AI7" s="695">
        <f>'Area&amp;production data'!BQ7</f>
        <v>0</v>
      </c>
      <c r="AJ7" s="695">
        <f>'Area&amp;production data'!BR7</f>
        <v>0</v>
      </c>
      <c r="AK7" s="695">
        <f>'Area&amp;production data'!BS7</f>
        <v>0</v>
      </c>
      <c r="AL7" s="420">
        <f>'Area&amp;production data'!BT7</f>
        <v>0</v>
      </c>
      <c r="AM7" s="695">
        <f>'Area&amp;production data'!BU7</f>
        <v>0</v>
      </c>
      <c r="AN7" s="695">
        <f>'Area&amp;production data'!BV7</f>
        <v>0</v>
      </c>
      <c r="AO7" s="695">
        <f>'Area&amp;production data'!BW7</f>
        <v>0</v>
      </c>
      <c r="AP7" s="420">
        <f>'Area&amp;production data'!BX7</f>
        <v>0</v>
      </c>
      <c r="AQ7" s="695">
        <f>'Area&amp;production data'!BY7</f>
        <v>0</v>
      </c>
      <c r="AR7" s="695">
        <f>'Area&amp;production data'!BZ7</f>
        <v>0</v>
      </c>
      <c r="AS7" s="695">
        <f>'Area&amp;production data'!CA7</f>
        <v>0</v>
      </c>
      <c r="AT7" s="420">
        <f>'Area&amp;production data'!CB7</f>
        <v>0</v>
      </c>
      <c r="AU7" s="695">
        <f>'Area&amp;production data'!CC7</f>
        <v>0</v>
      </c>
      <c r="AV7" s="695">
        <f>'Area&amp;production data'!CD7</f>
        <v>0</v>
      </c>
      <c r="AW7" s="695">
        <f>'Area&amp;production data'!CE7</f>
        <v>0</v>
      </c>
      <c r="AX7" s="420">
        <f>'Area&amp;production data'!CF7</f>
        <v>0</v>
      </c>
      <c r="AY7" s="695">
        <f>'Area&amp;production data'!CG7</f>
        <v>0</v>
      </c>
      <c r="AZ7" s="695">
        <f>'Area&amp;production data'!CH7</f>
        <v>0</v>
      </c>
      <c r="BA7" s="695">
        <f>'Area&amp;production data'!CI7</f>
        <v>0</v>
      </c>
      <c r="BB7" s="420">
        <f>'Area&amp;production data'!CJ7</f>
        <v>0</v>
      </c>
      <c r="BC7" s="616" t="e">
        <f>'Area&amp;production data'!CK7</f>
        <v>#DIV/0!</v>
      </c>
      <c r="BD7" s="616" t="e">
        <f>'Area&amp;production data'!CL7</f>
        <v>#DIV/0!</v>
      </c>
      <c r="BE7" s="616" t="e">
        <f>'Area&amp;production data'!CM7</f>
        <v>#DIV/0!</v>
      </c>
      <c r="BF7" s="616" t="e">
        <f>'Area&amp;production data'!CN7</f>
        <v>#DIV/0!</v>
      </c>
      <c r="BG7" s="616" t="e">
        <f>'Area&amp;production data'!CO7</f>
        <v>#DIV/0!</v>
      </c>
      <c r="BH7" s="616" t="e">
        <f>'Area&amp;production data'!CP7</f>
        <v>#DIV/0!</v>
      </c>
      <c r="BI7" s="616" t="e">
        <f>'Area&amp;production data'!CQ7</f>
        <v>#DIV/0!</v>
      </c>
      <c r="BJ7" s="616" t="e">
        <f>'Area&amp;production data'!CR7</f>
        <v>#DIV/0!</v>
      </c>
    </row>
    <row r="8" spans="1:62" x14ac:dyDescent="0.25">
      <c r="A8" s="13">
        <v>4</v>
      </c>
      <c r="B8" s="13" t="s">
        <v>142</v>
      </c>
      <c r="C8" s="693">
        <f>'Area&amp;production data'!F8</f>
        <v>0</v>
      </c>
      <c r="D8" s="693">
        <f>'Area&amp;production data'!G8</f>
        <v>0</v>
      </c>
      <c r="E8" s="693">
        <f>'Area&amp;production data'!H8</f>
        <v>0</v>
      </c>
      <c r="F8" s="693">
        <f>'Area&amp;production data'!I8</f>
        <v>0</v>
      </c>
      <c r="G8" s="693">
        <f>'Area&amp;production data'!J8</f>
        <v>0</v>
      </c>
      <c r="H8" s="693">
        <f>'Area&amp;production data'!K8</f>
        <v>0</v>
      </c>
      <c r="I8" s="693">
        <f>'Area&amp;production data'!L8</f>
        <v>0</v>
      </c>
      <c r="J8" s="693">
        <f>'Area&amp;production data'!M8</f>
        <v>0</v>
      </c>
      <c r="K8" s="693">
        <f>'Area&amp;production data'!N8</f>
        <v>0</v>
      </c>
      <c r="L8" s="693">
        <f>'Area&amp;production data'!O8</f>
        <v>0</v>
      </c>
      <c r="M8" s="274">
        <f t="shared" si="0"/>
        <v>0</v>
      </c>
      <c r="N8" s="275">
        <f t="shared" si="1"/>
        <v>0</v>
      </c>
      <c r="O8" s="695">
        <f>'Area&amp;production data'!AW8</f>
        <v>0</v>
      </c>
      <c r="P8" s="695">
        <f>'Area&amp;production data'!AX8</f>
        <v>0</v>
      </c>
      <c r="Q8" s="695">
        <f>'Area&amp;production data'!AY8</f>
        <v>0</v>
      </c>
      <c r="R8" s="420">
        <f>'Area&amp;production data'!AZ8</f>
        <v>0</v>
      </c>
      <c r="S8" s="695">
        <f>'Area&amp;production data'!BA8</f>
        <v>0</v>
      </c>
      <c r="T8" s="695">
        <f>'Area&amp;production data'!BB8</f>
        <v>0</v>
      </c>
      <c r="U8" s="695">
        <f>'Area&amp;production data'!BC8</f>
        <v>0</v>
      </c>
      <c r="V8" s="420">
        <f>'Area&amp;production data'!BD8</f>
        <v>0</v>
      </c>
      <c r="W8" s="695">
        <f>'Area&amp;production data'!BE8</f>
        <v>0</v>
      </c>
      <c r="X8" s="695">
        <f>'Area&amp;production data'!BF8</f>
        <v>0</v>
      </c>
      <c r="Y8" s="695">
        <f>'Area&amp;production data'!BG8</f>
        <v>0</v>
      </c>
      <c r="Z8" s="420">
        <f>'Area&amp;production data'!BH8</f>
        <v>0</v>
      </c>
      <c r="AA8" s="695">
        <f>'Area&amp;production data'!BI8</f>
        <v>0</v>
      </c>
      <c r="AB8" s="695">
        <f>'Area&amp;production data'!BJ8</f>
        <v>0</v>
      </c>
      <c r="AC8" s="695">
        <f>'Area&amp;production data'!BK8</f>
        <v>0</v>
      </c>
      <c r="AD8" s="420">
        <f>'Area&amp;production data'!BL8</f>
        <v>0</v>
      </c>
      <c r="AE8" s="695">
        <f>'Area&amp;production data'!BM8</f>
        <v>0</v>
      </c>
      <c r="AF8" s="695">
        <f>'Area&amp;production data'!BN8</f>
        <v>0</v>
      </c>
      <c r="AG8" s="695">
        <f>'Area&amp;production data'!BO8</f>
        <v>0</v>
      </c>
      <c r="AH8" s="420">
        <f>'Area&amp;production data'!BP8</f>
        <v>0</v>
      </c>
      <c r="AI8" s="695">
        <f>'Area&amp;production data'!BQ8</f>
        <v>0</v>
      </c>
      <c r="AJ8" s="695">
        <f>'Area&amp;production data'!BR8</f>
        <v>0</v>
      </c>
      <c r="AK8" s="695">
        <f>'Area&amp;production data'!BS8</f>
        <v>0</v>
      </c>
      <c r="AL8" s="420">
        <f>'Area&amp;production data'!BT8</f>
        <v>0</v>
      </c>
      <c r="AM8" s="695">
        <f>'Area&amp;production data'!BU8</f>
        <v>0</v>
      </c>
      <c r="AN8" s="695">
        <f>'Area&amp;production data'!BV8</f>
        <v>0</v>
      </c>
      <c r="AO8" s="695">
        <f>'Area&amp;production data'!BW8</f>
        <v>0</v>
      </c>
      <c r="AP8" s="420">
        <f>'Area&amp;production data'!BX8</f>
        <v>0</v>
      </c>
      <c r="AQ8" s="695">
        <f>'Area&amp;production data'!BY8</f>
        <v>0</v>
      </c>
      <c r="AR8" s="695">
        <f>'Area&amp;production data'!BZ8</f>
        <v>0</v>
      </c>
      <c r="AS8" s="695">
        <f>'Area&amp;production data'!CA8</f>
        <v>0</v>
      </c>
      <c r="AT8" s="420">
        <f>'Area&amp;production data'!CB8</f>
        <v>0</v>
      </c>
      <c r="AU8" s="695">
        <f>'Area&amp;production data'!CC8</f>
        <v>0</v>
      </c>
      <c r="AV8" s="695">
        <f>'Area&amp;production data'!CD8</f>
        <v>0</v>
      </c>
      <c r="AW8" s="695">
        <f>'Area&amp;production data'!CE8</f>
        <v>0</v>
      </c>
      <c r="AX8" s="420">
        <f>'Area&amp;production data'!CF8</f>
        <v>0</v>
      </c>
      <c r="AY8" s="695">
        <f>'Area&amp;production data'!CG8</f>
        <v>0</v>
      </c>
      <c r="AZ8" s="695">
        <f>'Area&amp;production data'!CH8</f>
        <v>0</v>
      </c>
      <c r="BA8" s="695">
        <f>'Area&amp;production data'!CI8</f>
        <v>0</v>
      </c>
      <c r="BB8" s="420">
        <f>'Area&amp;production data'!CJ8</f>
        <v>0</v>
      </c>
      <c r="BC8" s="616" t="e">
        <f>'Area&amp;production data'!CK8</f>
        <v>#DIV/0!</v>
      </c>
      <c r="BD8" s="616" t="e">
        <f>'Area&amp;production data'!CL8</f>
        <v>#DIV/0!</v>
      </c>
      <c r="BE8" s="616" t="e">
        <f>'Area&amp;production data'!CM8</f>
        <v>#DIV/0!</v>
      </c>
      <c r="BF8" s="616" t="e">
        <f>'Area&amp;production data'!CN8</f>
        <v>#DIV/0!</v>
      </c>
      <c r="BG8" s="616" t="e">
        <f>'Area&amp;production data'!CO8</f>
        <v>#DIV/0!</v>
      </c>
      <c r="BH8" s="616" t="e">
        <f>'Area&amp;production data'!CP8</f>
        <v>#DIV/0!</v>
      </c>
      <c r="BI8" s="616" t="e">
        <f>'Area&amp;production data'!CQ8</f>
        <v>#DIV/0!</v>
      </c>
      <c r="BJ8" s="616" t="e">
        <f>'Area&amp;production data'!CR8</f>
        <v>#DIV/0!</v>
      </c>
    </row>
    <row r="9" spans="1:62" x14ac:dyDescent="0.25">
      <c r="A9" s="13">
        <v>5</v>
      </c>
      <c r="B9" s="13" t="s">
        <v>143</v>
      </c>
      <c r="C9" s="693">
        <f>'Area&amp;production data'!F9</f>
        <v>0</v>
      </c>
      <c r="D9" s="693">
        <f>'Area&amp;production data'!G9</f>
        <v>0</v>
      </c>
      <c r="E9" s="693">
        <f>'Area&amp;production data'!H9</f>
        <v>0</v>
      </c>
      <c r="F9" s="693">
        <f>'Area&amp;production data'!I9</f>
        <v>0</v>
      </c>
      <c r="G9" s="693">
        <f>'Area&amp;production data'!J9</f>
        <v>0</v>
      </c>
      <c r="H9" s="693">
        <f>'Area&amp;production data'!K9</f>
        <v>0</v>
      </c>
      <c r="I9" s="693">
        <f>'Area&amp;production data'!L9</f>
        <v>0</v>
      </c>
      <c r="J9" s="693">
        <f>'Area&amp;production data'!M9</f>
        <v>0</v>
      </c>
      <c r="K9" s="693">
        <f>'Area&amp;production data'!N9</f>
        <v>0</v>
      </c>
      <c r="L9" s="693">
        <f>'Area&amp;production data'!O9</f>
        <v>0</v>
      </c>
      <c r="M9" s="274">
        <f t="shared" si="0"/>
        <v>0</v>
      </c>
      <c r="N9" s="275">
        <f t="shared" si="1"/>
        <v>0</v>
      </c>
      <c r="O9" s="695">
        <f>'Area&amp;production data'!AW9</f>
        <v>0</v>
      </c>
      <c r="P9" s="695">
        <f>'Area&amp;production data'!AX9</f>
        <v>0</v>
      </c>
      <c r="Q9" s="695">
        <f>'Area&amp;production data'!AY9</f>
        <v>0</v>
      </c>
      <c r="R9" s="420">
        <f>'Area&amp;production data'!AZ9</f>
        <v>0</v>
      </c>
      <c r="S9" s="695">
        <f>'Area&amp;production data'!BA9</f>
        <v>0</v>
      </c>
      <c r="T9" s="695">
        <f>'Area&amp;production data'!BB9</f>
        <v>0</v>
      </c>
      <c r="U9" s="695">
        <f>'Area&amp;production data'!BC9</f>
        <v>0</v>
      </c>
      <c r="V9" s="420">
        <f>'Area&amp;production data'!BD9</f>
        <v>0</v>
      </c>
      <c r="W9" s="695">
        <f>'Area&amp;production data'!BE9</f>
        <v>0</v>
      </c>
      <c r="X9" s="695">
        <f>'Area&amp;production data'!BF9</f>
        <v>0</v>
      </c>
      <c r="Y9" s="695">
        <f>'Area&amp;production data'!BG9</f>
        <v>0</v>
      </c>
      <c r="Z9" s="420">
        <f>'Area&amp;production data'!BH9</f>
        <v>0</v>
      </c>
      <c r="AA9" s="695">
        <f>'Area&amp;production data'!BI9</f>
        <v>0</v>
      </c>
      <c r="AB9" s="695">
        <f>'Area&amp;production data'!BJ9</f>
        <v>0</v>
      </c>
      <c r="AC9" s="695">
        <f>'Area&amp;production data'!BK9</f>
        <v>0</v>
      </c>
      <c r="AD9" s="420">
        <f>'Area&amp;production data'!BL9</f>
        <v>0</v>
      </c>
      <c r="AE9" s="695">
        <f>'Area&amp;production data'!BM9</f>
        <v>0</v>
      </c>
      <c r="AF9" s="695">
        <f>'Area&amp;production data'!BN9</f>
        <v>0</v>
      </c>
      <c r="AG9" s="695">
        <f>'Area&amp;production data'!BO9</f>
        <v>0</v>
      </c>
      <c r="AH9" s="420">
        <f>'Area&amp;production data'!BP9</f>
        <v>0</v>
      </c>
      <c r="AI9" s="695">
        <f>'Area&amp;production data'!BQ9</f>
        <v>0</v>
      </c>
      <c r="AJ9" s="695">
        <f>'Area&amp;production data'!BR9</f>
        <v>0</v>
      </c>
      <c r="AK9" s="695">
        <f>'Area&amp;production data'!BS9</f>
        <v>0</v>
      </c>
      <c r="AL9" s="420">
        <f>'Area&amp;production data'!BT9</f>
        <v>0</v>
      </c>
      <c r="AM9" s="695">
        <f>'Area&amp;production data'!BU9</f>
        <v>0</v>
      </c>
      <c r="AN9" s="695">
        <f>'Area&amp;production data'!BV9</f>
        <v>0</v>
      </c>
      <c r="AO9" s="695">
        <f>'Area&amp;production data'!BW9</f>
        <v>0</v>
      </c>
      <c r="AP9" s="420">
        <f>'Area&amp;production data'!BX9</f>
        <v>0</v>
      </c>
      <c r="AQ9" s="695">
        <f>'Area&amp;production data'!BY9</f>
        <v>0</v>
      </c>
      <c r="AR9" s="695">
        <f>'Area&amp;production data'!BZ9</f>
        <v>0</v>
      </c>
      <c r="AS9" s="695">
        <f>'Area&amp;production data'!CA9</f>
        <v>0</v>
      </c>
      <c r="AT9" s="420">
        <f>'Area&amp;production data'!CB9</f>
        <v>0</v>
      </c>
      <c r="AU9" s="695">
        <f>'Area&amp;production data'!CC9</f>
        <v>0</v>
      </c>
      <c r="AV9" s="695">
        <f>'Area&amp;production data'!CD9</f>
        <v>0</v>
      </c>
      <c r="AW9" s="695">
        <f>'Area&amp;production data'!CE9</f>
        <v>0</v>
      </c>
      <c r="AX9" s="420">
        <f>'Area&amp;production data'!CF9</f>
        <v>0</v>
      </c>
      <c r="AY9" s="695">
        <f>'Area&amp;production data'!CG9</f>
        <v>0</v>
      </c>
      <c r="AZ9" s="695">
        <f>'Area&amp;production data'!CH9</f>
        <v>0</v>
      </c>
      <c r="BA9" s="695">
        <f>'Area&amp;production data'!CI9</f>
        <v>0</v>
      </c>
      <c r="BB9" s="420">
        <f>'Area&amp;production data'!CJ9</f>
        <v>0</v>
      </c>
      <c r="BC9" s="616" t="e">
        <f>'Area&amp;production data'!CK9</f>
        <v>#DIV/0!</v>
      </c>
      <c r="BD9" s="616" t="e">
        <f>'Area&amp;production data'!CL9</f>
        <v>#DIV/0!</v>
      </c>
      <c r="BE9" s="616" t="e">
        <f>'Area&amp;production data'!CM9</f>
        <v>#DIV/0!</v>
      </c>
      <c r="BF9" s="616" t="e">
        <f>'Area&amp;production data'!CN9</f>
        <v>#DIV/0!</v>
      </c>
      <c r="BG9" s="616" t="e">
        <f>'Area&amp;production data'!CO9</f>
        <v>#DIV/0!</v>
      </c>
      <c r="BH9" s="616" t="e">
        <f>'Area&amp;production data'!CP9</f>
        <v>#DIV/0!</v>
      </c>
      <c r="BI9" s="616" t="e">
        <f>'Area&amp;production data'!CQ9</f>
        <v>#DIV/0!</v>
      </c>
      <c r="BJ9" s="616" t="e">
        <f>'Area&amp;production data'!CR9</f>
        <v>#DIV/0!</v>
      </c>
    </row>
    <row r="10" spans="1:62" x14ac:dyDescent="0.25">
      <c r="A10" s="13">
        <v>6</v>
      </c>
      <c r="B10" s="13" t="s">
        <v>144</v>
      </c>
      <c r="C10" s="693">
        <f>'Area&amp;production data'!F10</f>
        <v>0</v>
      </c>
      <c r="D10" s="693">
        <f>'Area&amp;production data'!G10</f>
        <v>0</v>
      </c>
      <c r="E10" s="693">
        <f>'Area&amp;production data'!H10</f>
        <v>0</v>
      </c>
      <c r="F10" s="693">
        <f>'Area&amp;production data'!I10</f>
        <v>0</v>
      </c>
      <c r="G10" s="693">
        <f>'Area&amp;production data'!J10</f>
        <v>0</v>
      </c>
      <c r="H10" s="693">
        <f>'Area&amp;production data'!K10</f>
        <v>0</v>
      </c>
      <c r="I10" s="693">
        <f>'Area&amp;production data'!L10</f>
        <v>0</v>
      </c>
      <c r="J10" s="693">
        <f>'Area&amp;production data'!M10</f>
        <v>0</v>
      </c>
      <c r="K10" s="693">
        <f>'Area&amp;production data'!N10</f>
        <v>0</v>
      </c>
      <c r="L10" s="693">
        <f>'Area&amp;production data'!O10</f>
        <v>0</v>
      </c>
      <c r="M10" s="274">
        <f t="shared" si="0"/>
        <v>0</v>
      </c>
      <c r="N10" s="275">
        <f t="shared" si="1"/>
        <v>0</v>
      </c>
      <c r="O10" s="695">
        <f>'Area&amp;production data'!AW10</f>
        <v>0</v>
      </c>
      <c r="P10" s="695">
        <f>'Area&amp;production data'!AX10</f>
        <v>0</v>
      </c>
      <c r="Q10" s="695">
        <f>'Area&amp;production data'!AY10</f>
        <v>0</v>
      </c>
      <c r="R10" s="420">
        <f>'Area&amp;production data'!AZ10</f>
        <v>0</v>
      </c>
      <c r="S10" s="695">
        <f>'Area&amp;production data'!BA10</f>
        <v>0</v>
      </c>
      <c r="T10" s="695">
        <f>'Area&amp;production data'!BB10</f>
        <v>0</v>
      </c>
      <c r="U10" s="695">
        <f>'Area&amp;production data'!BC10</f>
        <v>0</v>
      </c>
      <c r="V10" s="420">
        <f>'Area&amp;production data'!BD10</f>
        <v>0</v>
      </c>
      <c r="W10" s="695">
        <f>'Area&amp;production data'!BE10</f>
        <v>0</v>
      </c>
      <c r="X10" s="695">
        <f>'Area&amp;production data'!BF10</f>
        <v>0</v>
      </c>
      <c r="Y10" s="695">
        <f>'Area&amp;production data'!BG10</f>
        <v>0</v>
      </c>
      <c r="Z10" s="420">
        <f>'Area&amp;production data'!BH10</f>
        <v>0</v>
      </c>
      <c r="AA10" s="695">
        <f>'Area&amp;production data'!BI10</f>
        <v>0</v>
      </c>
      <c r="AB10" s="695">
        <f>'Area&amp;production data'!BJ10</f>
        <v>0</v>
      </c>
      <c r="AC10" s="695">
        <f>'Area&amp;production data'!BK10</f>
        <v>0</v>
      </c>
      <c r="AD10" s="420">
        <f>'Area&amp;production data'!BL10</f>
        <v>0</v>
      </c>
      <c r="AE10" s="695">
        <f>'Area&amp;production data'!BM10</f>
        <v>0</v>
      </c>
      <c r="AF10" s="695">
        <f>'Area&amp;production data'!BN10</f>
        <v>0</v>
      </c>
      <c r="AG10" s="695">
        <f>'Area&amp;production data'!BO10</f>
        <v>0</v>
      </c>
      <c r="AH10" s="420">
        <f>'Area&amp;production data'!BP10</f>
        <v>0</v>
      </c>
      <c r="AI10" s="695">
        <f>'Area&amp;production data'!BQ10</f>
        <v>0</v>
      </c>
      <c r="AJ10" s="695">
        <f>'Area&amp;production data'!BR10</f>
        <v>0</v>
      </c>
      <c r="AK10" s="695">
        <f>'Area&amp;production data'!BS10</f>
        <v>0</v>
      </c>
      <c r="AL10" s="420">
        <f>'Area&amp;production data'!BT10</f>
        <v>0</v>
      </c>
      <c r="AM10" s="695">
        <f>'Area&amp;production data'!BU10</f>
        <v>0</v>
      </c>
      <c r="AN10" s="695">
        <f>'Area&amp;production data'!BV10</f>
        <v>0</v>
      </c>
      <c r="AO10" s="695">
        <f>'Area&amp;production data'!BW10</f>
        <v>0</v>
      </c>
      <c r="AP10" s="420">
        <f>'Area&amp;production data'!BX10</f>
        <v>0</v>
      </c>
      <c r="AQ10" s="695">
        <f>'Area&amp;production data'!BY10</f>
        <v>0</v>
      </c>
      <c r="AR10" s="695">
        <f>'Area&amp;production data'!BZ10</f>
        <v>0</v>
      </c>
      <c r="AS10" s="695">
        <f>'Area&amp;production data'!CA10</f>
        <v>0</v>
      </c>
      <c r="AT10" s="420">
        <f>'Area&amp;production data'!CB10</f>
        <v>0</v>
      </c>
      <c r="AU10" s="695">
        <f>'Area&amp;production data'!CC10</f>
        <v>0</v>
      </c>
      <c r="AV10" s="695">
        <f>'Area&amp;production data'!CD10</f>
        <v>0</v>
      </c>
      <c r="AW10" s="695">
        <f>'Area&amp;production data'!CE10</f>
        <v>0</v>
      </c>
      <c r="AX10" s="420">
        <f>'Area&amp;production data'!CF10</f>
        <v>0</v>
      </c>
      <c r="AY10" s="695">
        <f>'Area&amp;production data'!CG10</f>
        <v>0</v>
      </c>
      <c r="AZ10" s="695">
        <f>'Area&amp;production data'!CH10</f>
        <v>0</v>
      </c>
      <c r="BA10" s="695">
        <f>'Area&amp;production data'!CI10</f>
        <v>0</v>
      </c>
      <c r="BB10" s="420">
        <f>'Area&amp;production data'!CJ10</f>
        <v>0</v>
      </c>
      <c r="BC10" s="616" t="e">
        <f>'Area&amp;production data'!CK10</f>
        <v>#DIV/0!</v>
      </c>
      <c r="BD10" s="616" t="e">
        <f>'Area&amp;production data'!CL10</f>
        <v>#DIV/0!</v>
      </c>
      <c r="BE10" s="616" t="e">
        <f>'Area&amp;production data'!CM10</f>
        <v>#DIV/0!</v>
      </c>
      <c r="BF10" s="616" t="e">
        <f>'Area&amp;production data'!CN10</f>
        <v>#DIV/0!</v>
      </c>
      <c r="BG10" s="616" t="e">
        <f>'Area&amp;production data'!CO10</f>
        <v>#DIV/0!</v>
      </c>
      <c r="BH10" s="616" t="e">
        <f>'Area&amp;production data'!CP10</f>
        <v>#DIV/0!</v>
      </c>
      <c r="BI10" s="616" t="e">
        <f>'Area&amp;production data'!CQ10</f>
        <v>#DIV/0!</v>
      </c>
      <c r="BJ10" s="616" t="e">
        <f>'Area&amp;production data'!CR10</f>
        <v>#DIV/0!</v>
      </c>
    </row>
    <row r="11" spans="1:62" x14ac:dyDescent="0.25">
      <c r="A11" s="13">
        <v>7</v>
      </c>
      <c r="B11" s="13" t="s">
        <v>145</v>
      </c>
      <c r="C11" s="693">
        <f>'Area&amp;production data'!F11</f>
        <v>0</v>
      </c>
      <c r="D11" s="693">
        <f>'Area&amp;production data'!G11</f>
        <v>0</v>
      </c>
      <c r="E11" s="693">
        <f>'Area&amp;production data'!H11</f>
        <v>0</v>
      </c>
      <c r="F11" s="693">
        <f>'Area&amp;production data'!I11</f>
        <v>0</v>
      </c>
      <c r="G11" s="693">
        <f>'Area&amp;production data'!J11</f>
        <v>0</v>
      </c>
      <c r="H11" s="693">
        <f>'Area&amp;production data'!K11</f>
        <v>0</v>
      </c>
      <c r="I11" s="693">
        <f>'Area&amp;production data'!L11</f>
        <v>0</v>
      </c>
      <c r="J11" s="693">
        <f>'Area&amp;production data'!M11</f>
        <v>0</v>
      </c>
      <c r="K11" s="693">
        <f>'Area&amp;production data'!N11</f>
        <v>0</v>
      </c>
      <c r="L11" s="693">
        <f>'Area&amp;production data'!O11</f>
        <v>0</v>
      </c>
      <c r="M11" s="274">
        <f t="shared" si="0"/>
        <v>0</v>
      </c>
      <c r="N11" s="275">
        <f t="shared" si="1"/>
        <v>0</v>
      </c>
      <c r="O11" s="695">
        <f>'Area&amp;production data'!AW11</f>
        <v>0</v>
      </c>
      <c r="P11" s="695">
        <f>'Area&amp;production data'!AX11</f>
        <v>0</v>
      </c>
      <c r="Q11" s="695">
        <f>'Area&amp;production data'!AY11</f>
        <v>0</v>
      </c>
      <c r="R11" s="420">
        <f>'Area&amp;production data'!AZ11</f>
        <v>0</v>
      </c>
      <c r="S11" s="695">
        <f>'Area&amp;production data'!BA11</f>
        <v>0</v>
      </c>
      <c r="T11" s="695">
        <f>'Area&amp;production data'!BB11</f>
        <v>0</v>
      </c>
      <c r="U11" s="695">
        <f>'Area&amp;production data'!BC11</f>
        <v>0</v>
      </c>
      <c r="V11" s="420">
        <f>'Area&amp;production data'!BD11</f>
        <v>0</v>
      </c>
      <c r="W11" s="695">
        <f>'Area&amp;production data'!BE11</f>
        <v>0</v>
      </c>
      <c r="X11" s="695">
        <f>'Area&amp;production data'!BF11</f>
        <v>0</v>
      </c>
      <c r="Y11" s="695">
        <f>'Area&amp;production data'!BG11</f>
        <v>0</v>
      </c>
      <c r="Z11" s="420">
        <f>'Area&amp;production data'!BH11</f>
        <v>0</v>
      </c>
      <c r="AA11" s="695">
        <f>'Area&amp;production data'!BI11</f>
        <v>0</v>
      </c>
      <c r="AB11" s="695">
        <f>'Area&amp;production data'!BJ11</f>
        <v>0</v>
      </c>
      <c r="AC11" s="695">
        <f>'Area&amp;production data'!BK11</f>
        <v>0</v>
      </c>
      <c r="AD11" s="420">
        <f>'Area&amp;production data'!BL11</f>
        <v>0</v>
      </c>
      <c r="AE11" s="695">
        <f>'Area&amp;production data'!BM11</f>
        <v>0</v>
      </c>
      <c r="AF11" s="695">
        <f>'Area&amp;production data'!BN11</f>
        <v>0</v>
      </c>
      <c r="AG11" s="695">
        <f>'Area&amp;production data'!BO11</f>
        <v>0</v>
      </c>
      <c r="AH11" s="420">
        <f>'Area&amp;production data'!BP11</f>
        <v>0</v>
      </c>
      <c r="AI11" s="695">
        <f>'Area&amp;production data'!BQ11</f>
        <v>0</v>
      </c>
      <c r="AJ11" s="695">
        <f>'Area&amp;production data'!BR11</f>
        <v>0</v>
      </c>
      <c r="AK11" s="695">
        <f>'Area&amp;production data'!BS11</f>
        <v>0</v>
      </c>
      <c r="AL11" s="420">
        <f>'Area&amp;production data'!BT11</f>
        <v>0</v>
      </c>
      <c r="AM11" s="695">
        <f>'Area&amp;production data'!BU11</f>
        <v>0</v>
      </c>
      <c r="AN11" s="695">
        <f>'Area&amp;production data'!BV11</f>
        <v>0</v>
      </c>
      <c r="AO11" s="695">
        <f>'Area&amp;production data'!BW11</f>
        <v>0</v>
      </c>
      <c r="AP11" s="420">
        <f>'Area&amp;production data'!BX11</f>
        <v>0</v>
      </c>
      <c r="AQ11" s="695">
        <f>'Area&amp;production data'!BY11</f>
        <v>0</v>
      </c>
      <c r="AR11" s="695">
        <f>'Area&amp;production data'!BZ11</f>
        <v>0</v>
      </c>
      <c r="AS11" s="695">
        <f>'Area&amp;production data'!CA11</f>
        <v>0</v>
      </c>
      <c r="AT11" s="420">
        <f>'Area&amp;production data'!CB11</f>
        <v>0</v>
      </c>
      <c r="AU11" s="695">
        <f>'Area&amp;production data'!CC11</f>
        <v>0</v>
      </c>
      <c r="AV11" s="695">
        <f>'Area&amp;production data'!CD11</f>
        <v>0</v>
      </c>
      <c r="AW11" s="695">
        <f>'Area&amp;production data'!CE11</f>
        <v>0</v>
      </c>
      <c r="AX11" s="420">
        <f>'Area&amp;production data'!CF11</f>
        <v>0</v>
      </c>
      <c r="AY11" s="695">
        <f>'Area&amp;production data'!CG11</f>
        <v>0</v>
      </c>
      <c r="AZ11" s="695">
        <f>'Area&amp;production data'!CH11</f>
        <v>0</v>
      </c>
      <c r="BA11" s="695">
        <f>'Area&amp;production data'!CI11</f>
        <v>0</v>
      </c>
      <c r="BB11" s="420">
        <f>'Area&amp;production data'!CJ11</f>
        <v>0</v>
      </c>
      <c r="BC11" s="616" t="e">
        <f>'Area&amp;production data'!CK11</f>
        <v>#DIV/0!</v>
      </c>
      <c r="BD11" s="616" t="e">
        <f>'Area&amp;production data'!CL11</f>
        <v>#DIV/0!</v>
      </c>
      <c r="BE11" s="616" t="e">
        <f>'Area&amp;production data'!CM11</f>
        <v>#DIV/0!</v>
      </c>
      <c r="BF11" s="616" t="e">
        <f>'Area&amp;production data'!CN11</f>
        <v>#DIV/0!</v>
      </c>
      <c r="BG11" s="616" t="e">
        <f>'Area&amp;production data'!CO11</f>
        <v>#DIV/0!</v>
      </c>
      <c r="BH11" s="616" t="e">
        <f>'Area&amp;production data'!CP11</f>
        <v>#DIV/0!</v>
      </c>
      <c r="BI11" s="616" t="e">
        <f>'Area&amp;production data'!CQ11</f>
        <v>#DIV/0!</v>
      </c>
      <c r="BJ11" s="616" t="e">
        <f>'Area&amp;production data'!CR11</f>
        <v>#DIV/0!</v>
      </c>
    </row>
    <row r="12" spans="1:62" x14ac:dyDescent="0.25">
      <c r="A12" s="13">
        <v>8</v>
      </c>
      <c r="B12" s="13" t="s">
        <v>146</v>
      </c>
      <c r="C12" s="693">
        <f>'Area&amp;production data'!F12</f>
        <v>0</v>
      </c>
      <c r="D12" s="693">
        <f>'Area&amp;production data'!G12</f>
        <v>0</v>
      </c>
      <c r="E12" s="693">
        <f>'Area&amp;production data'!H12</f>
        <v>0</v>
      </c>
      <c r="F12" s="693">
        <f>'Area&amp;production data'!I12</f>
        <v>0</v>
      </c>
      <c r="G12" s="693">
        <f>'Area&amp;production data'!J12</f>
        <v>0</v>
      </c>
      <c r="H12" s="693">
        <f>'Area&amp;production data'!K12</f>
        <v>0</v>
      </c>
      <c r="I12" s="693">
        <f>'Area&amp;production data'!L12</f>
        <v>0</v>
      </c>
      <c r="J12" s="693">
        <f>'Area&amp;production data'!M12</f>
        <v>0</v>
      </c>
      <c r="K12" s="693">
        <f>'Area&amp;production data'!N12</f>
        <v>0</v>
      </c>
      <c r="L12" s="693">
        <f>'Area&amp;production data'!O12</f>
        <v>0</v>
      </c>
      <c r="M12" s="274">
        <f t="shared" si="0"/>
        <v>0</v>
      </c>
      <c r="N12" s="275">
        <f t="shared" si="1"/>
        <v>0</v>
      </c>
      <c r="O12" s="695">
        <f>'Area&amp;production data'!AW12</f>
        <v>0</v>
      </c>
      <c r="P12" s="695">
        <f>'Area&amp;production data'!AX12</f>
        <v>0</v>
      </c>
      <c r="Q12" s="695">
        <f>'Area&amp;production data'!AY12</f>
        <v>0</v>
      </c>
      <c r="R12" s="420">
        <f>'Area&amp;production data'!AZ12</f>
        <v>0</v>
      </c>
      <c r="S12" s="695">
        <f>'Area&amp;production data'!BA12</f>
        <v>0</v>
      </c>
      <c r="T12" s="695">
        <f>'Area&amp;production data'!BB12</f>
        <v>0</v>
      </c>
      <c r="U12" s="695">
        <f>'Area&amp;production data'!BC12</f>
        <v>0</v>
      </c>
      <c r="V12" s="420">
        <f>'Area&amp;production data'!BD12</f>
        <v>0</v>
      </c>
      <c r="W12" s="695">
        <f>'Area&amp;production data'!BE12</f>
        <v>0</v>
      </c>
      <c r="X12" s="695">
        <f>'Area&amp;production data'!BF12</f>
        <v>0</v>
      </c>
      <c r="Y12" s="695">
        <f>'Area&amp;production data'!BG12</f>
        <v>0</v>
      </c>
      <c r="Z12" s="420">
        <f>'Area&amp;production data'!BH12</f>
        <v>0</v>
      </c>
      <c r="AA12" s="695">
        <f>'Area&amp;production data'!BI12</f>
        <v>0</v>
      </c>
      <c r="AB12" s="695">
        <f>'Area&amp;production data'!BJ12</f>
        <v>0</v>
      </c>
      <c r="AC12" s="695">
        <f>'Area&amp;production data'!BK12</f>
        <v>0</v>
      </c>
      <c r="AD12" s="420">
        <f>'Area&amp;production data'!BL12</f>
        <v>0</v>
      </c>
      <c r="AE12" s="695">
        <f>'Area&amp;production data'!BM12</f>
        <v>0</v>
      </c>
      <c r="AF12" s="695">
        <f>'Area&amp;production data'!BN12</f>
        <v>0</v>
      </c>
      <c r="AG12" s="695">
        <f>'Area&amp;production data'!BO12</f>
        <v>0</v>
      </c>
      <c r="AH12" s="420">
        <f>'Area&amp;production data'!BP12</f>
        <v>0</v>
      </c>
      <c r="AI12" s="695">
        <f>'Area&amp;production data'!BQ12</f>
        <v>0</v>
      </c>
      <c r="AJ12" s="695">
        <f>'Area&amp;production data'!BR12</f>
        <v>0</v>
      </c>
      <c r="AK12" s="695">
        <f>'Area&amp;production data'!BS12</f>
        <v>0</v>
      </c>
      <c r="AL12" s="420">
        <f>'Area&amp;production data'!BT12</f>
        <v>0</v>
      </c>
      <c r="AM12" s="695">
        <f>'Area&amp;production data'!BU12</f>
        <v>0</v>
      </c>
      <c r="AN12" s="695">
        <f>'Area&amp;production data'!BV12</f>
        <v>0</v>
      </c>
      <c r="AO12" s="695">
        <f>'Area&amp;production data'!BW12</f>
        <v>0</v>
      </c>
      <c r="AP12" s="420">
        <f>'Area&amp;production data'!BX12</f>
        <v>0</v>
      </c>
      <c r="AQ12" s="695">
        <f>'Area&amp;production data'!BY12</f>
        <v>0</v>
      </c>
      <c r="AR12" s="695">
        <f>'Area&amp;production data'!BZ12</f>
        <v>0</v>
      </c>
      <c r="AS12" s="695">
        <f>'Area&amp;production data'!CA12</f>
        <v>0</v>
      </c>
      <c r="AT12" s="420">
        <f>'Area&amp;production data'!CB12</f>
        <v>0</v>
      </c>
      <c r="AU12" s="695">
        <f>'Area&amp;production data'!CC12</f>
        <v>0</v>
      </c>
      <c r="AV12" s="695">
        <f>'Area&amp;production data'!CD12</f>
        <v>0</v>
      </c>
      <c r="AW12" s="695">
        <f>'Area&amp;production data'!CE12</f>
        <v>0</v>
      </c>
      <c r="AX12" s="420">
        <f>'Area&amp;production data'!CF12</f>
        <v>0</v>
      </c>
      <c r="AY12" s="695">
        <f>'Area&amp;production data'!CG12</f>
        <v>0</v>
      </c>
      <c r="AZ12" s="695">
        <f>'Area&amp;production data'!CH12</f>
        <v>0</v>
      </c>
      <c r="BA12" s="695">
        <f>'Area&amp;production data'!CI12</f>
        <v>0</v>
      </c>
      <c r="BB12" s="420">
        <f>'Area&amp;production data'!CJ12</f>
        <v>0</v>
      </c>
      <c r="BC12" s="616" t="e">
        <f>'Area&amp;production data'!CK12</f>
        <v>#DIV/0!</v>
      </c>
      <c r="BD12" s="616" t="e">
        <f>'Area&amp;production data'!CL12</f>
        <v>#DIV/0!</v>
      </c>
      <c r="BE12" s="616" t="e">
        <f>'Area&amp;production data'!CM12</f>
        <v>#DIV/0!</v>
      </c>
      <c r="BF12" s="616" t="e">
        <f>'Area&amp;production data'!CN12</f>
        <v>#DIV/0!</v>
      </c>
      <c r="BG12" s="616" t="e">
        <f>'Area&amp;production data'!CO12</f>
        <v>#DIV/0!</v>
      </c>
      <c r="BH12" s="616" t="e">
        <f>'Area&amp;production data'!CP12</f>
        <v>#DIV/0!</v>
      </c>
      <c r="BI12" s="616" t="e">
        <f>'Area&amp;production data'!CQ12</f>
        <v>#DIV/0!</v>
      </c>
      <c r="BJ12" s="616" t="e">
        <f>'Area&amp;production data'!CR12</f>
        <v>#DIV/0!</v>
      </c>
    </row>
    <row r="13" spans="1:62" x14ac:dyDescent="0.25">
      <c r="A13" s="13">
        <v>9</v>
      </c>
      <c r="B13" s="13" t="s">
        <v>147</v>
      </c>
      <c r="C13" s="693">
        <f>'Area&amp;production data'!F13</f>
        <v>0</v>
      </c>
      <c r="D13" s="693">
        <f>'Area&amp;production data'!G13</f>
        <v>0</v>
      </c>
      <c r="E13" s="693">
        <f>'Area&amp;production data'!H13</f>
        <v>0</v>
      </c>
      <c r="F13" s="693">
        <f>'Area&amp;production data'!I13</f>
        <v>0</v>
      </c>
      <c r="G13" s="693">
        <f>'Area&amp;production data'!J13</f>
        <v>0</v>
      </c>
      <c r="H13" s="693">
        <f>'Area&amp;production data'!K13</f>
        <v>0</v>
      </c>
      <c r="I13" s="693">
        <f>'Area&amp;production data'!L13</f>
        <v>0</v>
      </c>
      <c r="J13" s="693">
        <f>'Area&amp;production data'!M13</f>
        <v>0</v>
      </c>
      <c r="K13" s="693">
        <f>'Area&amp;production data'!N13</f>
        <v>0</v>
      </c>
      <c r="L13" s="693">
        <f>'Area&amp;production data'!O13</f>
        <v>0</v>
      </c>
      <c r="M13" s="274">
        <f t="shared" si="0"/>
        <v>0</v>
      </c>
      <c r="N13" s="275">
        <f t="shared" si="1"/>
        <v>0</v>
      </c>
      <c r="O13" s="695">
        <f>'Area&amp;production data'!AW13</f>
        <v>0</v>
      </c>
      <c r="P13" s="695">
        <f>'Area&amp;production data'!AX13</f>
        <v>0</v>
      </c>
      <c r="Q13" s="695">
        <f>'Area&amp;production data'!AY13</f>
        <v>0</v>
      </c>
      <c r="R13" s="420">
        <f>'Area&amp;production data'!AZ13</f>
        <v>0</v>
      </c>
      <c r="S13" s="695">
        <f>'Area&amp;production data'!BA13</f>
        <v>0</v>
      </c>
      <c r="T13" s="695">
        <f>'Area&amp;production data'!BB13</f>
        <v>0</v>
      </c>
      <c r="U13" s="695">
        <f>'Area&amp;production data'!BC13</f>
        <v>0</v>
      </c>
      <c r="V13" s="420">
        <f>'Area&amp;production data'!BD13</f>
        <v>0</v>
      </c>
      <c r="W13" s="695">
        <f>'Area&amp;production data'!BE13</f>
        <v>0</v>
      </c>
      <c r="X13" s="695">
        <f>'Area&amp;production data'!BF13</f>
        <v>0</v>
      </c>
      <c r="Y13" s="695">
        <f>'Area&amp;production data'!BG13</f>
        <v>0</v>
      </c>
      <c r="Z13" s="420">
        <f>'Area&amp;production data'!BH13</f>
        <v>0</v>
      </c>
      <c r="AA13" s="695">
        <f>'Area&amp;production data'!BI13</f>
        <v>0</v>
      </c>
      <c r="AB13" s="695">
        <f>'Area&amp;production data'!BJ13</f>
        <v>0</v>
      </c>
      <c r="AC13" s="695">
        <f>'Area&amp;production data'!BK13</f>
        <v>0</v>
      </c>
      <c r="AD13" s="420">
        <f>'Area&amp;production data'!BL13</f>
        <v>0</v>
      </c>
      <c r="AE13" s="695">
        <f>'Area&amp;production data'!BM13</f>
        <v>0</v>
      </c>
      <c r="AF13" s="695">
        <f>'Area&amp;production data'!BN13</f>
        <v>0</v>
      </c>
      <c r="AG13" s="695">
        <f>'Area&amp;production data'!BO13</f>
        <v>0</v>
      </c>
      <c r="AH13" s="420">
        <f>'Area&amp;production data'!BP13</f>
        <v>0</v>
      </c>
      <c r="AI13" s="695">
        <f>'Area&amp;production data'!BQ13</f>
        <v>0</v>
      </c>
      <c r="AJ13" s="695">
        <f>'Area&amp;production data'!BR13</f>
        <v>0</v>
      </c>
      <c r="AK13" s="695">
        <f>'Area&amp;production data'!BS13</f>
        <v>0</v>
      </c>
      <c r="AL13" s="420">
        <f>'Area&amp;production data'!BT13</f>
        <v>0</v>
      </c>
      <c r="AM13" s="695">
        <f>'Area&amp;production data'!BU13</f>
        <v>0</v>
      </c>
      <c r="AN13" s="695">
        <f>'Area&amp;production data'!BV13</f>
        <v>0</v>
      </c>
      <c r="AO13" s="695">
        <f>'Area&amp;production data'!BW13</f>
        <v>0</v>
      </c>
      <c r="AP13" s="420">
        <f>'Area&amp;production data'!BX13</f>
        <v>0</v>
      </c>
      <c r="AQ13" s="695">
        <f>'Area&amp;production data'!BY13</f>
        <v>0</v>
      </c>
      <c r="AR13" s="695">
        <f>'Area&amp;production data'!BZ13</f>
        <v>0</v>
      </c>
      <c r="AS13" s="695">
        <f>'Area&amp;production data'!CA13</f>
        <v>0</v>
      </c>
      <c r="AT13" s="420">
        <f>'Area&amp;production data'!CB13</f>
        <v>0</v>
      </c>
      <c r="AU13" s="695">
        <f>'Area&amp;production data'!CC13</f>
        <v>0</v>
      </c>
      <c r="AV13" s="695">
        <f>'Area&amp;production data'!CD13</f>
        <v>0</v>
      </c>
      <c r="AW13" s="695">
        <f>'Area&amp;production data'!CE13</f>
        <v>0</v>
      </c>
      <c r="AX13" s="420">
        <f>'Area&amp;production data'!CF13</f>
        <v>0</v>
      </c>
      <c r="AY13" s="695">
        <f>'Area&amp;production data'!CG13</f>
        <v>0</v>
      </c>
      <c r="AZ13" s="695">
        <f>'Area&amp;production data'!CH13</f>
        <v>0</v>
      </c>
      <c r="BA13" s="695">
        <f>'Area&amp;production data'!CI13</f>
        <v>0</v>
      </c>
      <c r="BB13" s="420">
        <f>'Area&amp;production data'!CJ13</f>
        <v>0</v>
      </c>
      <c r="BC13" s="616" t="e">
        <f>'Area&amp;production data'!CK13</f>
        <v>#DIV/0!</v>
      </c>
      <c r="BD13" s="616" t="e">
        <f>'Area&amp;production data'!CL13</f>
        <v>#DIV/0!</v>
      </c>
      <c r="BE13" s="616" t="e">
        <f>'Area&amp;production data'!CM13</f>
        <v>#DIV/0!</v>
      </c>
      <c r="BF13" s="616" t="e">
        <f>'Area&amp;production data'!CN13</f>
        <v>#DIV/0!</v>
      </c>
      <c r="BG13" s="616" t="e">
        <f>'Area&amp;production data'!CO13</f>
        <v>#DIV/0!</v>
      </c>
      <c r="BH13" s="616" t="e">
        <f>'Area&amp;production data'!CP13</f>
        <v>#DIV/0!</v>
      </c>
      <c r="BI13" s="616" t="e">
        <f>'Area&amp;production data'!CQ13</f>
        <v>#DIV/0!</v>
      </c>
      <c r="BJ13" s="616" t="e">
        <f>'Area&amp;production data'!CR13</f>
        <v>#DIV/0!</v>
      </c>
    </row>
    <row r="14" spans="1:62" x14ac:dyDescent="0.25">
      <c r="A14" s="13">
        <v>10</v>
      </c>
      <c r="B14" s="13" t="s">
        <v>148</v>
      </c>
      <c r="C14" s="693">
        <f>'Area&amp;production data'!F14</f>
        <v>0</v>
      </c>
      <c r="D14" s="693">
        <f>'Area&amp;production data'!G14</f>
        <v>0</v>
      </c>
      <c r="E14" s="693">
        <f>'Area&amp;production data'!H14</f>
        <v>0</v>
      </c>
      <c r="F14" s="693">
        <f>'Area&amp;production data'!I14</f>
        <v>0</v>
      </c>
      <c r="G14" s="693">
        <f>'Area&amp;production data'!J14</f>
        <v>0</v>
      </c>
      <c r="H14" s="693">
        <f>'Area&amp;production data'!K14</f>
        <v>0</v>
      </c>
      <c r="I14" s="693">
        <f>'Area&amp;production data'!L14</f>
        <v>0</v>
      </c>
      <c r="J14" s="693">
        <f>'Area&amp;production data'!M14</f>
        <v>0</v>
      </c>
      <c r="K14" s="693">
        <f>'Area&amp;production data'!N14</f>
        <v>0</v>
      </c>
      <c r="L14" s="693">
        <f>'Area&amp;production data'!O14</f>
        <v>0</v>
      </c>
      <c r="M14" s="274">
        <f t="shared" si="0"/>
        <v>0</v>
      </c>
      <c r="N14" s="275">
        <f t="shared" si="1"/>
        <v>0</v>
      </c>
      <c r="O14" s="695">
        <f>'Area&amp;production data'!AW14</f>
        <v>0</v>
      </c>
      <c r="P14" s="695">
        <f>'Area&amp;production data'!AX14</f>
        <v>0</v>
      </c>
      <c r="Q14" s="695">
        <f>'Area&amp;production data'!AY14</f>
        <v>0</v>
      </c>
      <c r="R14" s="420">
        <f>'Area&amp;production data'!AZ14</f>
        <v>0</v>
      </c>
      <c r="S14" s="695">
        <f>'Area&amp;production data'!BA14</f>
        <v>0</v>
      </c>
      <c r="T14" s="695">
        <f>'Area&amp;production data'!BB14</f>
        <v>0</v>
      </c>
      <c r="U14" s="695">
        <f>'Area&amp;production data'!BC14</f>
        <v>0</v>
      </c>
      <c r="V14" s="420">
        <f>'Area&amp;production data'!BD14</f>
        <v>0</v>
      </c>
      <c r="W14" s="695">
        <f>'Area&amp;production data'!BE14</f>
        <v>0</v>
      </c>
      <c r="X14" s="695">
        <f>'Area&amp;production data'!BF14</f>
        <v>0</v>
      </c>
      <c r="Y14" s="695">
        <f>'Area&amp;production data'!BG14</f>
        <v>0</v>
      </c>
      <c r="Z14" s="420">
        <f>'Area&amp;production data'!BH14</f>
        <v>0</v>
      </c>
      <c r="AA14" s="695">
        <f>'Area&amp;production data'!BI14</f>
        <v>0</v>
      </c>
      <c r="AB14" s="695">
        <f>'Area&amp;production data'!BJ14</f>
        <v>0</v>
      </c>
      <c r="AC14" s="695">
        <f>'Area&amp;production data'!BK14</f>
        <v>0</v>
      </c>
      <c r="AD14" s="420">
        <f>'Area&amp;production data'!BL14</f>
        <v>0</v>
      </c>
      <c r="AE14" s="695">
        <f>'Area&amp;production data'!BM14</f>
        <v>0</v>
      </c>
      <c r="AF14" s="695">
        <f>'Area&amp;production data'!BN14</f>
        <v>0</v>
      </c>
      <c r="AG14" s="695">
        <f>'Area&amp;production data'!BO14</f>
        <v>0</v>
      </c>
      <c r="AH14" s="420">
        <f>'Area&amp;production data'!BP14</f>
        <v>0</v>
      </c>
      <c r="AI14" s="695">
        <f>'Area&amp;production data'!BQ14</f>
        <v>0</v>
      </c>
      <c r="AJ14" s="695">
        <f>'Area&amp;production data'!BR14</f>
        <v>0</v>
      </c>
      <c r="AK14" s="695">
        <f>'Area&amp;production data'!BS14</f>
        <v>0</v>
      </c>
      <c r="AL14" s="420">
        <f>'Area&amp;production data'!BT14</f>
        <v>0</v>
      </c>
      <c r="AM14" s="695">
        <f>'Area&amp;production data'!BU14</f>
        <v>0</v>
      </c>
      <c r="AN14" s="695">
        <f>'Area&amp;production data'!BV14</f>
        <v>0</v>
      </c>
      <c r="AO14" s="695">
        <f>'Area&amp;production data'!BW14</f>
        <v>0</v>
      </c>
      <c r="AP14" s="420">
        <f>'Area&amp;production data'!BX14</f>
        <v>0</v>
      </c>
      <c r="AQ14" s="695">
        <f>'Area&amp;production data'!BY14</f>
        <v>0</v>
      </c>
      <c r="AR14" s="695">
        <f>'Area&amp;production data'!BZ14</f>
        <v>0</v>
      </c>
      <c r="AS14" s="695">
        <f>'Area&amp;production data'!CA14</f>
        <v>0</v>
      </c>
      <c r="AT14" s="420">
        <f>'Area&amp;production data'!CB14</f>
        <v>0</v>
      </c>
      <c r="AU14" s="695">
        <f>'Area&amp;production data'!CC14</f>
        <v>0</v>
      </c>
      <c r="AV14" s="695">
        <f>'Area&amp;production data'!CD14</f>
        <v>0</v>
      </c>
      <c r="AW14" s="695">
        <f>'Area&amp;production data'!CE14</f>
        <v>0</v>
      </c>
      <c r="AX14" s="420">
        <f>'Area&amp;production data'!CF14</f>
        <v>0</v>
      </c>
      <c r="AY14" s="695">
        <f>'Area&amp;production data'!CG14</f>
        <v>0</v>
      </c>
      <c r="AZ14" s="695">
        <f>'Area&amp;production data'!CH14</f>
        <v>0</v>
      </c>
      <c r="BA14" s="695">
        <f>'Area&amp;production data'!CI14</f>
        <v>0</v>
      </c>
      <c r="BB14" s="420">
        <f>'Area&amp;production data'!CJ14</f>
        <v>0</v>
      </c>
      <c r="BC14" s="616" t="e">
        <f>'Area&amp;production data'!CK14</f>
        <v>#DIV/0!</v>
      </c>
      <c r="BD14" s="616" t="e">
        <f>'Area&amp;production data'!CL14</f>
        <v>#DIV/0!</v>
      </c>
      <c r="BE14" s="616" t="e">
        <f>'Area&amp;production data'!CM14</f>
        <v>#DIV/0!</v>
      </c>
      <c r="BF14" s="616" t="e">
        <f>'Area&amp;production data'!CN14</f>
        <v>#DIV/0!</v>
      </c>
      <c r="BG14" s="616" t="e">
        <f>'Area&amp;production data'!CO14</f>
        <v>#DIV/0!</v>
      </c>
      <c r="BH14" s="616" t="e">
        <f>'Area&amp;production data'!CP14</f>
        <v>#DIV/0!</v>
      </c>
      <c r="BI14" s="616" t="e">
        <f>'Area&amp;production data'!CQ14</f>
        <v>#DIV/0!</v>
      </c>
      <c r="BJ14" s="616" t="e">
        <f>'Area&amp;production data'!CR14</f>
        <v>#DIV/0!</v>
      </c>
    </row>
    <row r="15" spans="1:62" x14ac:dyDescent="0.25">
      <c r="A15" s="13">
        <v>11</v>
      </c>
      <c r="B15" s="13" t="s">
        <v>149</v>
      </c>
      <c r="C15" s="693">
        <f>'Area&amp;production data'!F15</f>
        <v>0</v>
      </c>
      <c r="D15" s="693">
        <f>'Area&amp;production data'!G15</f>
        <v>0</v>
      </c>
      <c r="E15" s="693">
        <f>'Area&amp;production data'!H15</f>
        <v>0</v>
      </c>
      <c r="F15" s="693">
        <f>'Area&amp;production data'!I15</f>
        <v>0</v>
      </c>
      <c r="G15" s="693">
        <f>'Area&amp;production data'!J15</f>
        <v>0</v>
      </c>
      <c r="H15" s="693">
        <f>'Area&amp;production data'!K15</f>
        <v>0</v>
      </c>
      <c r="I15" s="693">
        <f>'Area&amp;production data'!L15</f>
        <v>0</v>
      </c>
      <c r="J15" s="693">
        <f>'Area&amp;production data'!M15</f>
        <v>0</v>
      </c>
      <c r="K15" s="693">
        <f>'Area&amp;production data'!N15</f>
        <v>0</v>
      </c>
      <c r="L15" s="693">
        <f>'Area&amp;production data'!O15</f>
        <v>0</v>
      </c>
      <c r="M15" s="274">
        <f t="shared" si="0"/>
        <v>0</v>
      </c>
      <c r="N15" s="275">
        <f t="shared" si="1"/>
        <v>0</v>
      </c>
      <c r="O15" s="695">
        <f>'Area&amp;production data'!AW15</f>
        <v>0</v>
      </c>
      <c r="P15" s="695">
        <f>'Area&amp;production data'!AX15</f>
        <v>0</v>
      </c>
      <c r="Q15" s="695">
        <f>'Area&amp;production data'!AY15</f>
        <v>0</v>
      </c>
      <c r="R15" s="420">
        <f>'Area&amp;production data'!AZ15</f>
        <v>0</v>
      </c>
      <c r="S15" s="695">
        <f>'Area&amp;production data'!BA15</f>
        <v>0</v>
      </c>
      <c r="T15" s="695">
        <f>'Area&amp;production data'!BB15</f>
        <v>0</v>
      </c>
      <c r="U15" s="695">
        <f>'Area&amp;production data'!BC15</f>
        <v>0</v>
      </c>
      <c r="V15" s="420">
        <f>'Area&amp;production data'!BD15</f>
        <v>0</v>
      </c>
      <c r="W15" s="695">
        <f>'Area&amp;production data'!BE15</f>
        <v>0</v>
      </c>
      <c r="X15" s="695">
        <f>'Area&amp;production data'!BF15</f>
        <v>0</v>
      </c>
      <c r="Y15" s="695">
        <f>'Area&amp;production data'!BG15</f>
        <v>0</v>
      </c>
      <c r="Z15" s="420">
        <f>'Area&amp;production data'!BH15</f>
        <v>0</v>
      </c>
      <c r="AA15" s="695">
        <f>'Area&amp;production data'!BI15</f>
        <v>0</v>
      </c>
      <c r="AB15" s="695">
        <f>'Area&amp;production data'!BJ15</f>
        <v>0</v>
      </c>
      <c r="AC15" s="695">
        <f>'Area&amp;production data'!BK15</f>
        <v>0</v>
      </c>
      <c r="AD15" s="420">
        <f>'Area&amp;production data'!BL15</f>
        <v>0</v>
      </c>
      <c r="AE15" s="695">
        <f>'Area&amp;production data'!BM15</f>
        <v>0</v>
      </c>
      <c r="AF15" s="695">
        <f>'Area&amp;production data'!BN15</f>
        <v>0</v>
      </c>
      <c r="AG15" s="695">
        <f>'Area&amp;production data'!BO15</f>
        <v>0</v>
      </c>
      <c r="AH15" s="420">
        <f>'Area&amp;production data'!BP15</f>
        <v>0</v>
      </c>
      <c r="AI15" s="695">
        <f>'Area&amp;production data'!BQ15</f>
        <v>0</v>
      </c>
      <c r="AJ15" s="695">
        <f>'Area&amp;production data'!BR15</f>
        <v>0</v>
      </c>
      <c r="AK15" s="695">
        <f>'Area&amp;production data'!BS15</f>
        <v>0</v>
      </c>
      <c r="AL15" s="420">
        <f>'Area&amp;production data'!BT15</f>
        <v>0</v>
      </c>
      <c r="AM15" s="695">
        <f>'Area&amp;production data'!BU15</f>
        <v>0</v>
      </c>
      <c r="AN15" s="695">
        <f>'Area&amp;production data'!BV15</f>
        <v>0</v>
      </c>
      <c r="AO15" s="695">
        <f>'Area&amp;production data'!BW15</f>
        <v>0</v>
      </c>
      <c r="AP15" s="420">
        <f>'Area&amp;production data'!BX15</f>
        <v>0</v>
      </c>
      <c r="AQ15" s="695">
        <f>'Area&amp;production data'!BY15</f>
        <v>0</v>
      </c>
      <c r="AR15" s="695">
        <f>'Area&amp;production data'!BZ15</f>
        <v>0</v>
      </c>
      <c r="AS15" s="695">
        <f>'Area&amp;production data'!CA15</f>
        <v>0</v>
      </c>
      <c r="AT15" s="420">
        <f>'Area&amp;production data'!CB15</f>
        <v>0</v>
      </c>
      <c r="AU15" s="695">
        <f>'Area&amp;production data'!CC15</f>
        <v>0</v>
      </c>
      <c r="AV15" s="695">
        <f>'Area&amp;production data'!CD15</f>
        <v>0</v>
      </c>
      <c r="AW15" s="695">
        <f>'Area&amp;production data'!CE15</f>
        <v>0</v>
      </c>
      <c r="AX15" s="420">
        <f>'Area&amp;production data'!CF15</f>
        <v>0</v>
      </c>
      <c r="AY15" s="695">
        <f>'Area&amp;production data'!CG15</f>
        <v>0</v>
      </c>
      <c r="AZ15" s="695">
        <f>'Area&amp;production data'!CH15</f>
        <v>0</v>
      </c>
      <c r="BA15" s="695">
        <f>'Area&amp;production data'!CI15</f>
        <v>0</v>
      </c>
      <c r="BB15" s="420">
        <f>'Area&amp;production data'!CJ15</f>
        <v>0</v>
      </c>
      <c r="BC15" s="616" t="e">
        <f>'Area&amp;production data'!CK15</f>
        <v>#DIV/0!</v>
      </c>
      <c r="BD15" s="616" t="e">
        <f>'Area&amp;production data'!CL15</f>
        <v>#DIV/0!</v>
      </c>
      <c r="BE15" s="616" t="e">
        <f>'Area&amp;production data'!CM15</f>
        <v>#DIV/0!</v>
      </c>
      <c r="BF15" s="616" t="e">
        <f>'Area&amp;production data'!CN15</f>
        <v>#DIV/0!</v>
      </c>
      <c r="BG15" s="616" t="e">
        <f>'Area&amp;production data'!CO15</f>
        <v>#DIV/0!</v>
      </c>
      <c r="BH15" s="616" t="e">
        <f>'Area&amp;production data'!CP15</f>
        <v>#DIV/0!</v>
      </c>
      <c r="BI15" s="616" t="e">
        <f>'Area&amp;production data'!CQ15</f>
        <v>#DIV/0!</v>
      </c>
      <c r="BJ15" s="616" t="e">
        <f>'Area&amp;production data'!CR15</f>
        <v>#DIV/0!</v>
      </c>
    </row>
    <row r="16" spans="1:62" x14ac:dyDescent="0.25">
      <c r="A16" s="13">
        <v>12</v>
      </c>
      <c r="B16" s="13" t="s">
        <v>150</v>
      </c>
      <c r="C16" s="693">
        <f>'Area&amp;production data'!F16</f>
        <v>0</v>
      </c>
      <c r="D16" s="693">
        <f>'Area&amp;production data'!G16</f>
        <v>0</v>
      </c>
      <c r="E16" s="693">
        <f>'Area&amp;production data'!H16</f>
        <v>0</v>
      </c>
      <c r="F16" s="693">
        <f>'Area&amp;production data'!I16</f>
        <v>0</v>
      </c>
      <c r="G16" s="693">
        <f>'Area&amp;production data'!J16</f>
        <v>0</v>
      </c>
      <c r="H16" s="693">
        <f>'Area&amp;production data'!K16</f>
        <v>0</v>
      </c>
      <c r="I16" s="693">
        <f>'Area&amp;production data'!L16</f>
        <v>0</v>
      </c>
      <c r="J16" s="693">
        <f>'Area&amp;production data'!M16</f>
        <v>0</v>
      </c>
      <c r="K16" s="693">
        <f>'Area&amp;production data'!N16</f>
        <v>0</v>
      </c>
      <c r="L16" s="693">
        <f>'Area&amp;production data'!O16</f>
        <v>0</v>
      </c>
      <c r="M16" s="274">
        <f t="shared" si="0"/>
        <v>0</v>
      </c>
      <c r="N16" s="275">
        <f t="shared" si="1"/>
        <v>0</v>
      </c>
      <c r="O16" s="695">
        <f>'Area&amp;production data'!AW16</f>
        <v>0</v>
      </c>
      <c r="P16" s="695">
        <f>'Area&amp;production data'!AX16</f>
        <v>0</v>
      </c>
      <c r="Q16" s="695">
        <f>'Area&amp;production data'!AY16</f>
        <v>0</v>
      </c>
      <c r="R16" s="420">
        <f>'Area&amp;production data'!AZ16</f>
        <v>0</v>
      </c>
      <c r="S16" s="695">
        <f>'Area&amp;production data'!BA16</f>
        <v>0</v>
      </c>
      <c r="T16" s="695">
        <f>'Area&amp;production data'!BB16</f>
        <v>0</v>
      </c>
      <c r="U16" s="695">
        <f>'Area&amp;production data'!BC16</f>
        <v>0</v>
      </c>
      <c r="V16" s="420">
        <f>'Area&amp;production data'!BD16</f>
        <v>0</v>
      </c>
      <c r="W16" s="695">
        <f>'Area&amp;production data'!BE16</f>
        <v>0</v>
      </c>
      <c r="X16" s="695">
        <f>'Area&amp;production data'!BF16</f>
        <v>0</v>
      </c>
      <c r="Y16" s="695">
        <f>'Area&amp;production data'!BG16</f>
        <v>0</v>
      </c>
      <c r="Z16" s="420">
        <f>'Area&amp;production data'!BH16</f>
        <v>0</v>
      </c>
      <c r="AA16" s="695">
        <f>'Area&amp;production data'!BI16</f>
        <v>0</v>
      </c>
      <c r="AB16" s="695">
        <f>'Area&amp;production data'!BJ16</f>
        <v>0</v>
      </c>
      <c r="AC16" s="695">
        <f>'Area&amp;production data'!BK16</f>
        <v>0</v>
      </c>
      <c r="AD16" s="420">
        <f>'Area&amp;production data'!BL16</f>
        <v>0</v>
      </c>
      <c r="AE16" s="695">
        <f>'Area&amp;production data'!BM16</f>
        <v>0</v>
      </c>
      <c r="AF16" s="695">
        <f>'Area&amp;production data'!BN16</f>
        <v>0</v>
      </c>
      <c r="AG16" s="695">
        <f>'Area&amp;production data'!BO16</f>
        <v>0</v>
      </c>
      <c r="AH16" s="420">
        <f>'Area&amp;production data'!BP16</f>
        <v>0</v>
      </c>
      <c r="AI16" s="695">
        <f>'Area&amp;production data'!BQ16</f>
        <v>0</v>
      </c>
      <c r="AJ16" s="695">
        <f>'Area&amp;production data'!BR16</f>
        <v>0</v>
      </c>
      <c r="AK16" s="695">
        <f>'Area&amp;production data'!BS16</f>
        <v>0</v>
      </c>
      <c r="AL16" s="420">
        <f>'Area&amp;production data'!BT16</f>
        <v>0</v>
      </c>
      <c r="AM16" s="695">
        <f>'Area&amp;production data'!BU16</f>
        <v>0</v>
      </c>
      <c r="AN16" s="695">
        <f>'Area&amp;production data'!BV16</f>
        <v>0</v>
      </c>
      <c r="AO16" s="695">
        <f>'Area&amp;production data'!BW16</f>
        <v>0</v>
      </c>
      <c r="AP16" s="420">
        <f>'Area&amp;production data'!BX16</f>
        <v>0</v>
      </c>
      <c r="AQ16" s="695">
        <f>'Area&amp;production data'!BY16</f>
        <v>0</v>
      </c>
      <c r="AR16" s="695">
        <f>'Area&amp;production data'!BZ16</f>
        <v>0</v>
      </c>
      <c r="AS16" s="695">
        <f>'Area&amp;production data'!CA16</f>
        <v>0</v>
      </c>
      <c r="AT16" s="420">
        <f>'Area&amp;production data'!CB16</f>
        <v>0</v>
      </c>
      <c r="AU16" s="695">
        <f>'Area&amp;production data'!CC16</f>
        <v>0</v>
      </c>
      <c r="AV16" s="695">
        <f>'Area&amp;production data'!CD16</f>
        <v>0</v>
      </c>
      <c r="AW16" s="695">
        <f>'Area&amp;production data'!CE16</f>
        <v>0</v>
      </c>
      <c r="AX16" s="420">
        <f>'Area&amp;production data'!CF16</f>
        <v>0</v>
      </c>
      <c r="AY16" s="695">
        <f>'Area&amp;production data'!CG16</f>
        <v>0</v>
      </c>
      <c r="AZ16" s="695">
        <f>'Area&amp;production data'!CH16</f>
        <v>0</v>
      </c>
      <c r="BA16" s="695">
        <f>'Area&amp;production data'!CI16</f>
        <v>0</v>
      </c>
      <c r="BB16" s="420">
        <f>'Area&amp;production data'!CJ16</f>
        <v>0</v>
      </c>
      <c r="BC16" s="616" t="e">
        <f>'Area&amp;production data'!CK16</f>
        <v>#DIV/0!</v>
      </c>
      <c r="BD16" s="616" t="e">
        <f>'Area&amp;production data'!CL16</f>
        <v>#DIV/0!</v>
      </c>
      <c r="BE16" s="616" t="e">
        <f>'Area&amp;production data'!CM16</f>
        <v>#DIV/0!</v>
      </c>
      <c r="BF16" s="616" t="e">
        <f>'Area&amp;production data'!CN16</f>
        <v>#DIV/0!</v>
      </c>
      <c r="BG16" s="616" t="e">
        <f>'Area&amp;production data'!CO16</f>
        <v>#DIV/0!</v>
      </c>
      <c r="BH16" s="616" t="e">
        <f>'Area&amp;production data'!CP16</f>
        <v>#DIV/0!</v>
      </c>
      <c r="BI16" s="616" t="e">
        <f>'Area&amp;production data'!CQ16</f>
        <v>#DIV/0!</v>
      </c>
      <c r="BJ16" s="616" t="e">
        <f>'Area&amp;production data'!CR16</f>
        <v>#DIV/0!</v>
      </c>
    </row>
    <row r="17" spans="1:63" x14ac:dyDescent="0.25">
      <c r="A17" s="13">
        <v>13</v>
      </c>
      <c r="B17" s="13" t="s">
        <v>151</v>
      </c>
      <c r="C17" s="693">
        <f>'Area&amp;production data'!F17</f>
        <v>0</v>
      </c>
      <c r="D17" s="693">
        <f>'Area&amp;production data'!G17</f>
        <v>0</v>
      </c>
      <c r="E17" s="693">
        <f>'Area&amp;production data'!H17</f>
        <v>0</v>
      </c>
      <c r="F17" s="693">
        <f>'Area&amp;production data'!I17</f>
        <v>0</v>
      </c>
      <c r="G17" s="693">
        <f>'Area&amp;production data'!J17</f>
        <v>0</v>
      </c>
      <c r="H17" s="693">
        <f>'Area&amp;production data'!K17</f>
        <v>0</v>
      </c>
      <c r="I17" s="693">
        <f>'Area&amp;production data'!L17</f>
        <v>0</v>
      </c>
      <c r="J17" s="693">
        <f>'Area&amp;production data'!M17</f>
        <v>0</v>
      </c>
      <c r="K17" s="693">
        <f>'Area&amp;production data'!N17</f>
        <v>0</v>
      </c>
      <c r="L17" s="693">
        <f>'Area&amp;production data'!O17</f>
        <v>0</v>
      </c>
      <c r="M17" s="274">
        <f t="shared" si="0"/>
        <v>0</v>
      </c>
      <c r="N17" s="275">
        <f t="shared" si="1"/>
        <v>0</v>
      </c>
      <c r="O17" s="695">
        <f>'Area&amp;production data'!AW17</f>
        <v>0</v>
      </c>
      <c r="P17" s="695">
        <f>'Area&amp;production data'!AX17</f>
        <v>0</v>
      </c>
      <c r="Q17" s="695">
        <f>'Area&amp;production data'!AY17</f>
        <v>0</v>
      </c>
      <c r="R17" s="420">
        <f>'Area&amp;production data'!AZ17</f>
        <v>0</v>
      </c>
      <c r="S17" s="695">
        <f>'Area&amp;production data'!BA17</f>
        <v>0</v>
      </c>
      <c r="T17" s="695">
        <f>'Area&amp;production data'!BB17</f>
        <v>0</v>
      </c>
      <c r="U17" s="695">
        <f>'Area&amp;production data'!BC17</f>
        <v>0</v>
      </c>
      <c r="V17" s="420">
        <f>'Area&amp;production data'!BD17</f>
        <v>0</v>
      </c>
      <c r="W17" s="695">
        <f>'Area&amp;production data'!BE17</f>
        <v>0</v>
      </c>
      <c r="X17" s="695">
        <f>'Area&amp;production data'!BF17</f>
        <v>0</v>
      </c>
      <c r="Y17" s="695">
        <f>'Area&amp;production data'!BG17</f>
        <v>0</v>
      </c>
      <c r="Z17" s="420">
        <f>'Area&amp;production data'!BH17</f>
        <v>0</v>
      </c>
      <c r="AA17" s="695">
        <f>'Area&amp;production data'!BI17</f>
        <v>0</v>
      </c>
      <c r="AB17" s="695">
        <f>'Area&amp;production data'!BJ17</f>
        <v>0</v>
      </c>
      <c r="AC17" s="695">
        <f>'Area&amp;production data'!BK17</f>
        <v>0</v>
      </c>
      <c r="AD17" s="420">
        <f>'Area&amp;production data'!BL17</f>
        <v>0</v>
      </c>
      <c r="AE17" s="695">
        <f>'Area&amp;production data'!BM17</f>
        <v>0</v>
      </c>
      <c r="AF17" s="695">
        <f>'Area&amp;production data'!BN17</f>
        <v>0</v>
      </c>
      <c r="AG17" s="695">
        <f>'Area&amp;production data'!BO17</f>
        <v>0</v>
      </c>
      <c r="AH17" s="420">
        <f>'Area&amp;production data'!BP17</f>
        <v>0</v>
      </c>
      <c r="AI17" s="695">
        <f>'Area&amp;production data'!BQ17</f>
        <v>0</v>
      </c>
      <c r="AJ17" s="695">
        <f>'Area&amp;production data'!BR17</f>
        <v>0</v>
      </c>
      <c r="AK17" s="695">
        <f>'Area&amp;production data'!BS17</f>
        <v>0</v>
      </c>
      <c r="AL17" s="420">
        <f>'Area&amp;production data'!BT17</f>
        <v>0</v>
      </c>
      <c r="AM17" s="695">
        <f>'Area&amp;production data'!BU17</f>
        <v>0</v>
      </c>
      <c r="AN17" s="695">
        <f>'Area&amp;production data'!BV17</f>
        <v>0</v>
      </c>
      <c r="AO17" s="695">
        <f>'Area&amp;production data'!BW17</f>
        <v>0</v>
      </c>
      <c r="AP17" s="420">
        <f>'Area&amp;production data'!BX17</f>
        <v>0</v>
      </c>
      <c r="AQ17" s="695">
        <f>'Area&amp;production data'!BY17</f>
        <v>0</v>
      </c>
      <c r="AR17" s="695">
        <f>'Area&amp;production data'!BZ17</f>
        <v>0</v>
      </c>
      <c r="AS17" s="695">
        <f>'Area&amp;production data'!CA17</f>
        <v>0</v>
      </c>
      <c r="AT17" s="420">
        <f>'Area&amp;production data'!CB17</f>
        <v>0</v>
      </c>
      <c r="AU17" s="695">
        <f>'Area&amp;production data'!CC17</f>
        <v>0</v>
      </c>
      <c r="AV17" s="695">
        <f>'Area&amp;production data'!CD17</f>
        <v>0</v>
      </c>
      <c r="AW17" s="695">
        <f>'Area&amp;production data'!CE17</f>
        <v>0</v>
      </c>
      <c r="AX17" s="420">
        <f>'Area&amp;production data'!CF17</f>
        <v>0</v>
      </c>
      <c r="AY17" s="695">
        <f>'Area&amp;production data'!CG17</f>
        <v>0</v>
      </c>
      <c r="AZ17" s="695">
        <f>'Area&amp;production data'!CH17</f>
        <v>0</v>
      </c>
      <c r="BA17" s="695">
        <f>'Area&amp;production data'!CI17</f>
        <v>0</v>
      </c>
      <c r="BB17" s="420">
        <f>'Area&amp;production data'!CJ17</f>
        <v>0</v>
      </c>
      <c r="BC17" s="616" t="e">
        <f>'Area&amp;production data'!CK17</f>
        <v>#DIV/0!</v>
      </c>
      <c r="BD17" s="616" t="e">
        <f>'Area&amp;production data'!CL17</f>
        <v>#DIV/0!</v>
      </c>
      <c r="BE17" s="616" t="e">
        <f>'Area&amp;production data'!CM17</f>
        <v>#DIV/0!</v>
      </c>
      <c r="BF17" s="616" t="e">
        <f>'Area&amp;production data'!CN17</f>
        <v>#DIV/0!</v>
      </c>
      <c r="BG17" s="616" t="e">
        <f>'Area&amp;production data'!CO17</f>
        <v>#DIV/0!</v>
      </c>
      <c r="BH17" s="616" t="e">
        <f>'Area&amp;production data'!CP17</f>
        <v>#DIV/0!</v>
      </c>
      <c r="BI17" s="616" t="e">
        <f>'Area&amp;production data'!CQ17</f>
        <v>#DIV/0!</v>
      </c>
      <c r="BJ17" s="616" t="e">
        <f>'Area&amp;production data'!CR17</f>
        <v>#DIV/0!</v>
      </c>
    </row>
    <row r="18" spans="1:63" x14ac:dyDescent="0.25">
      <c r="A18" s="13">
        <v>14</v>
      </c>
      <c r="B18" s="13" t="s">
        <v>152</v>
      </c>
      <c r="C18" s="693">
        <f>'Area&amp;production data'!F18</f>
        <v>0</v>
      </c>
      <c r="D18" s="693">
        <f>'Area&amp;production data'!G18</f>
        <v>0</v>
      </c>
      <c r="E18" s="693">
        <f>'Area&amp;production data'!H18</f>
        <v>0</v>
      </c>
      <c r="F18" s="693">
        <f>'Area&amp;production data'!I18</f>
        <v>0</v>
      </c>
      <c r="G18" s="693">
        <f>'Area&amp;production data'!J18</f>
        <v>0</v>
      </c>
      <c r="H18" s="693">
        <f>'Area&amp;production data'!K18</f>
        <v>0</v>
      </c>
      <c r="I18" s="693">
        <f>'Area&amp;production data'!L18</f>
        <v>0</v>
      </c>
      <c r="J18" s="693">
        <f>'Area&amp;production data'!M18</f>
        <v>0</v>
      </c>
      <c r="K18" s="693">
        <f>'Area&amp;production data'!N18</f>
        <v>0</v>
      </c>
      <c r="L18" s="693">
        <f>'Area&amp;production data'!O18</f>
        <v>0</v>
      </c>
      <c r="M18" s="274">
        <f t="shared" si="0"/>
        <v>0</v>
      </c>
      <c r="N18" s="275">
        <f t="shared" si="1"/>
        <v>0</v>
      </c>
      <c r="O18" s="695">
        <f>'Area&amp;production data'!AW18</f>
        <v>0</v>
      </c>
      <c r="P18" s="695">
        <f>'Area&amp;production data'!AX18</f>
        <v>0</v>
      </c>
      <c r="Q18" s="695">
        <f>'Area&amp;production data'!AY18</f>
        <v>0</v>
      </c>
      <c r="R18" s="420">
        <f>'Area&amp;production data'!AZ18</f>
        <v>0</v>
      </c>
      <c r="S18" s="695">
        <f>'Area&amp;production data'!BA18</f>
        <v>0</v>
      </c>
      <c r="T18" s="695">
        <f>'Area&amp;production data'!BB18</f>
        <v>0</v>
      </c>
      <c r="U18" s="695">
        <f>'Area&amp;production data'!BC18</f>
        <v>0</v>
      </c>
      <c r="V18" s="420">
        <f>'Area&amp;production data'!BD18</f>
        <v>0</v>
      </c>
      <c r="W18" s="695">
        <f>'Area&amp;production data'!BE18</f>
        <v>0</v>
      </c>
      <c r="X18" s="695">
        <f>'Area&amp;production data'!BF18</f>
        <v>0</v>
      </c>
      <c r="Y18" s="695">
        <f>'Area&amp;production data'!BG18</f>
        <v>0</v>
      </c>
      <c r="Z18" s="420">
        <f>'Area&amp;production data'!BH18</f>
        <v>0</v>
      </c>
      <c r="AA18" s="695">
        <f>'Area&amp;production data'!BI18</f>
        <v>0</v>
      </c>
      <c r="AB18" s="695">
        <f>'Area&amp;production data'!BJ18</f>
        <v>0</v>
      </c>
      <c r="AC18" s="695">
        <f>'Area&amp;production data'!BK18</f>
        <v>0</v>
      </c>
      <c r="AD18" s="420">
        <f>'Area&amp;production data'!BL18</f>
        <v>0</v>
      </c>
      <c r="AE18" s="695">
        <f>'Area&amp;production data'!BM18</f>
        <v>0</v>
      </c>
      <c r="AF18" s="695">
        <f>'Area&amp;production data'!BN18</f>
        <v>0</v>
      </c>
      <c r="AG18" s="695">
        <f>'Area&amp;production data'!BO18</f>
        <v>0</v>
      </c>
      <c r="AH18" s="420">
        <f>'Area&amp;production data'!BP18</f>
        <v>0</v>
      </c>
      <c r="AI18" s="695">
        <f>'Area&amp;production data'!BQ18</f>
        <v>0</v>
      </c>
      <c r="AJ18" s="695">
        <f>'Area&amp;production data'!BR18</f>
        <v>0</v>
      </c>
      <c r="AK18" s="695">
        <f>'Area&amp;production data'!BS18</f>
        <v>0</v>
      </c>
      <c r="AL18" s="420">
        <f>'Area&amp;production data'!BT18</f>
        <v>0</v>
      </c>
      <c r="AM18" s="695">
        <f>'Area&amp;production data'!BU18</f>
        <v>0</v>
      </c>
      <c r="AN18" s="695">
        <f>'Area&amp;production data'!BV18</f>
        <v>0</v>
      </c>
      <c r="AO18" s="695">
        <f>'Area&amp;production data'!BW18</f>
        <v>0</v>
      </c>
      <c r="AP18" s="420">
        <f>'Area&amp;production data'!BX18</f>
        <v>0</v>
      </c>
      <c r="AQ18" s="695">
        <f>'Area&amp;production data'!BY18</f>
        <v>0</v>
      </c>
      <c r="AR18" s="695">
        <f>'Area&amp;production data'!BZ18</f>
        <v>0</v>
      </c>
      <c r="AS18" s="695">
        <f>'Area&amp;production data'!CA18</f>
        <v>0</v>
      </c>
      <c r="AT18" s="420">
        <f>'Area&amp;production data'!CB18</f>
        <v>0</v>
      </c>
      <c r="AU18" s="695">
        <f>'Area&amp;production data'!CC18</f>
        <v>0</v>
      </c>
      <c r="AV18" s="695">
        <f>'Area&amp;production data'!CD18</f>
        <v>0</v>
      </c>
      <c r="AW18" s="695">
        <f>'Area&amp;production data'!CE18</f>
        <v>0</v>
      </c>
      <c r="AX18" s="420">
        <f>'Area&amp;production data'!CF18</f>
        <v>0</v>
      </c>
      <c r="AY18" s="695">
        <f>'Area&amp;production data'!CG18</f>
        <v>0</v>
      </c>
      <c r="AZ18" s="695">
        <f>'Area&amp;production data'!CH18</f>
        <v>0</v>
      </c>
      <c r="BA18" s="695">
        <f>'Area&amp;production data'!CI18</f>
        <v>0</v>
      </c>
      <c r="BB18" s="420">
        <f>'Area&amp;production data'!CJ18</f>
        <v>0</v>
      </c>
      <c r="BC18" s="616" t="e">
        <f>'Area&amp;production data'!CK18</f>
        <v>#DIV/0!</v>
      </c>
      <c r="BD18" s="616" t="e">
        <f>'Area&amp;production data'!CL18</f>
        <v>#DIV/0!</v>
      </c>
      <c r="BE18" s="616" t="e">
        <f>'Area&amp;production data'!CM18</f>
        <v>#DIV/0!</v>
      </c>
      <c r="BF18" s="616" t="e">
        <f>'Area&amp;production data'!CN18</f>
        <v>#DIV/0!</v>
      </c>
      <c r="BG18" s="616" t="e">
        <f>'Area&amp;production data'!CO18</f>
        <v>#DIV/0!</v>
      </c>
      <c r="BH18" s="616" t="e">
        <f>'Area&amp;production data'!CP18</f>
        <v>#DIV/0!</v>
      </c>
      <c r="BI18" s="616" t="e">
        <f>'Area&amp;production data'!CQ18</f>
        <v>#DIV/0!</v>
      </c>
      <c r="BJ18" s="616" t="e">
        <f>'Area&amp;production data'!CR18</f>
        <v>#DIV/0!</v>
      </c>
    </row>
    <row r="19" spans="1:63" x14ac:dyDescent="0.25">
      <c r="A19" s="13">
        <v>15</v>
      </c>
      <c r="B19" s="13" t="s">
        <v>153</v>
      </c>
      <c r="C19" s="693">
        <f>'Area&amp;production data'!F19</f>
        <v>0</v>
      </c>
      <c r="D19" s="693">
        <f>'Area&amp;production data'!G19</f>
        <v>0</v>
      </c>
      <c r="E19" s="693">
        <f>'Area&amp;production data'!H19</f>
        <v>0</v>
      </c>
      <c r="F19" s="693">
        <f>'Area&amp;production data'!I19</f>
        <v>0</v>
      </c>
      <c r="G19" s="693">
        <f>'Area&amp;production data'!J19</f>
        <v>0</v>
      </c>
      <c r="H19" s="693">
        <f>'Area&amp;production data'!K19</f>
        <v>0</v>
      </c>
      <c r="I19" s="693">
        <f>'Area&amp;production data'!L19</f>
        <v>0</v>
      </c>
      <c r="J19" s="693">
        <f>'Area&amp;production data'!M19</f>
        <v>0</v>
      </c>
      <c r="K19" s="693">
        <f>'Area&amp;production data'!N19</f>
        <v>0</v>
      </c>
      <c r="L19" s="693">
        <f>'Area&amp;production data'!O19</f>
        <v>0</v>
      </c>
      <c r="M19" s="274">
        <f t="shared" si="0"/>
        <v>0</v>
      </c>
      <c r="N19" s="275">
        <f t="shared" si="1"/>
        <v>0</v>
      </c>
      <c r="O19" s="695">
        <f>'Area&amp;production data'!AW19</f>
        <v>0</v>
      </c>
      <c r="P19" s="695">
        <f>'Area&amp;production data'!AX19</f>
        <v>0</v>
      </c>
      <c r="Q19" s="695">
        <f>'Area&amp;production data'!AY19</f>
        <v>0</v>
      </c>
      <c r="R19" s="420">
        <f>'Area&amp;production data'!AZ19</f>
        <v>0</v>
      </c>
      <c r="S19" s="695">
        <f>'Area&amp;production data'!BA19</f>
        <v>0</v>
      </c>
      <c r="T19" s="695">
        <f>'Area&amp;production data'!BB19</f>
        <v>0</v>
      </c>
      <c r="U19" s="695">
        <f>'Area&amp;production data'!BC19</f>
        <v>0</v>
      </c>
      <c r="V19" s="420">
        <f>'Area&amp;production data'!BD19</f>
        <v>0</v>
      </c>
      <c r="W19" s="695">
        <f>'Area&amp;production data'!BE19</f>
        <v>0</v>
      </c>
      <c r="X19" s="695">
        <f>'Area&amp;production data'!BF19</f>
        <v>0</v>
      </c>
      <c r="Y19" s="695">
        <f>'Area&amp;production data'!BG19</f>
        <v>0</v>
      </c>
      <c r="Z19" s="420">
        <f>'Area&amp;production data'!BH19</f>
        <v>0</v>
      </c>
      <c r="AA19" s="695">
        <f>'Area&amp;production data'!BI19</f>
        <v>0</v>
      </c>
      <c r="AB19" s="695">
        <f>'Area&amp;production data'!BJ19</f>
        <v>0</v>
      </c>
      <c r="AC19" s="695">
        <f>'Area&amp;production data'!BK19</f>
        <v>0</v>
      </c>
      <c r="AD19" s="420">
        <f>'Area&amp;production data'!BL19</f>
        <v>0</v>
      </c>
      <c r="AE19" s="695">
        <f>'Area&amp;production data'!BM19</f>
        <v>0</v>
      </c>
      <c r="AF19" s="695">
        <f>'Area&amp;production data'!BN19</f>
        <v>0</v>
      </c>
      <c r="AG19" s="695">
        <f>'Area&amp;production data'!BO19</f>
        <v>0</v>
      </c>
      <c r="AH19" s="420">
        <f>'Area&amp;production data'!BP19</f>
        <v>0</v>
      </c>
      <c r="AI19" s="695">
        <f>'Area&amp;production data'!BQ19</f>
        <v>0</v>
      </c>
      <c r="AJ19" s="695">
        <f>'Area&amp;production data'!BR19</f>
        <v>0</v>
      </c>
      <c r="AK19" s="695">
        <f>'Area&amp;production data'!BS19</f>
        <v>0</v>
      </c>
      <c r="AL19" s="420">
        <f>'Area&amp;production data'!BT19</f>
        <v>0</v>
      </c>
      <c r="AM19" s="695">
        <f>'Area&amp;production data'!BU19</f>
        <v>0</v>
      </c>
      <c r="AN19" s="695">
        <f>'Area&amp;production data'!BV19</f>
        <v>0</v>
      </c>
      <c r="AO19" s="695">
        <f>'Area&amp;production data'!BW19</f>
        <v>0</v>
      </c>
      <c r="AP19" s="420">
        <f>'Area&amp;production data'!BX19</f>
        <v>0</v>
      </c>
      <c r="AQ19" s="695">
        <f>'Area&amp;production data'!BY19</f>
        <v>0</v>
      </c>
      <c r="AR19" s="695">
        <f>'Area&amp;production data'!BZ19</f>
        <v>0</v>
      </c>
      <c r="AS19" s="695">
        <f>'Area&amp;production data'!CA19</f>
        <v>0</v>
      </c>
      <c r="AT19" s="420">
        <f>'Area&amp;production data'!CB19</f>
        <v>0</v>
      </c>
      <c r="AU19" s="695">
        <f>'Area&amp;production data'!CC19</f>
        <v>0</v>
      </c>
      <c r="AV19" s="695">
        <f>'Area&amp;production data'!CD19</f>
        <v>0</v>
      </c>
      <c r="AW19" s="695">
        <f>'Area&amp;production data'!CE19</f>
        <v>0</v>
      </c>
      <c r="AX19" s="420">
        <f>'Area&amp;production data'!CF19</f>
        <v>0</v>
      </c>
      <c r="AY19" s="695">
        <f>'Area&amp;production data'!CG19</f>
        <v>0</v>
      </c>
      <c r="AZ19" s="695">
        <f>'Area&amp;production data'!CH19</f>
        <v>0</v>
      </c>
      <c r="BA19" s="695">
        <f>'Area&amp;production data'!CI19</f>
        <v>0</v>
      </c>
      <c r="BB19" s="420">
        <f>'Area&amp;production data'!CJ19</f>
        <v>0</v>
      </c>
      <c r="BC19" s="616" t="e">
        <f>'Area&amp;production data'!CK19</f>
        <v>#DIV/0!</v>
      </c>
      <c r="BD19" s="616" t="e">
        <f>'Area&amp;production data'!CL19</f>
        <v>#DIV/0!</v>
      </c>
      <c r="BE19" s="616" t="e">
        <f>'Area&amp;production data'!CM19</f>
        <v>#DIV/0!</v>
      </c>
      <c r="BF19" s="616" t="e">
        <f>'Area&amp;production data'!CN19</f>
        <v>#DIV/0!</v>
      </c>
      <c r="BG19" s="616" t="e">
        <f>'Area&amp;production data'!CO19</f>
        <v>#DIV/0!</v>
      </c>
      <c r="BH19" s="616" t="e">
        <f>'Area&amp;production data'!CP19</f>
        <v>#DIV/0!</v>
      </c>
      <c r="BI19" s="616" t="e">
        <f>'Area&amp;production data'!CQ19</f>
        <v>#DIV/0!</v>
      </c>
      <c r="BJ19" s="616" t="e">
        <f>'Area&amp;production data'!CR19</f>
        <v>#DIV/0!</v>
      </c>
    </row>
    <row r="20" spans="1:63" x14ac:dyDescent="0.25">
      <c r="A20" s="13">
        <v>16</v>
      </c>
      <c r="B20" s="13" t="s">
        <v>154</v>
      </c>
      <c r="C20" s="693">
        <f>'Area&amp;production data'!F20</f>
        <v>0</v>
      </c>
      <c r="D20" s="693">
        <f>'Area&amp;production data'!G20</f>
        <v>0</v>
      </c>
      <c r="E20" s="693">
        <f>'Area&amp;production data'!H20</f>
        <v>0</v>
      </c>
      <c r="F20" s="693">
        <f>'Area&amp;production data'!I20</f>
        <v>0</v>
      </c>
      <c r="G20" s="693">
        <f>'Area&amp;production data'!J20</f>
        <v>0</v>
      </c>
      <c r="H20" s="693">
        <f>'Area&amp;production data'!K20</f>
        <v>0</v>
      </c>
      <c r="I20" s="693">
        <f>'Area&amp;production data'!L20</f>
        <v>0</v>
      </c>
      <c r="J20" s="693">
        <f>'Area&amp;production data'!M20</f>
        <v>0</v>
      </c>
      <c r="K20" s="693">
        <f>'Area&amp;production data'!N20</f>
        <v>0</v>
      </c>
      <c r="L20" s="693">
        <f>'Area&amp;production data'!O20</f>
        <v>0</v>
      </c>
      <c r="M20" s="274">
        <f t="shared" si="0"/>
        <v>0</v>
      </c>
      <c r="N20" s="275">
        <f t="shared" si="1"/>
        <v>0</v>
      </c>
      <c r="O20" s="695">
        <f>'Area&amp;production data'!AW20</f>
        <v>0</v>
      </c>
      <c r="P20" s="695">
        <f>'Area&amp;production data'!AX20</f>
        <v>0</v>
      </c>
      <c r="Q20" s="695">
        <f>'Area&amp;production data'!AY20</f>
        <v>0</v>
      </c>
      <c r="R20" s="420">
        <f>'Area&amp;production data'!AZ20</f>
        <v>0</v>
      </c>
      <c r="S20" s="695">
        <f>'Area&amp;production data'!BA20</f>
        <v>0</v>
      </c>
      <c r="T20" s="695">
        <f>'Area&amp;production data'!BB20</f>
        <v>0</v>
      </c>
      <c r="U20" s="695">
        <f>'Area&amp;production data'!BC20</f>
        <v>0</v>
      </c>
      <c r="V20" s="420">
        <f>'Area&amp;production data'!BD20</f>
        <v>0</v>
      </c>
      <c r="W20" s="695">
        <f>'Area&amp;production data'!BE20</f>
        <v>0</v>
      </c>
      <c r="X20" s="695">
        <f>'Area&amp;production data'!BF20</f>
        <v>0</v>
      </c>
      <c r="Y20" s="695">
        <f>'Area&amp;production data'!BG20</f>
        <v>0</v>
      </c>
      <c r="Z20" s="420">
        <f>'Area&amp;production data'!BH20</f>
        <v>0</v>
      </c>
      <c r="AA20" s="695">
        <f>'Area&amp;production data'!BI20</f>
        <v>0</v>
      </c>
      <c r="AB20" s="695">
        <f>'Area&amp;production data'!BJ20</f>
        <v>0</v>
      </c>
      <c r="AC20" s="695">
        <f>'Area&amp;production data'!BK20</f>
        <v>0</v>
      </c>
      <c r="AD20" s="420">
        <f>'Area&amp;production data'!BL20</f>
        <v>0</v>
      </c>
      <c r="AE20" s="695">
        <f>'Area&amp;production data'!BM20</f>
        <v>0</v>
      </c>
      <c r="AF20" s="695">
        <f>'Area&amp;production data'!BN20</f>
        <v>0</v>
      </c>
      <c r="AG20" s="695">
        <f>'Area&amp;production data'!BO20</f>
        <v>0</v>
      </c>
      <c r="AH20" s="420">
        <f>'Area&amp;production data'!BP20</f>
        <v>0</v>
      </c>
      <c r="AI20" s="695">
        <f>'Area&amp;production data'!BQ20</f>
        <v>0</v>
      </c>
      <c r="AJ20" s="695">
        <f>'Area&amp;production data'!BR20</f>
        <v>0</v>
      </c>
      <c r="AK20" s="695">
        <f>'Area&amp;production data'!BS20</f>
        <v>0</v>
      </c>
      <c r="AL20" s="420">
        <f>'Area&amp;production data'!BT20</f>
        <v>0</v>
      </c>
      <c r="AM20" s="695">
        <f>'Area&amp;production data'!BU20</f>
        <v>0</v>
      </c>
      <c r="AN20" s="695">
        <f>'Area&amp;production data'!BV20</f>
        <v>0</v>
      </c>
      <c r="AO20" s="695">
        <f>'Area&amp;production data'!BW20</f>
        <v>0</v>
      </c>
      <c r="AP20" s="420">
        <f>'Area&amp;production data'!BX20</f>
        <v>0</v>
      </c>
      <c r="AQ20" s="695">
        <f>'Area&amp;production data'!BY20</f>
        <v>0</v>
      </c>
      <c r="AR20" s="695">
        <f>'Area&amp;production data'!BZ20</f>
        <v>0</v>
      </c>
      <c r="AS20" s="695">
        <f>'Area&amp;production data'!CA20</f>
        <v>0</v>
      </c>
      <c r="AT20" s="420">
        <f>'Area&amp;production data'!CB20</f>
        <v>0</v>
      </c>
      <c r="AU20" s="695">
        <f>'Area&amp;production data'!CC20</f>
        <v>0</v>
      </c>
      <c r="AV20" s="695">
        <f>'Area&amp;production data'!CD20</f>
        <v>0</v>
      </c>
      <c r="AW20" s="695">
        <f>'Area&amp;production data'!CE20</f>
        <v>0</v>
      </c>
      <c r="AX20" s="420">
        <f>'Area&amp;production data'!CF20</f>
        <v>0</v>
      </c>
      <c r="AY20" s="695">
        <f>'Area&amp;production data'!CG20</f>
        <v>0</v>
      </c>
      <c r="AZ20" s="695">
        <f>'Area&amp;production data'!CH20</f>
        <v>0</v>
      </c>
      <c r="BA20" s="695">
        <f>'Area&amp;production data'!CI20</f>
        <v>0</v>
      </c>
      <c r="BB20" s="420">
        <f>'Area&amp;production data'!CJ20</f>
        <v>0</v>
      </c>
      <c r="BC20" s="616" t="e">
        <f>'Area&amp;production data'!CK20</f>
        <v>#DIV/0!</v>
      </c>
      <c r="BD20" s="616" t="e">
        <f>'Area&amp;production data'!CL20</f>
        <v>#DIV/0!</v>
      </c>
      <c r="BE20" s="616" t="e">
        <f>'Area&amp;production data'!CM20</f>
        <v>#DIV/0!</v>
      </c>
      <c r="BF20" s="616" t="e">
        <f>'Area&amp;production data'!CN20</f>
        <v>#DIV/0!</v>
      </c>
      <c r="BG20" s="616" t="e">
        <f>'Area&amp;production data'!CO20</f>
        <v>#DIV/0!</v>
      </c>
      <c r="BH20" s="616" t="e">
        <f>'Area&amp;production data'!CP20</f>
        <v>#DIV/0!</v>
      </c>
      <c r="BI20" s="616" t="e">
        <f>'Area&amp;production data'!CQ20</f>
        <v>#DIV/0!</v>
      </c>
      <c r="BJ20" s="616" t="e">
        <f>'Area&amp;production data'!CR20</f>
        <v>#DIV/0!</v>
      </c>
    </row>
    <row r="21" spans="1:63" x14ac:dyDescent="0.25">
      <c r="A21" s="13">
        <v>17</v>
      </c>
      <c r="B21" s="13" t="s">
        <v>155</v>
      </c>
      <c r="C21" s="693">
        <f>'Area&amp;production data'!F21</f>
        <v>0</v>
      </c>
      <c r="D21" s="693">
        <f>'Area&amp;production data'!G21</f>
        <v>0</v>
      </c>
      <c r="E21" s="693">
        <f>'Area&amp;production data'!H21</f>
        <v>0</v>
      </c>
      <c r="F21" s="693">
        <f>'Area&amp;production data'!I21</f>
        <v>0</v>
      </c>
      <c r="G21" s="693">
        <f>'Area&amp;production data'!J21</f>
        <v>0</v>
      </c>
      <c r="H21" s="693">
        <f>'Area&amp;production data'!K21</f>
        <v>0</v>
      </c>
      <c r="I21" s="693">
        <f>'Area&amp;production data'!L21</f>
        <v>0</v>
      </c>
      <c r="J21" s="693">
        <f>'Area&amp;production data'!M21</f>
        <v>0</v>
      </c>
      <c r="K21" s="693">
        <f>'Area&amp;production data'!N21</f>
        <v>0</v>
      </c>
      <c r="L21" s="693">
        <f>'Area&amp;production data'!O21</f>
        <v>0</v>
      </c>
      <c r="M21" s="274">
        <f t="shared" si="0"/>
        <v>0</v>
      </c>
      <c r="N21" s="275">
        <f t="shared" si="1"/>
        <v>0</v>
      </c>
      <c r="O21" s="695">
        <f>'Area&amp;production data'!AW21</f>
        <v>0</v>
      </c>
      <c r="P21" s="695">
        <f>'Area&amp;production data'!AX21</f>
        <v>0</v>
      </c>
      <c r="Q21" s="695">
        <f>'Area&amp;production data'!AY21</f>
        <v>0</v>
      </c>
      <c r="R21" s="420">
        <f>'Area&amp;production data'!AZ21</f>
        <v>0</v>
      </c>
      <c r="S21" s="695">
        <f>'Area&amp;production data'!BA21</f>
        <v>0</v>
      </c>
      <c r="T21" s="695">
        <f>'Area&amp;production data'!BB21</f>
        <v>0</v>
      </c>
      <c r="U21" s="695">
        <f>'Area&amp;production data'!BC21</f>
        <v>0</v>
      </c>
      <c r="V21" s="420">
        <f>'Area&amp;production data'!BD21</f>
        <v>0</v>
      </c>
      <c r="W21" s="695">
        <f>'Area&amp;production data'!BE21</f>
        <v>0</v>
      </c>
      <c r="X21" s="695">
        <f>'Area&amp;production data'!BF21</f>
        <v>0</v>
      </c>
      <c r="Y21" s="695">
        <f>'Area&amp;production data'!BG21</f>
        <v>0</v>
      </c>
      <c r="Z21" s="420">
        <f>'Area&amp;production data'!BH21</f>
        <v>0</v>
      </c>
      <c r="AA21" s="695">
        <f>'Area&amp;production data'!BI21</f>
        <v>0</v>
      </c>
      <c r="AB21" s="695">
        <f>'Area&amp;production data'!BJ21</f>
        <v>0</v>
      </c>
      <c r="AC21" s="695">
        <f>'Area&amp;production data'!BK21</f>
        <v>0</v>
      </c>
      <c r="AD21" s="420">
        <f>'Area&amp;production data'!BL21</f>
        <v>0</v>
      </c>
      <c r="AE21" s="695">
        <f>'Area&amp;production data'!BM21</f>
        <v>0</v>
      </c>
      <c r="AF21" s="695">
        <f>'Area&amp;production data'!BN21</f>
        <v>0</v>
      </c>
      <c r="AG21" s="695">
        <f>'Area&amp;production data'!BO21</f>
        <v>0</v>
      </c>
      <c r="AH21" s="420">
        <f>'Area&amp;production data'!BP21</f>
        <v>0</v>
      </c>
      <c r="AI21" s="695">
        <f>'Area&amp;production data'!BQ21</f>
        <v>0</v>
      </c>
      <c r="AJ21" s="695">
        <f>'Area&amp;production data'!BR21</f>
        <v>0</v>
      </c>
      <c r="AK21" s="695">
        <f>'Area&amp;production data'!BS21</f>
        <v>0</v>
      </c>
      <c r="AL21" s="420">
        <f>'Area&amp;production data'!BT21</f>
        <v>0</v>
      </c>
      <c r="AM21" s="695">
        <f>'Area&amp;production data'!BU21</f>
        <v>0</v>
      </c>
      <c r="AN21" s="695">
        <f>'Area&amp;production data'!BV21</f>
        <v>0</v>
      </c>
      <c r="AO21" s="695">
        <f>'Area&amp;production data'!BW21</f>
        <v>0</v>
      </c>
      <c r="AP21" s="420">
        <f>'Area&amp;production data'!BX21</f>
        <v>0</v>
      </c>
      <c r="AQ21" s="695">
        <f>'Area&amp;production data'!BY21</f>
        <v>0</v>
      </c>
      <c r="AR21" s="695">
        <f>'Area&amp;production data'!BZ21</f>
        <v>0</v>
      </c>
      <c r="AS21" s="695">
        <f>'Area&amp;production data'!CA21</f>
        <v>0</v>
      </c>
      <c r="AT21" s="420">
        <f>'Area&amp;production data'!CB21</f>
        <v>0</v>
      </c>
      <c r="AU21" s="695">
        <f>'Area&amp;production data'!CC21</f>
        <v>0</v>
      </c>
      <c r="AV21" s="695">
        <f>'Area&amp;production data'!CD21</f>
        <v>0</v>
      </c>
      <c r="AW21" s="695">
        <f>'Area&amp;production data'!CE21</f>
        <v>0</v>
      </c>
      <c r="AX21" s="420">
        <f>'Area&amp;production data'!CF21</f>
        <v>0</v>
      </c>
      <c r="AY21" s="695">
        <f>'Area&amp;production data'!CG21</f>
        <v>0</v>
      </c>
      <c r="AZ21" s="695">
        <f>'Area&amp;production data'!CH21</f>
        <v>0</v>
      </c>
      <c r="BA21" s="695">
        <f>'Area&amp;production data'!CI21</f>
        <v>0</v>
      </c>
      <c r="BB21" s="420">
        <f>'Area&amp;production data'!CJ21</f>
        <v>0</v>
      </c>
      <c r="BC21" s="616" t="e">
        <f>'Area&amp;production data'!CK21</f>
        <v>#DIV/0!</v>
      </c>
      <c r="BD21" s="616" t="e">
        <f>'Area&amp;production data'!CL21</f>
        <v>#DIV/0!</v>
      </c>
      <c r="BE21" s="616" t="e">
        <f>'Area&amp;production data'!CM21</f>
        <v>#DIV/0!</v>
      </c>
      <c r="BF21" s="616" t="e">
        <f>'Area&amp;production data'!CN21</f>
        <v>#DIV/0!</v>
      </c>
      <c r="BG21" s="616" t="e">
        <f>'Area&amp;production data'!CO21</f>
        <v>#DIV/0!</v>
      </c>
      <c r="BH21" s="616" t="e">
        <f>'Area&amp;production data'!CP21</f>
        <v>#DIV/0!</v>
      </c>
      <c r="BI21" s="616" t="e">
        <f>'Area&amp;production data'!CQ21</f>
        <v>#DIV/0!</v>
      </c>
      <c r="BJ21" s="616" t="e">
        <f>'Area&amp;production data'!CR21</f>
        <v>#DIV/0!</v>
      </c>
    </row>
    <row r="22" spans="1:63" x14ac:dyDescent="0.25">
      <c r="A22" s="13">
        <v>18</v>
      </c>
      <c r="B22" s="13" t="s">
        <v>156</v>
      </c>
      <c r="C22" s="693">
        <f>'Area&amp;production data'!F22</f>
        <v>0</v>
      </c>
      <c r="D22" s="693">
        <f>'Area&amp;production data'!G22</f>
        <v>0</v>
      </c>
      <c r="E22" s="693">
        <f>'Area&amp;production data'!H22</f>
        <v>0</v>
      </c>
      <c r="F22" s="693">
        <f>'Area&amp;production data'!I22</f>
        <v>0</v>
      </c>
      <c r="G22" s="693">
        <f>'Area&amp;production data'!J22</f>
        <v>0</v>
      </c>
      <c r="H22" s="693">
        <f>'Area&amp;production data'!K22</f>
        <v>0</v>
      </c>
      <c r="I22" s="693">
        <f>'Area&amp;production data'!L22</f>
        <v>0</v>
      </c>
      <c r="J22" s="693">
        <f>'Area&amp;production data'!M22</f>
        <v>0</v>
      </c>
      <c r="K22" s="693">
        <f>'Area&amp;production data'!N22</f>
        <v>0</v>
      </c>
      <c r="L22" s="693">
        <f>'Area&amp;production data'!O22</f>
        <v>0</v>
      </c>
      <c r="M22" s="274">
        <f t="shared" si="0"/>
        <v>0</v>
      </c>
      <c r="N22" s="275">
        <f t="shared" si="1"/>
        <v>0</v>
      </c>
      <c r="O22" s="695">
        <f>'Area&amp;production data'!AW22</f>
        <v>0</v>
      </c>
      <c r="P22" s="695">
        <f>'Area&amp;production data'!AX22</f>
        <v>0</v>
      </c>
      <c r="Q22" s="695">
        <f>'Area&amp;production data'!AY22</f>
        <v>0</v>
      </c>
      <c r="R22" s="420">
        <f>'Area&amp;production data'!AZ22</f>
        <v>0</v>
      </c>
      <c r="S22" s="695">
        <f>'Area&amp;production data'!BA22</f>
        <v>0</v>
      </c>
      <c r="T22" s="695">
        <f>'Area&amp;production data'!BB22</f>
        <v>0</v>
      </c>
      <c r="U22" s="695">
        <f>'Area&amp;production data'!BC22</f>
        <v>0</v>
      </c>
      <c r="V22" s="420">
        <f>'Area&amp;production data'!BD22</f>
        <v>0</v>
      </c>
      <c r="W22" s="695">
        <f>'Area&amp;production data'!BE22</f>
        <v>0</v>
      </c>
      <c r="X22" s="695">
        <f>'Area&amp;production data'!BF22</f>
        <v>0</v>
      </c>
      <c r="Y22" s="695">
        <f>'Area&amp;production data'!BG22</f>
        <v>0</v>
      </c>
      <c r="Z22" s="420">
        <f>'Area&amp;production data'!BH22</f>
        <v>0</v>
      </c>
      <c r="AA22" s="695">
        <f>'Area&amp;production data'!BI22</f>
        <v>0</v>
      </c>
      <c r="AB22" s="695">
        <f>'Area&amp;production data'!BJ22</f>
        <v>0</v>
      </c>
      <c r="AC22" s="695">
        <f>'Area&amp;production data'!BK22</f>
        <v>0</v>
      </c>
      <c r="AD22" s="420">
        <f>'Area&amp;production data'!BL22</f>
        <v>0</v>
      </c>
      <c r="AE22" s="695">
        <f>'Area&amp;production data'!BM22</f>
        <v>0</v>
      </c>
      <c r="AF22" s="695">
        <f>'Area&amp;production data'!BN22</f>
        <v>0</v>
      </c>
      <c r="AG22" s="695">
        <f>'Area&amp;production data'!BO22</f>
        <v>0</v>
      </c>
      <c r="AH22" s="420">
        <f>'Area&amp;production data'!BP22</f>
        <v>0</v>
      </c>
      <c r="AI22" s="695">
        <f>'Area&amp;production data'!BQ22</f>
        <v>0</v>
      </c>
      <c r="AJ22" s="695">
        <f>'Area&amp;production data'!BR22</f>
        <v>0</v>
      </c>
      <c r="AK22" s="695">
        <f>'Area&amp;production data'!BS22</f>
        <v>0</v>
      </c>
      <c r="AL22" s="420">
        <f>'Area&amp;production data'!BT22</f>
        <v>0</v>
      </c>
      <c r="AM22" s="695">
        <f>'Area&amp;production data'!BU22</f>
        <v>0</v>
      </c>
      <c r="AN22" s="695">
        <f>'Area&amp;production data'!BV22</f>
        <v>0</v>
      </c>
      <c r="AO22" s="695">
        <f>'Area&amp;production data'!BW22</f>
        <v>0</v>
      </c>
      <c r="AP22" s="420">
        <f>'Area&amp;production data'!BX22</f>
        <v>0</v>
      </c>
      <c r="AQ22" s="695">
        <f>'Area&amp;production data'!BY22</f>
        <v>0</v>
      </c>
      <c r="AR22" s="695">
        <f>'Area&amp;production data'!BZ22</f>
        <v>0</v>
      </c>
      <c r="AS22" s="695">
        <f>'Area&amp;production data'!CA22</f>
        <v>0</v>
      </c>
      <c r="AT22" s="420">
        <f>'Area&amp;production data'!CB22</f>
        <v>0</v>
      </c>
      <c r="AU22" s="695">
        <f>'Area&amp;production data'!CC22</f>
        <v>0</v>
      </c>
      <c r="AV22" s="695">
        <f>'Area&amp;production data'!CD22</f>
        <v>0</v>
      </c>
      <c r="AW22" s="695">
        <f>'Area&amp;production data'!CE22</f>
        <v>0</v>
      </c>
      <c r="AX22" s="420">
        <f>'Area&amp;production data'!CF22</f>
        <v>0</v>
      </c>
      <c r="AY22" s="695">
        <f>'Area&amp;production data'!CG22</f>
        <v>0</v>
      </c>
      <c r="AZ22" s="695">
        <f>'Area&amp;production data'!CH22</f>
        <v>0</v>
      </c>
      <c r="BA22" s="695">
        <f>'Area&amp;production data'!CI22</f>
        <v>0</v>
      </c>
      <c r="BB22" s="420">
        <f>'Area&amp;production data'!CJ22</f>
        <v>0</v>
      </c>
      <c r="BC22" s="616" t="e">
        <f>'Area&amp;production data'!CK22</f>
        <v>#DIV/0!</v>
      </c>
      <c r="BD22" s="616" t="e">
        <f>'Area&amp;production data'!CL22</f>
        <v>#DIV/0!</v>
      </c>
      <c r="BE22" s="616" t="e">
        <f>'Area&amp;production data'!CM22</f>
        <v>#DIV/0!</v>
      </c>
      <c r="BF22" s="616" t="e">
        <f>'Area&amp;production data'!CN22</f>
        <v>#DIV/0!</v>
      </c>
      <c r="BG22" s="616" t="e">
        <f>'Area&amp;production data'!CO22</f>
        <v>#DIV/0!</v>
      </c>
      <c r="BH22" s="616" t="e">
        <f>'Area&amp;production data'!CP22</f>
        <v>#DIV/0!</v>
      </c>
      <c r="BI22" s="616" t="e">
        <f>'Area&amp;production data'!CQ22</f>
        <v>#DIV/0!</v>
      </c>
      <c r="BJ22" s="616" t="e">
        <f>'Area&amp;production data'!CR22</f>
        <v>#DIV/0!</v>
      </c>
    </row>
    <row r="23" spans="1:63" x14ac:dyDescent="0.25">
      <c r="A23" s="13">
        <v>19</v>
      </c>
      <c r="B23" s="13" t="s">
        <v>157</v>
      </c>
      <c r="C23" s="693">
        <f>'Area&amp;production data'!F23</f>
        <v>0</v>
      </c>
      <c r="D23" s="693">
        <f>'Area&amp;production data'!G23</f>
        <v>0</v>
      </c>
      <c r="E23" s="693">
        <f>'Area&amp;production data'!H23</f>
        <v>0</v>
      </c>
      <c r="F23" s="693">
        <f>'Area&amp;production data'!I23</f>
        <v>0</v>
      </c>
      <c r="G23" s="693">
        <f>'Area&amp;production data'!J23</f>
        <v>0</v>
      </c>
      <c r="H23" s="693">
        <f>'Area&amp;production data'!K23</f>
        <v>0</v>
      </c>
      <c r="I23" s="693">
        <f>'Area&amp;production data'!L23</f>
        <v>0</v>
      </c>
      <c r="J23" s="693">
        <f>'Area&amp;production data'!M23</f>
        <v>0</v>
      </c>
      <c r="K23" s="693">
        <f>'Area&amp;production data'!N23</f>
        <v>0</v>
      </c>
      <c r="L23" s="693">
        <f>'Area&amp;production data'!O23</f>
        <v>0</v>
      </c>
      <c r="M23" s="274">
        <f t="shared" si="0"/>
        <v>0</v>
      </c>
      <c r="N23" s="275">
        <f t="shared" si="1"/>
        <v>0</v>
      </c>
      <c r="O23" s="695">
        <f>'Area&amp;production data'!AW23</f>
        <v>0</v>
      </c>
      <c r="P23" s="695">
        <f>'Area&amp;production data'!AX23</f>
        <v>0</v>
      </c>
      <c r="Q23" s="695">
        <f>'Area&amp;production data'!AY23</f>
        <v>0</v>
      </c>
      <c r="R23" s="420">
        <f>'Area&amp;production data'!AZ23</f>
        <v>0</v>
      </c>
      <c r="S23" s="695">
        <f>'Area&amp;production data'!BA23</f>
        <v>0</v>
      </c>
      <c r="T23" s="695">
        <f>'Area&amp;production data'!BB23</f>
        <v>0</v>
      </c>
      <c r="U23" s="695">
        <f>'Area&amp;production data'!BC23</f>
        <v>0</v>
      </c>
      <c r="V23" s="420">
        <f>'Area&amp;production data'!BD23</f>
        <v>0</v>
      </c>
      <c r="W23" s="695">
        <f>'Area&amp;production data'!BE23</f>
        <v>0</v>
      </c>
      <c r="X23" s="695">
        <f>'Area&amp;production data'!BF23</f>
        <v>0</v>
      </c>
      <c r="Y23" s="695">
        <f>'Area&amp;production data'!BG23</f>
        <v>0</v>
      </c>
      <c r="Z23" s="420">
        <f>'Area&amp;production data'!BH23</f>
        <v>0</v>
      </c>
      <c r="AA23" s="695">
        <f>'Area&amp;production data'!BI23</f>
        <v>0</v>
      </c>
      <c r="AB23" s="695">
        <f>'Area&amp;production data'!BJ23</f>
        <v>0</v>
      </c>
      <c r="AC23" s="695">
        <f>'Area&amp;production data'!BK23</f>
        <v>0</v>
      </c>
      <c r="AD23" s="420">
        <f>'Area&amp;production data'!BL23</f>
        <v>0</v>
      </c>
      <c r="AE23" s="695">
        <f>'Area&amp;production data'!BM23</f>
        <v>0</v>
      </c>
      <c r="AF23" s="695">
        <f>'Area&amp;production data'!BN23</f>
        <v>0</v>
      </c>
      <c r="AG23" s="695">
        <f>'Area&amp;production data'!BO23</f>
        <v>0</v>
      </c>
      <c r="AH23" s="420">
        <f>'Area&amp;production data'!BP23</f>
        <v>0</v>
      </c>
      <c r="AI23" s="695">
        <f>'Area&amp;production data'!BQ23</f>
        <v>0</v>
      </c>
      <c r="AJ23" s="695">
        <f>'Area&amp;production data'!BR23</f>
        <v>0</v>
      </c>
      <c r="AK23" s="695">
        <f>'Area&amp;production data'!BS23</f>
        <v>0</v>
      </c>
      <c r="AL23" s="420">
        <f>'Area&amp;production data'!BT23</f>
        <v>0</v>
      </c>
      <c r="AM23" s="695">
        <f>'Area&amp;production data'!BU23</f>
        <v>0</v>
      </c>
      <c r="AN23" s="695">
        <f>'Area&amp;production data'!BV23</f>
        <v>0</v>
      </c>
      <c r="AO23" s="695">
        <f>'Area&amp;production data'!BW23</f>
        <v>0</v>
      </c>
      <c r="AP23" s="420">
        <f>'Area&amp;production data'!BX23</f>
        <v>0</v>
      </c>
      <c r="AQ23" s="695">
        <f>'Area&amp;production data'!BY23</f>
        <v>0</v>
      </c>
      <c r="AR23" s="695">
        <f>'Area&amp;production data'!BZ23</f>
        <v>0</v>
      </c>
      <c r="AS23" s="695">
        <f>'Area&amp;production data'!CA23</f>
        <v>0</v>
      </c>
      <c r="AT23" s="420">
        <f>'Area&amp;production data'!CB23</f>
        <v>0</v>
      </c>
      <c r="AU23" s="695">
        <f>'Area&amp;production data'!CC23</f>
        <v>0</v>
      </c>
      <c r="AV23" s="695">
        <f>'Area&amp;production data'!CD23</f>
        <v>0</v>
      </c>
      <c r="AW23" s="695">
        <f>'Area&amp;production data'!CE23</f>
        <v>0</v>
      </c>
      <c r="AX23" s="420">
        <f>'Area&amp;production data'!CF23</f>
        <v>0</v>
      </c>
      <c r="AY23" s="695">
        <f>'Area&amp;production data'!CG23</f>
        <v>0</v>
      </c>
      <c r="AZ23" s="695">
        <f>'Area&amp;production data'!CH23</f>
        <v>0</v>
      </c>
      <c r="BA23" s="695">
        <f>'Area&amp;production data'!CI23</f>
        <v>0</v>
      </c>
      <c r="BB23" s="420">
        <f>'Area&amp;production data'!CJ23</f>
        <v>0</v>
      </c>
      <c r="BC23" s="616" t="e">
        <f>'Area&amp;production data'!CK23</f>
        <v>#DIV/0!</v>
      </c>
      <c r="BD23" s="616" t="e">
        <f>'Area&amp;production data'!CL23</f>
        <v>#DIV/0!</v>
      </c>
      <c r="BE23" s="616" t="e">
        <f>'Area&amp;production data'!CM23</f>
        <v>#DIV/0!</v>
      </c>
      <c r="BF23" s="616" t="e">
        <f>'Area&amp;production data'!CN23</f>
        <v>#DIV/0!</v>
      </c>
      <c r="BG23" s="616" t="e">
        <f>'Area&amp;production data'!CO23</f>
        <v>#DIV/0!</v>
      </c>
      <c r="BH23" s="616" t="e">
        <f>'Area&amp;production data'!CP23</f>
        <v>#DIV/0!</v>
      </c>
      <c r="BI23" s="616" t="e">
        <f>'Area&amp;production data'!CQ23</f>
        <v>#DIV/0!</v>
      </c>
      <c r="BJ23" s="616" t="e">
        <f>'Area&amp;production data'!CR23</f>
        <v>#DIV/0!</v>
      </c>
    </row>
    <row r="24" spans="1:63" x14ac:dyDescent="0.25">
      <c r="A24" s="13">
        <v>20</v>
      </c>
      <c r="B24" s="13" t="s">
        <v>158</v>
      </c>
      <c r="C24" s="693">
        <f>'Area&amp;production data'!F24</f>
        <v>0</v>
      </c>
      <c r="D24" s="693">
        <f>'Area&amp;production data'!G24</f>
        <v>0</v>
      </c>
      <c r="E24" s="693">
        <f>'Area&amp;production data'!H24</f>
        <v>0</v>
      </c>
      <c r="F24" s="693">
        <f>'Area&amp;production data'!I24</f>
        <v>0</v>
      </c>
      <c r="G24" s="693">
        <f>'Area&amp;production data'!J24</f>
        <v>0</v>
      </c>
      <c r="H24" s="693">
        <f>'Area&amp;production data'!K24</f>
        <v>0</v>
      </c>
      <c r="I24" s="693">
        <f>'Area&amp;production data'!L24</f>
        <v>0</v>
      </c>
      <c r="J24" s="693">
        <f>'Area&amp;production data'!M24</f>
        <v>0</v>
      </c>
      <c r="K24" s="693">
        <f>'Area&amp;production data'!N24</f>
        <v>0</v>
      </c>
      <c r="L24" s="693">
        <f>'Area&amp;production data'!O24</f>
        <v>0</v>
      </c>
      <c r="M24" s="274">
        <f t="shared" si="0"/>
        <v>0</v>
      </c>
      <c r="N24" s="275">
        <f t="shared" si="1"/>
        <v>0</v>
      </c>
      <c r="O24" s="695">
        <f>'Area&amp;production data'!AW24</f>
        <v>0</v>
      </c>
      <c r="P24" s="695">
        <f>'Area&amp;production data'!AX24</f>
        <v>0</v>
      </c>
      <c r="Q24" s="695">
        <f>'Area&amp;production data'!AY24</f>
        <v>0</v>
      </c>
      <c r="R24" s="420">
        <f>'Area&amp;production data'!AZ24</f>
        <v>0</v>
      </c>
      <c r="S24" s="695">
        <f>'Area&amp;production data'!BA24</f>
        <v>0</v>
      </c>
      <c r="T24" s="695">
        <f>'Area&amp;production data'!BB24</f>
        <v>0</v>
      </c>
      <c r="U24" s="695">
        <f>'Area&amp;production data'!BC24</f>
        <v>0</v>
      </c>
      <c r="V24" s="420">
        <f>'Area&amp;production data'!BD24</f>
        <v>0</v>
      </c>
      <c r="W24" s="695">
        <f>'Area&amp;production data'!BE24</f>
        <v>0</v>
      </c>
      <c r="X24" s="695">
        <f>'Area&amp;production data'!BF24</f>
        <v>0</v>
      </c>
      <c r="Y24" s="695">
        <f>'Area&amp;production data'!BG24</f>
        <v>0</v>
      </c>
      <c r="Z24" s="420">
        <f>'Area&amp;production data'!BH24</f>
        <v>0</v>
      </c>
      <c r="AA24" s="695">
        <f>'Area&amp;production data'!BI24</f>
        <v>0</v>
      </c>
      <c r="AB24" s="695">
        <f>'Area&amp;production data'!BJ24</f>
        <v>0</v>
      </c>
      <c r="AC24" s="695">
        <f>'Area&amp;production data'!BK24</f>
        <v>0</v>
      </c>
      <c r="AD24" s="420">
        <f>'Area&amp;production data'!BL24</f>
        <v>0</v>
      </c>
      <c r="AE24" s="695">
        <f>'Area&amp;production data'!BM24</f>
        <v>0</v>
      </c>
      <c r="AF24" s="695">
        <f>'Area&amp;production data'!BN24</f>
        <v>0</v>
      </c>
      <c r="AG24" s="695">
        <f>'Area&amp;production data'!BO24</f>
        <v>0</v>
      </c>
      <c r="AH24" s="420">
        <f>'Area&amp;production data'!BP24</f>
        <v>0</v>
      </c>
      <c r="AI24" s="695">
        <f>'Area&amp;production data'!BQ24</f>
        <v>0</v>
      </c>
      <c r="AJ24" s="695">
        <f>'Area&amp;production data'!BR24</f>
        <v>0</v>
      </c>
      <c r="AK24" s="695">
        <f>'Area&amp;production data'!BS24</f>
        <v>0</v>
      </c>
      <c r="AL24" s="420">
        <f>'Area&amp;production data'!BT24</f>
        <v>0</v>
      </c>
      <c r="AM24" s="695">
        <f>'Area&amp;production data'!BU24</f>
        <v>0</v>
      </c>
      <c r="AN24" s="695">
        <f>'Area&amp;production data'!BV24</f>
        <v>0</v>
      </c>
      <c r="AO24" s="695">
        <f>'Area&amp;production data'!BW24</f>
        <v>0</v>
      </c>
      <c r="AP24" s="420">
        <f>'Area&amp;production data'!BX24</f>
        <v>0</v>
      </c>
      <c r="AQ24" s="695">
        <f>'Area&amp;production data'!BY24</f>
        <v>0</v>
      </c>
      <c r="AR24" s="695">
        <f>'Area&amp;production data'!BZ24</f>
        <v>0</v>
      </c>
      <c r="AS24" s="695">
        <f>'Area&amp;production data'!CA24</f>
        <v>0</v>
      </c>
      <c r="AT24" s="420">
        <f>'Area&amp;production data'!CB24</f>
        <v>0</v>
      </c>
      <c r="AU24" s="695">
        <f>'Area&amp;production data'!CC24</f>
        <v>0</v>
      </c>
      <c r="AV24" s="695">
        <f>'Area&amp;production data'!CD24</f>
        <v>0</v>
      </c>
      <c r="AW24" s="695">
        <f>'Area&amp;production data'!CE24</f>
        <v>0</v>
      </c>
      <c r="AX24" s="420">
        <f>'Area&amp;production data'!CF24</f>
        <v>0</v>
      </c>
      <c r="AY24" s="695">
        <f>'Area&amp;production data'!CG24</f>
        <v>0</v>
      </c>
      <c r="AZ24" s="695">
        <f>'Area&amp;production data'!CH24</f>
        <v>0</v>
      </c>
      <c r="BA24" s="695">
        <f>'Area&amp;production data'!CI24</f>
        <v>0</v>
      </c>
      <c r="BB24" s="420">
        <f>'Area&amp;production data'!CJ24</f>
        <v>0</v>
      </c>
      <c r="BC24" s="616" t="e">
        <f>'Area&amp;production data'!CK24</f>
        <v>#DIV/0!</v>
      </c>
      <c r="BD24" s="616" t="e">
        <f>'Area&amp;production data'!CL24</f>
        <v>#DIV/0!</v>
      </c>
      <c r="BE24" s="616" t="e">
        <f>'Area&amp;production data'!CM24</f>
        <v>#DIV/0!</v>
      </c>
      <c r="BF24" s="616" t="e">
        <f>'Area&amp;production data'!CN24</f>
        <v>#DIV/0!</v>
      </c>
      <c r="BG24" s="616" t="e">
        <f>'Area&amp;production data'!CO24</f>
        <v>#DIV/0!</v>
      </c>
      <c r="BH24" s="616" t="e">
        <f>'Area&amp;production data'!CP24</f>
        <v>#DIV/0!</v>
      </c>
      <c r="BI24" s="616" t="e">
        <f>'Area&amp;production data'!CQ24</f>
        <v>#DIV/0!</v>
      </c>
      <c r="BJ24" s="616" t="e">
        <f>'Area&amp;production data'!CR24</f>
        <v>#DIV/0!</v>
      </c>
    </row>
    <row r="25" spans="1:63" x14ac:dyDescent="0.25">
      <c r="A25" s="13">
        <v>21</v>
      </c>
      <c r="B25" s="13" t="s">
        <v>159</v>
      </c>
      <c r="C25" s="693">
        <f>'Area&amp;production data'!F25</f>
        <v>0</v>
      </c>
      <c r="D25" s="693">
        <f>'Area&amp;production data'!G25</f>
        <v>0</v>
      </c>
      <c r="E25" s="693">
        <f>'Area&amp;production data'!H25</f>
        <v>0</v>
      </c>
      <c r="F25" s="693">
        <f>'Area&amp;production data'!I25</f>
        <v>0</v>
      </c>
      <c r="G25" s="693">
        <f>'Area&amp;production data'!J25</f>
        <v>0</v>
      </c>
      <c r="H25" s="693">
        <f>'Area&amp;production data'!K25</f>
        <v>0</v>
      </c>
      <c r="I25" s="693">
        <f>'Area&amp;production data'!L25</f>
        <v>0</v>
      </c>
      <c r="J25" s="693">
        <f>'Area&amp;production data'!M25</f>
        <v>0</v>
      </c>
      <c r="K25" s="693">
        <f>'Area&amp;production data'!N25</f>
        <v>0</v>
      </c>
      <c r="L25" s="693">
        <f>'Area&amp;production data'!O25</f>
        <v>0</v>
      </c>
      <c r="M25" s="274">
        <f t="shared" si="0"/>
        <v>0</v>
      </c>
      <c r="N25" s="275">
        <f t="shared" si="1"/>
        <v>0</v>
      </c>
      <c r="O25" s="695">
        <f>'Area&amp;production data'!AW25</f>
        <v>0</v>
      </c>
      <c r="P25" s="695">
        <f>'Area&amp;production data'!AX25</f>
        <v>0</v>
      </c>
      <c r="Q25" s="695">
        <f>'Area&amp;production data'!AY25</f>
        <v>0</v>
      </c>
      <c r="R25" s="420">
        <f>'Area&amp;production data'!AZ25</f>
        <v>0</v>
      </c>
      <c r="S25" s="695">
        <f>'Area&amp;production data'!BA25</f>
        <v>0</v>
      </c>
      <c r="T25" s="695">
        <f>'Area&amp;production data'!BB25</f>
        <v>0</v>
      </c>
      <c r="U25" s="695">
        <f>'Area&amp;production data'!BC25</f>
        <v>0</v>
      </c>
      <c r="V25" s="420">
        <f>'Area&amp;production data'!BD25</f>
        <v>0</v>
      </c>
      <c r="W25" s="695">
        <f>'Area&amp;production data'!BE25</f>
        <v>0</v>
      </c>
      <c r="X25" s="695">
        <f>'Area&amp;production data'!BF25</f>
        <v>0</v>
      </c>
      <c r="Y25" s="695">
        <f>'Area&amp;production data'!BG25</f>
        <v>0</v>
      </c>
      <c r="Z25" s="420">
        <f>'Area&amp;production data'!BH25</f>
        <v>0</v>
      </c>
      <c r="AA25" s="695">
        <f>'Area&amp;production data'!BI25</f>
        <v>0</v>
      </c>
      <c r="AB25" s="695">
        <f>'Area&amp;production data'!BJ25</f>
        <v>0</v>
      </c>
      <c r="AC25" s="695">
        <f>'Area&amp;production data'!BK25</f>
        <v>0</v>
      </c>
      <c r="AD25" s="420">
        <f>'Area&amp;production data'!BL25</f>
        <v>0</v>
      </c>
      <c r="AE25" s="695">
        <f>'Area&amp;production data'!BM25</f>
        <v>0</v>
      </c>
      <c r="AF25" s="695">
        <f>'Area&amp;production data'!BN25</f>
        <v>0</v>
      </c>
      <c r="AG25" s="695">
        <f>'Area&amp;production data'!BO25</f>
        <v>0</v>
      </c>
      <c r="AH25" s="420">
        <f>'Area&amp;production data'!BP25</f>
        <v>0</v>
      </c>
      <c r="AI25" s="695">
        <f>'Area&amp;production data'!BQ25</f>
        <v>0</v>
      </c>
      <c r="AJ25" s="695">
        <f>'Area&amp;production data'!BR25</f>
        <v>0</v>
      </c>
      <c r="AK25" s="695">
        <f>'Area&amp;production data'!BS25</f>
        <v>0</v>
      </c>
      <c r="AL25" s="420">
        <f>'Area&amp;production data'!BT25</f>
        <v>0</v>
      </c>
      <c r="AM25" s="695">
        <f>'Area&amp;production data'!BU25</f>
        <v>0</v>
      </c>
      <c r="AN25" s="695">
        <f>'Area&amp;production data'!BV25</f>
        <v>0</v>
      </c>
      <c r="AO25" s="695">
        <f>'Area&amp;production data'!BW25</f>
        <v>0</v>
      </c>
      <c r="AP25" s="420">
        <f>'Area&amp;production data'!BX25</f>
        <v>0</v>
      </c>
      <c r="AQ25" s="695">
        <f>'Area&amp;production data'!BY25</f>
        <v>0</v>
      </c>
      <c r="AR25" s="695">
        <f>'Area&amp;production data'!BZ25</f>
        <v>0</v>
      </c>
      <c r="AS25" s="695">
        <f>'Area&amp;production data'!CA25</f>
        <v>0</v>
      </c>
      <c r="AT25" s="420">
        <f>'Area&amp;production data'!CB25</f>
        <v>0</v>
      </c>
      <c r="AU25" s="695">
        <f>'Area&amp;production data'!CC25</f>
        <v>0</v>
      </c>
      <c r="AV25" s="695">
        <f>'Area&amp;production data'!CD25</f>
        <v>0</v>
      </c>
      <c r="AW25" s="695">
        <f>'Area&amp;production data'!CE25</f>
        <v>0</v>
      </c>
      <c r="AX25" s="420">
        <f>'Area&amp;production data'!CF25</f>
        <v>0</v>
      </c>
      <c r="AY25" s="695">
        <f>'Area&amp;production data'!CG25</f>
        <v>0</v>
      </c>
      <c r="AZ25" s="695">
        <f>'Area&amp;production data'!CH25</f>
        <v>0</v>
      </c>
      <c r="BA25" s="695">
        <f>'Area&amp;production data'!CI25</f>
        <v>0</v>
      </c>
      <c r="BB25" s="420">
        <f>'Area&amp;production data'!CJ25</f>
        <v>0</v>
      </c>
      <c r="BC25" s="616" t="e">
        <f>'Area&amp;production data'!CK25</f>
        <v>#DIV/0!</v>
      </c>
      <c r="BD25" s="616" t="e">
        <f>'Area&amp;production data'!CL25</f>
        <v>#DIV/0!</v>
      </c>
      <c r="BE25" s="616" t="e">
        <f>'Area&amp;production data'!CM25</f>
        <v>#DIV/0!</v>
      </c>
      <c r="BF25" s="616" t="e">
        <f>'Area&amp;production data'!CN25</f>
        <v>#DIV/0!</v>
      </c>
      <c r="BG25" s="616" t="e">
        <f>'Area&amp;production data'!CO25</f>
        <v>#DIV/0!</v>
      </c>
      <c r="BH25" s="616" t="e">
        <f>'Area&amp;production data'!CP25</f>
        <v>#DIV/0!</v>
      </c>
      <c r="BI25" s="616" t="e">
        <f>'Area&amp;production data'!CQ25</f>
        <v>#DIV/0!</v>
      </c>
      <c r="BJ25" s="616" t="e">
        <f>'Area&amp;production data'!CR25</f>
        <v>#DIV/0!</v>
      </c>
    </row>
    <row r="26" spans="1:63" x14ac:dyDescent="0.25">
      <c r="A26" s="13">
        <v>22</v>
      </c>
      <c r="B26" s="13" t="s">
        <v>160</v>
      </c>
      <c r="C26" s="693">
        <f>'Area&amp;production data'!F26</f>
        <v>0</v>
      </c>
      <c r="D26" s="693">
        <f>'Area&amp;production data'!G26</f>
        <v>0</v>
      </c>
      <c r="E26" s="693">
        <f>'Area&amp;production data'!H26</f>
        <v>0</v>
      </c>
      <c r="F26" s="693">
        <f>'Area&amp;production data'!I26</f>
        <v>0</v>
      </c>
      <c r="G26" s="693">
        <f>'Area&amp;production data'!J26</f>
        <v>0</v>
      </c>
      <c r="H26" s="693">
        <f>'Area&amp;production data'!K26</f>
        <v>0</v>
      </c>
      <c r="I26" s="693">
        <f>'Area&amp;production data'!L26</f>
        <v>0</v>
      </c>
      <c r="J26" s="693">
        <f>'Area&amp;production data'!M26</f>
        <v>0</v>
      </c>
      <c r="K26" s="693">
        <f>'Area&amp;production data'!N26</f>
        <v>0</v>
      </c>
      <c r="L26" s="693">
        <f>'Area&amp;production data'!O26</f>
        <v>0</v>
      </c>
      <c r="M26" s="274">
        <f t="shared" si="0"/>
        <v>0</v>
      </c>
      <c r="N26" s="275">
        <f t="shared" si="1"/>
        <v>0</v>
      </c>
      <c r="O26" s="695">
        <f>'Area&amp;production data'!AW26</f>
        <v>0</v>
      </c>
      <c r="P26" s="695">
        <f>'Area&amp;production data'!AX26</f>
        <v>0</v>
      </c>
      <c r="Q26" s="695">
        <f>'Area&amp;production data'!AY26</f>
        <v>0</v>
      </c>
      <c r="R26" s="420">
        <f>'Area&amp;production data'!AZ26</f>
        <v>0</v>
      </c>
      <c r="S26" s="695">
        <f>'Area&amp;production data'!BA26</f>
        <v>0</v>
      </c>
      <c r="T26" s="695">
        <f>'Area&amp;production data'!BB26</f>
        <v>0</v>
      </c>
      <c r="U26" s="695">
        <f>'Area&amp;production data'!BC26</f>
        <v>0</v>
      </c>
      <c r="V26" s="420">
        <f>'Area&amp;production data'!BD26</f>
        <v>0</v>
      </c>
      <c r="W26" s="695">
        <f>'Area&amp;production data'!BE26</f>
        <v>0</v>
      </c>
      <c r="X26" s="695">
        <f>'Area&amp;production data'!BF26</f>
        <v>0</v>
      </c>
      <c r="Y26" s="695">
        <f>'Area&amp;production data'!BG26</f>
        <v>0</v>
      </c>
      <c r="Z26" s="420">
        <f>'Area&amp;production data'!BH26</f>
        <v>0</v>
      </c>
      <c r="AA26" s="695">
        <f>'Area&amp;production data'!BI26</f>
        <v>0</v>
      </c>
      <c r="AB26" s="695">
        <f>'Area&amp;production data'!BJ26</f>
        <v>0</v>
      </c>
      <c r="AC26" s="695">
        <f>'Area&amp;production data'!BK26</f>
        <v>0</v>
      </c>
      <c r="AD26" s="420">
        <f>'Area&amp;production data'!BL26</f>
        <v>0</v>
      </c>
      <c r="AE26" s="695">
        <f>'Area&amp;production data'!BM26</f>
        <v>0</v>
      </c>
      <c r="AF26" s="695">
        <f>'Area&amp;production data'!BN26</f>
        <v>0</v>
      </c>
      <c r="AG26" s="695">
        <f>'Area&amp;production data'!BO26</f>
        <v>0</v>
      </c>
      <c r="AH26" s="420">
        <f>'Area&amp;production data'!BP26</f>
        <v>0</v>
      </c>
      <c r="AI26" s="695">
        <f>'Area&amp;production data'!BQ26</f>
        <v>0</v>
      </c>
      <c r="AJ26" s="695">
        <f>'Area&amp;production data'!BR26</f>
        <v>0</v>
      </c>
      <c r="AK26" s="695">
        <f>'Area&amp;production data'!BS26</f>
        <v>0</v>
      </c>
      <c r="AL26" s="420">
        <f>'Area&amp;production data'!BT26</f>
        <v>0</v>
      </c>
      <c r="AM26" s="695">
        <f>'Area&amp;production data'!BU26</f>
        <v>0</v>
      </c>
      <c r="AN26" s="695">
        <f>'Area&amp;production data'!BV26</f>
        <v>0</v>
      </c>
      <c r="AO26" s="695">
        <f>'Area&amp;production data'!BW26</f>
        <v>0</v>
      </c>
      <c r="AP26" s="420">
        <f>'Area&amp;production data'!BX26</f>
        <v>0</v>
      </c>
      <c r="AQ26" s="695">
        <f>'Area&amp;production data'!BY26</f>
        <v>0</v>
      </c>
      <c r="AR26" s="695">
        <f>'Area&amp;production data'!BZ26</f>
        <v>0</v>
      </c>
      <c r="AS26" s="695">
        <f>'Area&amp;production data'!CA26</f>
        <v>0</v>
      </c>
      <c r="AT26" s="420">
        <f>'Area&amp;production data'!CB26</f>
        <v>0</v>
      </c>
      <c r="AU26" s="695">
        <f>'Area&amp;production data'!CC26</f>
        <v>0</v>
      </c>
      <c r="AV26" s="695">
        <f>'Area&amp;production data'!CD26</f>
        <v>0</v>
      </c>
      <c r="AW26" s="695">
        <f>'Area&amp;production data'!CE26</f>
        <v>0</v>
      </c>
      <c r="AX26" s="420">
        <f>'Area&amp;production data'!CF26</f>
        <v>0</v>
      </c>
      <c r="AY26" s="695">
        <f>'Area&amp;production data'!CG26</f>
        <v>0</v>
      </c>
      <c r="AZ26" s="695">
        <f>'Area&amp;production data'!CH26</f>
        <v>0</v>
      </c>
      <c r="BA26" s="695">
        <f>'Area&amp;production data'!CI26</f>
        <v>0</v>
      </c>
      <c r="BB26" s="420">
        <f>'Area&amp;production data'!CJ26</f>
        <v>0</v>
      </c>
      <c r="BC26" s="616" t="e">
        <f>'Area&amp;production data'!CK26</f>
        <v>#DIV/0!</v>
      </c>
      <c r="BD26" s="616" t="e">
        <f>'Area&amp;production data'!CL26</f>
        <v>#DIV/0!</v>
      </c>
      <c r="BE26" s="616" t="e">
        <f>'Area&amp;production data'!CM26</f>
        <v>#DIV/0!</v>
      </c>
      <c r="BF26" s="616" t="e">
        <f>'Area&amp;production data'!CN26</f>
        <v>#DIV/0!</v>
      </c>
      <c r="BG26" s="616" t="e">
        <f>'Area&amp;production data'!CO26</f>
        <v>#DIV/0!</v>
      </c>
      <c r="BH26" s="616" t="e">
        <f>'Area&amp;production data'!CP26</f>
        <v>#DIV/0!</v>
      </c>
      <c r="BI26" s="616" t="e">
        <f>'Area&amp;production data'!CQ26</f>
        <v>#DIV/0!</v>
      </c>
      <c r="BJ26" s="616" t="e">
        <f>'Area&amp;production data'!CR26</f>
        <v>#DIV/0!</v>
      </c>
    </row>
    <row r="27" spans="1:63" x14ac:dyDescent="0.25">
      <c r="A27" s="13">
        <v>23</v>
      </c>
      <c r="B27" s="13" t="s">
        <v>161</v>
      </c>
      <c r="C27" s="693">
        <f>'Area&amp;production data'!F27</f>
        <v>0</v>
      </c>
      <c r="D27" s="693">
        <f>'Area&amp;production data'!G27</f>
        <v>0</v>
      </c>
      <c r="E27" s="693">
        <f>'Area&amp;production data'!H27</f>
        <v>0</v>
      </c>
      <c r="F27" s="693">
        <f>'Area&amp;production data'!I27</f>
        <v>0</v>
      </c>
      <c r="G27" s="693">
        <f>'Area&amp;production data'!J27</f>
        <v>0</v>
      </c>
      <c r="H27" s="693">
        <f>'Area&amp;production data'!K27</f>
        <v>0</v>
      </c>
      <c r="I27" s="693">
        <f>'Area&amp;production data'!L27</f>
        <v>0</v>
      </c>
      <c r="J27" s="693">
        <f>'Area&amp;production data'!M27</f>
        <v>0</v>
      </c>
      <c r="K27" s="693">
        <f>'Area&amp;production data'!N27</f>
        <v>0</v>
      </c>
      <c r="L27" s="693">
        <f>'Area&amp;production data'!O27</f>
        <v>0</v>
      </c>
      <c r="M27" s="274">
        <f t="shared" si="0"/>
        <v>0</v>
      </c>
      <c r="N27" s="275">
        <f t="shared" si="1"/>
        <v>0</v>
      </c>
      <c r="O27" s="695">
        <f>'Area&amp;production data'!AW27</f>
        <v>0</v>
      </c>
      <c r="P27" s="695">
        <f>'Area&amp;production data'!AX27</f>
        <v>0</v>
      </c>
      <c r="Q27" s="695">
        <f>'Area&amp;production data'!AY27</f>
        <v>0</v>
      </c>
      <c r="R27" s="420">
        <f>'Area&amp;production data'!AZ27</f>
        <v>0</v>
      </c>
      <c r="S27" s="695">
        <f>'Area&amp;production data'!BA27</f>
        <v>0</v>
      </c>
      <c r="T27" s="695">
        <f>'Area&amp;production data'!BB27</f>
        <v>0</v>
      </c>
      <c r="U27" s="695">
        <f>'Area&amp;production data'!BC27</f>
        <v>0</v>
      </c>
      <c r="V27" s="420">
        <f>'Area&amp;production data'!BD27</f>
        <v>0</v>
      </c>
      <c r="W27" s="695">
        <f>'Area&amp;production data'!BE27</f>
        <v>0</v>
      </c>
      <c r="X27" s="695">
        <f>'Area&amp;production data'!BF27</f>
        <v>0</v>
      </c>
      <c r="Y27" s="695">
        <f>'Area&amp;production data'!BG27</f>
        <v>0</v>
      </c>
      <c r="Z27" s="420">
        <f>'Area&amp;production data'!BH27</f>
        <v>0</v>
      </c>
      <c r="AA27" s="695">
        <f>'Area&amp;production data'!BI27</f>
        <v>0</v>
      </c>
      <c r="AB27" s="695">
        <f>'Area&amp;production data'!BJ27</f>
        <v>0</v>
      </c>
      <c r="AC27" s="695">
        <f>'Area&amp;production data'!BK27</f>
        <v>0</v>
      </c>
      <c r="AD27" s="420">
        <f>'Area&amp;production data'!BL27</f>
        <v>0</v>
      </c>
      <c r="AE27" s="695">
        <f>'Area&amp;production data'!BM27</f>
        <v>0</v>
      </c>
      <c r="AF27" s="695">
        <f>'Area&amp;production data'!BN27</f>
        <v>0</v>
      </c>
      <c r="AG27" s="695">
        <f>'Area&amp;production data'!BO27</f>
        <v>0</v>
      </c>
      <c r="AH27" s="420">
        <f>'Area&amp;production data'!BP27</f>
        <v>0</v>
      </c>
      <c r="AI27" s="695">
        <f>'Area&amp;production data'!BQ27</f>
        <v>0</v>
      </c>
      <c r="AJ27" s="695">
        <f>'Area&amp;production data'!BR27</f>
        <v>0</v>
      </c>
      <c r="AK27" s="695">
        <f>'Area&amp;production data'!BS27</f>
        <v>0</v>
      </c>
      <c r="AL27" s="420">
        <f>'Area&amp;production data'!BT27</f>
        <v>0</v>
      </c>
      <c r="AM27" s="695">
        <f>'Area&amp;production data'!BU27</f>
        <v>0</v>
      </c>
      <c r="AN27" s="695">
        <f>'Area&amp;production data'!BV27</f>
        <v>0</v>
      </c>
      <c r="AO27" s="695">
        <f>'Area&amp;production data'!BW27</f>
        <v>0</v>
      </c>
      <c r="AP27" s="420">
        <f>'Area&amp;production data'!BX27</f>
        <v>0</v>
      </c>
      <c r="AQ27" s="695">
        <f>'Area&amp;production data'!BY27</f>
        <v>0</v>
      </c>
      <c r="AR27" s="695">
        <f>'Area&amp;production data'!BZ27</f>
        <v>0</v>
      </c>
      <c r="AS27" s="695">
        <f>'Area&amp;production data'!CA27</f>
        <v>0</v>
      </c>
      <c r="AT27" s="420">
        <f>'Area&amp;production data'!CB27</f>
        <v>0</v>
      </c>
      <c r="AU27" s="695">
        <f>'Area&amp;production data'!CC27</f>
        <v>0</v>
      </c>
      <c r="AV27" s="695">
        <f>'Area&amp;production data'!CD27</f>
        <v>0</v>
      </c>
      <c r="AW27" s="695">
        <f>'Area&amp;production data'!CE27</f>
        <v>0</v>
      </c>
      <c r="AX27" s="420">
        <f>'Area&amp;production data'!CF27</f>
        <v>0</v>
      </c>
      <c r="AY27" s="695">
        <f>'Area&amp;production data'!CG27</f>
        <v>0</v>
      </c>
      <c r="AZ27" s="695">
        <f>'Area&amp;production data'!CH27</f>
        <v>0</v>
      </c>
      <c r="BA27" s="695">
        <f>'Area&amp;production data'!CI27</f>
        <v>0</v>
      </c>
      <c r="BB27" s="420">
        <f>'Area&amp;production data'!CJ27</f>
        <v>0</v>
      </c>
      <c r="BC27" s="616" t="e">
        <f>'Area&amp;production data'!CK27</f>
        <v>#DIV/0!</v>
      </c>
      <c r="BD27" s="616" t="e">
        <f>'Area&amp;production data'!CL27</f>
        <v>#DIV/0!</v>
      </c>
      <c r="BE27" s="616" t="e">
        <f>'Area&amp;production data'!CM27</f>
        <v>#DIV/0!</v>
      </c>
      <c r="BF27" s="616" t="e">
        <f>'Area&amp;production data'!CN27</f>
        <v>#DIV/0!</v>
      </c>
      <c r="BG27" s="616" t="e">
        <f>'Area&amp;production data'!CO27</f>
        <v>#DIV/0!</v>
      </c>
      <c r="BH27" s="616" t="e">
        <f>'Area&amp;production data'!CP27</f>
        <v>#DIV/0!</v>
      </c>
      <c r="BI27" s="616" t="e">
        <f>'Area&amp;production data'!CQ27</f>
        <v>#DIV/0!</v>
      </c>
      <c r="BJ27" s="616" t="e">
        <f>'Area&amp;production data'!CR27</f>
        <v>#DIV/0!</v>
      </c>
    </row>
    <row r="28" spans="1:63" x14ac:dyDescent="0.25">
      <c r="A28" s="13">
        <v>24</v>
      </c>
      <c r="B28" s="13" t="s">
        <v>162</v>
      </c>
      <c r="C28" s="693">
        <f>'Area&amp;production data'!F28</f>
        <v>0</v>
      </c>
      <c r="D28" s="693">
        <f>'Area&amp;production data'!G28</f>
        <v>0</v>
      </c>
      <c r="E28" s="693">
        <f>'Area&amp;production data'!H28</f>
        <v>0</v>
      </c>
      <c r="F28" s="693">
        <f>'Area&amp;production data'!I28</f>
        <v>0</v>
      </c>
      <c r="G28" s="693">
        <f>'Area&amp;production data'!J28</f>
        <v>0</v>
      </c>
      <c r="H28" s="693">
        <f>'Area&amp;production data'!K28</f>
        <v>0</v>
      </c>
      <c r="I28" s="693">
        <f>'Area&amp;production data'!L28</f>
        <v>0</v>
      </c>
      <c r="J28" s="693">
        <f>'Area&amp;production data'!M28</f>
        <v>0</v>
      </c>
      <c r="K28" s="693">
        <f>'Area&amp;production data'!N28</f>
        <v>0</v>
      </c>
      <c r="L28" s="693">
        <f>'Area&amp;production data'!O28</f>
        <v>0</v>
      </c>
      <c r="M28" s="274">
        <f t="shared" si="0"/>
        <v>0</v>
      </c>
      <c r="N28" s="275">
        <f t="shared" si="1"/>
        <v>0</v>
      </c>
      <c r="O28" s="695">
        <f>'Area&amp;production data'!AW28</f>
        <v>0</v>
      </c>
      <c r="P28" s="695">
        <f>'Area&amp;production data'!AX28</f>
        <v>0</v>
      </c>
      <c r="Q28" s="695">
        <f>'Area&amp;production data'!AY28</f>
        <v>0</v>
      </c>
      <c r="R28" s="420">
        <f>'Area&amp;production data'!AZ28</f>
        <v>0</v>
      </c>
      <c r="S28" s="695">
        <f>'Area&amp;production data'!BA28</f>
        <v>0</v>
      </c>
      <c r="T28" s="695">
        <f>'Area&amp;production data'!BB28</f>
        <v>0</v>
      </c>
      <c r="U28" s="695">
        <f>'Area&amp;production data'!BC28</f>
        <v>0</v>
      </c>
      <c r="V28" s="420">
        <f>'Area&amp;production data'!BD28</f>
        <v>0</v>
      </c>
      <c r="W28" s="695">
        <f>'Area&amp;production data'!BE28</f>
        <v>0</v>
      </c>
      <c r="X28" s="695">
        <f>'Area&amp;production data'!BF28</f>
        <v>0</v>
      </c>
      <c r="Y28" s="695">
        <f>'Area&amp;production data'!BG28</f>
        <v>0</v>
      </c>
      <c r="Z28" s="420">
        <f>'Area&amp;production data'!BH28</f>
        <v>0</v>
      </c>
      <c r="AA28" s="695">
        <f>'Area&amp;production data'!BI28</f>
        <v>0</v>
      </c>
      <c r="AB28" s="695">
        <f>'Area&amp;production data'!BJ28</f>
        <v>0</v>
      </c>
      <c r="AC28" s="695">
        <f>'Area&amp;production data'!BK28</f>
        <v>0</v>
      </c>
      <c r="AD28" s="420">
        <f>'Area&amp;production data'!BL28</f>
        <v>0</v>
      </c>
      <c r="AE28" s="695">
        <f>'Area&amp;production data'!BM28</f>
        <v>0</v>
      </c>
      <c r="AF28" s="695">
        <f>'Area&amp;production data'!BN28</f>
        <v>0</v>
      </c>
      <c r="AG28" s="695">
        <f>'Area&amp;production data'!BO28</f>
        <v>0</v>
      </c>
      <c r="AH28" s="420">
        <f>'Area&amp;production data'!BP28</f>
        <v>0</v>
      </c>
      <c r="AI28" s="695">
        <f>'Area&amp;production data'!BQ28</f>
        <v>0</v>
      </c>
      <c r="AJ28" s="695">
        <f>'Area&amp;production data'!BR28</f>
        <v>0</v>
      </c>
      <c r="AK28" s="695">
        <f>'Area&amp;production data'!BS28</f>
        <v>0</v>
      </c>
      <c r="AL28" s="420">
        <f>'Area&amp;production data'!BT28</f>
        <v>0</v>
      </c>
      <c r="AM28" s="695">
        <f>'Area&amp;production data'!BU28</f>
        <v>0</v>
      </c>
      <c r="AN28" s="695">
        <f>'Area&amp;production data'!BV28</f>
        <v>0</v>
      </c>
      <c r="AO28" s="695">
        <f>'Area&amp;production data'!BW28</f>
        <v>0</v>
      </c>
      <c r="AP28" s="420">
        <f>'Area&amp;production data'!BX28</f>
        <v>0</v>
      </c>
      <c r="AQ28" s="695">
        <f>'Area&amp;production data'!BY28</f>
        <v>0</v>
      </c>
      <c r="AR28" s="695">
        <f>'Area&amp;production data'!BZ28</f>
        <v>0</v>
      </c>
      <c r="AS28" s="695">
        <f>'Area&amp;production data'!CA28</f>
        <v>0</v>
      </c>
      <c r="AT28" s="420">
        <f>'Area&amp;production data'!CB28</f>
        <v>0</v>
      </c>
      <c r="AU28" s="695">
        <f>'Area&amp;production data'!CC28</f>
        <v>0</v>
      </c>
      <c r="AV28" s="695">
        <f>'Area&amp;production data'!CD28</f>
        <v>0</v>
      </c>
      <c r="AW28" s="695">
        <f>'Area&amp;production data'!CE28</f>
        <v>0</v>
      </c>
      <c r="AX28" s="420">
        <f>'Area&amp;production data'!CF28</f>
        <v>0</v>
      </c>
      <c r="AY28" s="695">
        <f>'Area&amp;production data'!CG28</f>
        <v>0</v>
      </c>
      <c r="AZ28" s="695">
        <f>'Area&amp;production data'!CH28</f>
        <v>0</v>
      </c>
      <c r="BA28" s="695">
        <f>'Area&amp;production data'!CI28</f>
        <v>0</v>
      </c>
      <c r="BB28" s="420">
        <f>'Area&amp;production data'!CJ28</f>
        <v>0</v>
      </c>
      <c r="BC28" s="616" t="e">
        <f>'Area&amp;production data'!CK28</f>
        <v>#DIV/0!</v>
      </c>
      <c r="BD28" s="616" t="e">
        <f>'Area&amp;production data'!CL28</f>
        <v>#DIV/0!</v>
      </c>
      <c r="BE28" s="616" t="e">
        <f>'Area&amp;production data'!CM28</f>
        <v>#DIV/0!</v>
      </c>
      <c r="BF28" s="616" t="e">
        <f>'Area&amp;production data'!CN28</f>
        <v>#DIV/0!</v>
      </c>
      <c r="BG28" s="616" t="e">
        <f>'Area&amp;production data'!CO28</f>
        <v>#DIV/0!</v>
      </c>
      <c r="BH28" s="616" t="e">
        <f>'Area&amp;production data'!CP28</f>
        <v>#DIV/0!</v>
      </c>
      <c r="BI28" s="616" t="e">
        <f>'Area&amp;production data'!CQ28</f>
        <v>#DIV/0!</v>
      </c>
      <c r="BJ28" s="616" t="e">
        <f>'Area&amp;production data'!CR28</f>
        <v>#DIV/0!</v>
      </c>
    </row>
    <row r="29" spans="1:63" s="1" customFormat="1" x14ac:dyDescent="0.25">
      <c r="A29" s="822" t="s">
        <v>163</v>
      </c>
      <c r="B29" s="823"/>
      <c r="C29" s="48">
        <f>SUM(C5:C28)</f>
        <v>0</v>
      </c>
      <c r="D29" s="48">
        <f t="shared" ref="D29:L29" si="2">SUM(D5:D28)</f>
        <v>0</v>
      </c>
      <c r="E29" s="48">
        <f t="shared" si="2"/>
        <v>0</v>
      </c>
      <c r="F29" s="48">
        <f t="shared" si="2"/>
        <v>0</v>
      </c>
      <c r="G29" s="48">
        <f t="shared" si="2"/>
        <v>0</v>
      </c>
      <c r="H29" s="48">
        <f t="shared" si="2"/>
        <v>0</v>
      </c>
      <c r="I29" s="48">
        <f t="shared" si="2"/>
        <v>0</v>
      </c>
      <c r="J29" s="48">
        <f t="shared" si="2"/>
        <v>0</v>
      </c>
      <c r="K29" s="48">
        <f t="shared" si="2"/>
        <v>0</v>
      </c>
      <c r="L29" s="48">
        <f t="shared" si="2"/>
        <v>0</v>
      </c>
      <c r="M29" s="48">
        <f>SUM(M5:M28)</f>
        <v>0</v>
      </c>
      <c r="N29" s="48">
        <f>SUM(N5:N28)</f>
        <v>0</v>
      </c>
      <c r="O29" s="420" t="e">
        <f>SUMPRODUCT(O5:O28,C5:C28)/C29</f>
        <v>#DIV/0!</v>
      </c>
      <c r="P29" s="420" t="e">
        <f>SUMPRODUCT(P5:P28,C5:C28)/C29</f>
        <v>#DIV/0!</v>
      </c>
      <c r="Q29" s="420" t="e">
        <f>SUMPRODUCT(Q5:Q28,C5:C28)/C29</f>
        <v>#DIV/0!</v>
      </c>
      <c r="R29" s="420" t="e">
        <f t="shared" ref="R29" si="3">SUMPRODUCT(R5:R28,F5:F28)/F29</f>
        <v>#DIV/0!</v>
      </c>
      <c r="S29" s="420" t="e">
        <f>'Area&amp;production data'!BA29</f>
        <v>#DIV/0!</v>
      </c>
      <c r="T29" s="420" t="e">
        <f>'Area&amp;production data'!BB29</f>
        <v>#DIV/0!</v>
      </c>
      <c r="U29" s="420" t="e">
        <f>'Area&amp;production data'!BC29</f>
        <v>#DIV/0!</v>
      </c>
      <c r="V29" s="420" t="e">
        <f>'Area&amp;production data'!BD29</f>
        <v>#DIV/0!</v>
      </c>
      <c r="W29" s="420" t="e">
        <f>'Area&amp;production data'!BE29</f>
        <v>#DIV/0!</v>
      </c>
      <c r="X29" s="420" t="e">
        <f>'Area&amp;production data'!BF29</f>
        <v>#DIV/0!</v>
      </c>
      <c r="Y29" s="420" t="e">
        <f>'Area&amp;production data'!BG29</f>
        <v>#DIV/0!</v>
      </c>
      <c r="Z29" s="420" t="e">
        <f>'Area&amp;production data'!BH29</f>
        <v>#DIV/0!</v>
      </c>
      <c r="AA29" s="420" t="e">
        <f>'Area&amp;production data'!BI29</f>
        <v>#DIV/0!</v>
      </c>
      <c r="AB29" s="420" t="e">
        <f>'Area&amp;production data'!BJ29</f>
        <v>#DIV/0!</v>
      </c>
      <c r="AC29" s="420" t="e">
        <f>'Area&amp;production data'!BK29</f>
        <v>#DIV/0!</v>
      </c>
      <c r="AD29" s="420" t="e">
        <f>'Area&amp;production data'!BL29</f>
        <v>#DIV/0!</v>
      </c>
      <c r="AE29" s="420" t="e">
        <f>'Area&amp;production data'!BM29</f>
        <v>#DIV/0!</v>
      </c>
      <c r="AF29" s="420" t="e">
        <f>'Area&amp;production data'!BN29</f>
        <v>#DIV/0!</v>
      </c>
      <c r="AG29" s="420" t="e">
        <f>'Area&amp;production data'!BO29</f>
        <v>#DIV/0!</v>
      </c>
      <c r="AH29" s="420" t="e">
        <f>'Area&amp;production data'!BP29</f>
        <v>#DIV/0!</v>
      </c>
      <c r="AI29" s="420" t="e">
        <f>'Area&amp;production data'!BQ29</f>
        <v>#DIV/0!</v>
      </c>
      <c r="AJ29" s="420" t="e">
        <f>'Area&amp;production data'!BR29</f>
        <v>#DIV/0!</v>
      </c>
      <c r="AK29" s="420" t="e">
        <f>'Area&amp;production data'!BS29</f>
        <v>#DIV/0!</v>
      </c>
      <c r="AL29" s="420" t="e">
        <f>'Area&amp;production data'!BT29</f>
        <v>#DIV/0!</v>
      </c>
      <c r="AM29" s="420" t="e">
        <f>'Area&amp;production data'!BU29</f>
        <v>#DIV/0!</v>
      </c>
      <c r="AN29" s="420" t="e">
        <f>'Area&amp;production data'!BV29</f>
        <v>#DIV/0!</v>
      </c>
      <c r="AO29" s="420" t="e">
        <f>'Area&amp;production data'!BW29</f>
        <v>#DIV/0!</v>
      </c>
      <c r="AP29" s="420" t="e">
        <f>'Area&amp;production data'!BX29</f>
        <v>#DIV/0!</v>
      </c>
      <c r="AQ29" s="420" t="e">
        <f>'Area&amp;production data'!BY29</f>
        <v>#DIV/0!</v>
      </c>
      <c r="AR29" s="420" t="e">
        <f>'Area&amp;production data'!BZ29</f>
        <v>#DIV/0!</v>
      </c>
      <c r="AS29" s="420" t="e">
        <f>'Area&amp;production data'!CA29</f>
        <v>#DIV/0!</v>
      </c>
      <c r="AT29" s="420" t="e">
        <f>'Area&amp;production data'!CB29</f>
        <v>#DIV/0!</v>
      </c>
      <c r="AU29" s="420" t="e">
        <f>'Area&amp;production data'!CC29</f>
        <v>#DIV/0!</v>
      </c>
      <c r="AV29" s="420" t="e">
        <f>'Area&amp;production data'!CD29</f>
        <v>#DIV/0!</v>
      </c>
      <c r="AW29" s="420" t="e">
        <f>'Area&amp;production data'!CE29</f>
        <v>#DIV/0!</v>
      </c>
      <c r="AX29" s="420" t="e">
        <f>'Area&amp;production data'!CF29</f>
        <v>#DIV/0!</v>
      </c>
      <c r="AY29" s="420" t="e">
        <f>'Area&amp;production data'!CG29</f>
        <v>#DIV/0!</v>
      </c>
      <c r="AZ29" s="420" t="e">
        <f>'Area&amp;production data'!CH29</f>
        <v>#DIV/0!</v>
      </c>
      <c r="BA29" s="420" t="e">
        <f>'Area&amp;production data'!CI29</f>
        <v>#DIV/0!</v>
      </c>
      <c r="BB29" s="420" t="e">
        <f>'Area&amp;production data'!CJ29</f>
        <v>#DIV/0!</v>
      </c>
      <c r="BC29" s="616" t="e">
        <f>'Area&amp;production data'!CK29</f>
        <v>#DIV/0!</v>
      </c>
      <c r="BD29" s="616" t="e">
        <f>'Area&amp;production data'!CL29</f>
        <v>#DIV/0!</v>
      </c>
      <c r="BE29" s="616" t="e">
        <f>'Area&amp;production data'!CM29</f>
        <v>#DIV/0!</v>
      </c>
      <c r="BF29" s="616" t="e">
        <f>'Area&amp;production data'!CN29</f>
        <v>#DIV/0!</v>
      </c>
      <c r="BG29" s="616" t="e">
        <f>'Area&amp;production data'!CO29</f>
        <v>#DIV/0!</v>
      </c>
      <c r="BH29" s="616" t="e">
        <f>'Area&amp;production data'!CP29</f>
        <v>#DIV/0!</v>
      </c>
      <c r="BI29" s="616" t="e">
        <f>'Area&amp;production data'!CQ29</f>
        <v>#DIV/0!</v>
      </c>
      <c r="BJ29" s="616" t="e">
        <f>'Area&amp;production data'!CR29</f>
        <v>#DIV/0!</v>
      </c>
      <c r="BK29" s="289" t="e">
        <f>SUM(BG29:BI29)=BJ29</f>
        <v>#DIV/0!</v>
      </c>
    </row>
    <row r="30" spans="1:63" x14ac:dyDescent="0.25">
      <c r="A30" s="822" t="s">
        <v>192</v>
      </c>
      <c r="B30" s="823"/>
      <c r="I30" s="252" t="b">
        <f>SUM(C29:L29)=N29</f>
        <v>1</v>
      </c>
      <c r="J30" s="252"/>
      <c r="K30" s="252"/>
      <c r="BF30" s="251" t="e">
        <f>ABS(BF29-100%)&lt;0.1%</f>
        <v>#DIV/0!</v>
      </c>
      <c r="BJ30" s="494"/>
    </row>
    <row r="31" spans="1:63" x14ac:dyDescent="0.25">
      <c r="I31" s="175"/>
      <c r="J31" s="175"/>
      <c r="K31" s="175"/>
      <c r="L31" s="250"/>
      <c r="M31" s="250"/>
      <c r="N31" s="250"/>
    </row>
  </sheetData>
  <mergeCells count="17">
    <mergeCell ref="BG3:BJ3"/>
    <mergeCell ref="C3:N3"/>
    <mergeCell ref="AI3:AL3"/>
    <mergeCell ref="AM3:AP3"/>
    <mergeCell ref="AQ3:AT3"/>
    <mergeCell ref="AU3:AX3"/>
    <mergeCell ref="AY3:BB3"/>
    <mergeCell ref="BC3:BF3"/>
    <mergeCell ref="O3:R3"/>
    <mergeCell ref="S3:V3"/>
    <mergeCell ref="W3:Z3"/>
    <mergeCell ref="AA3:AD3"/>
    <mergeCell ref="AE3:AH3"/>
    <mergeCell ref="A29:B29"/>
    <mergeCell ref="A30:B30"/>
    <mergeCell ref="A3:A4"/>
    <mergeCell ref="B3:B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EE65F-6C60-4FC1-B4EB-6514EBD3BA3C}">
  <dimension ref="A1:Q27"/>
  <sheetViews>
    <sheetView workbookViewId="0">
      <selection activeCell="B4" sqref="B4:Q27"/>
    </sheetView>
  </sheetViews>
  <sheetFormatPr defaultColWidth="8.85546875" defaultRowHeight="15" x14ac:dyDescent="0.25"/>
  <cols>
    <col min="1" max="1" width="11.140625" bestFit="1" customWidth="1"/>
    <col min="2" max="2" width="44.5703125" bestFit="1" customWidth="1"/>
    <col min="3" max="3" width="45.85546875" bestFit="1" customWidth="1"/>
    <col min="4" max="4" width="16.140625" bestFit="1" customWidth="1"/>
    <col min="5" max="5" width="17.85546875" bestFit="1" customWidth="1"/>
    <col min="6" max="6" width="16.140625" bestFit="1" customWidth="1"/>
    <col min="7" max="7" width="17.85546875" bestFit="1" customWidth="1"/>
    <col min="8" max="8" width="16.140625" bestFit="1" customWidth="1"/>
    <col min="9" max="9" width="17.85546875" bestFit="1" customWidth="1"/>
    <col min="10" max="10" width="16.140625" bestFit="1" customWidth="1"/>
    <col min="11" max="11" width="17.85546875" bestFit="1" customWidth="1"/>
    <col min="12" max="12" width="16.140625" bestFit="1" customWidth="1"/>
    <col min="13" max="13" width="17.85546875" bestFit="1" customWidth="1"/>
    <col min="14" max="14" width="16.140625" bestFit="1" customWidth="1"/>
    <col min="15" max="15" width="17.85546875" bestFit="1" customWidth="1"/>
    <col min="16" max="16" width="16.140625" bestFit="1" customWidth="1"/>
    <col min="17" max="17" width="17.85546875" bestFit="1" customWidth="1"/>
  </cols>
  <sheetData>
    <row r="1" spans="1:17" x14ac:dyDescent="0.25">
      <c r="A1" s="1" t="s">
        <v>193</v>
      </c>
    </row>
    <row r="2" spans="1:17" x14ac:dyDescent="0.25">
      <c r="A2" s="756" t="s">
        <v>194</v>
      </c>
      <c r="B2" s="756" t="s">
        <v>24</v>
      </c>
      <c r="C2" s="756"/>
      <c r="D2" s="756" t="s">
        <v>26</v>
      </c>
      <c r="E2" s="756"/>
      <c r="F2" s="756" t="s">
        <v>28</v>
      </c>
      <c r="G2" s="756"/>
      <c r="H2" s="756" t="s">
        <v>30</v>
      </c>
      <c r="I2" s="756"/>
      <c r="J2" s="756" t="s">
        <v>121</v>
      </c>
      <c r="K2" s="756"/>
      <c r="L2" s="756" t="s">
        <v>195</v>
      </c>
      <c r="M2" s="756"/>
      <c r="N2" s="756" t="s">
        <v>196</v>
      </c>
      <c r="O2" s="756"/>
      <c r="P2" s="756" t="s">
        <v>203</v>
      </c>
      <c r="Q2" s="756"/>
    </row>
    <row r="3" spans="1:17" x14ac:dyDescent="0.25">
      <c r="A3" s="756"/>
      <c r="B3" s="87" t="s">
        <v>197</v>
      </c>
      <c r="C3" s="87" t="s">
        <v>198</v>
      </c>
      <c r="D3" s="13" t="s">
        <v>199</v>
      </c>
      <c r="E3" s="13" t="s">
        <v>200</v>
      </c>
      <c r="F3" s="13" t="s">
        <v>199</v>
      </c>
      <c r="G3" s="13" t="s">
        <v>200</v>
      </c>
      <c r="H3" s="13" t="s">
        <v>199</v>
      </c>
      <c r="I3" s="13" t="s">
        <v>200</v>
      </c>
      <c r="J3" s="13" t="s">
        <v>199</v>
      </c>
      <c r="K3" s="13" t="s">
        <v>200</v>
      </c>
      <c r="L3" s="13" t="s">
        <v>199</v>
      </c>
      <c r="M3" s="13" t="s">
        <v>200</v>
      </c>
      <c r="N3" s="13" t="s">
        <v>199</v>
      </c>
      <c r="O3" s="13" t="s">
        <v>200</v>
      </c>
      <c r="P3" s="13" t="s">
        <v>199</v>
      </c>
      <c r="Q3" s="13" t="s">
        <v>200</v>
      </c>
    </row>
    <row r="4" spans="1:17" s="500" customFormat="1" x14ac:dyDescent="0.25">
      <c r="A4" s="499" t="s">
        <v>139</v>
      </c>
      <c r="B4" s="379"/>
      <c r="C4" s="379"/>
      <c r="D4" s="379"/>
      <c r="E4" s="379"/>
      <c r="F4" s="379"/>
      <c r="G4" s="379"/>
      <c r="H4" s="379"/>
      <c r="I4" s="379"/>
      <c r="J4" s="379"/>
      <c r="K4" s="379"/>
      <c r="L4" s="379"/>
      <c r="M4" s="379"/>
      <c r="N4" s="379"/>
      <c r="O4" s="379"/>
      <c r="P4" s="379"/>
      <c r="Q4" s="379"/>
    </row>
    <row r="5" spans="1:17" s="500" customFormat="1" x14ac:dyDescent="0.25">
      <c r="A5" s="499" t="s">
        <v>140</v>
      </c>
      <c r="B5" s="379"/>
      <c r="C5" s="379"/>
      <c r="D5" s="379"/>
      <c r="E5" s="379"/>
      <c r="F5" s="379"/>
      <c r="G5" s="379"/>
      <c r="H5" s="379"/>
      <c r="I5" s="379"/>
      <c r="J5" s="379"/>
      <c r="K5" s="379"/>
      <c r="L5" s="379"/>
      <c r="M5" s="379"/>
      <c r="N5" s="379"/>
      <c r="O5" s="379"/>
      <c r="P5" s="379"/>
      <c r="Q5" s="379"/>
    </row>
    <row r="6" spans="1:17" s="500" customFormat="1" x14ac:dyDescent="0.25">
      <c r="A6" s="499" t="s">
        <v>141</v>
      </c>
      <c r="B6" s="379"/>
      <c r="C6" s="379"/>
      <c r="D6" s="379"/>
      <c r="E6" s="379"/>
      <c r="F6" s="379"/>
      <c r="G6" s="379"/>
      <c r="H6" s="379"/>
      <c r="I6" s="379"/>
      <c r="J6" s="379"/>
      <c r="K6" s="379"/>
      <c r="L6" s="379"/>
      <c r="M6" s="379"/>
      <c r="N6" s="379"/>
      <c r="O6" s="379"/>
      <c r="P6" s="379"/>
      <c r="Q6" s="379"/>
    </row>
    <row r="7" spans="1:17" s="500" customFormat="1" x14ac:dyDescent="0.25">
      <c r="A7" s="499" t="s">
        <v>142</v>
      </c>
      <c r="B7" s="379"/>
      <c r="C7" s="379"/>
      <c r="D7" s="379"/>
      <c r="E7" s="379"/>
      <c r="F7" s="379"/>
      <c r="G7" s="379"/>
      <c r="H7" s="379"/>
      <c r="I7" s="379"/>
      <c r="J7" s="379"/>
      <c r="K7" s="379"/>
      <c r="L7" s="379"/>
      <c r="M7" s="379"/>
      <c r="N7" s="379"/>
      <c r="O7" s="379"/>
      <c r="P7" s="379"/>
      <c r="Q7" s="379"/>
    </row>
    <row r="8" spans="1:17" s="500" customFormat="1" x14ac:dyDescent="0.25">
      <c r="A8" s="499" t="s">
        <v>143</v>
      </c>
      <c r="B8" s="379"/>
      <c r="C8" s="379"/>
      <c r="D8" s="379"/>
      <c r="E8" s="379"/>
      <c r="F8" s="379"/>
      <c r="G8" s="379"/>
      <c r="H8" s="379"/>
      <c r="I8" s="379"/>
      <c r="J8" s="379"/>
      <c r="K8" s="379"/>
      <c r="L8" s="379"/>
      <c r="M8" s="379"/>
      <c r="N8" s="379"/>
      <c r="O8" s="379"/>
      <c r="P8" s="379"/>
      <c r="Q8" s="379"/>
    </row>
    <row r="9" spans="1:17" s="500" customFormat="1" x14ac:dyDescent="0.25">
      <c r="A9" s="499" t="s">
        <v>144</v>
      </c>
      <c r="B9" s="379"/>
      <c r="C9" s="379"/>
      <c r="D9" s="379"/>
      <c r="E9" s="379"/>
      <c r="F9" s="379"/>
      <c r="G9" s="379"/>
      <c r="H9" s="379"/>
      <c r="I9" s="379"/>
      <c r="J9" s="379"/>
      <c r="K9" s="379"/>
      <c r="L9" s="379"/>
      <c r="M9" s="379"/>
      <c r="N9" s="379"/>
      <c r="O9" s="379"/>
      <c r="P9" s="379"/>
      <c r="Q9" s="379"/>
    </row>
    <row r="10" spans="1:17" s="500" customFormat="1" x14ac:dyDescent="0.25">
      <c r="A10" s="499" t="s">
        <v>145</v>
      </c>
      <c r="B10" s="379"/>
      <c r="C10" s="379"/>
      <c r="D10" s="379"/>
      <c r="E10" s="379"/>
      <c r="F10" s="379"/>
      <c r="G10" s="379"/>
      <c r="H10" s="379"/>
      <c r="I10" s="379"/>
      <c r="J10" s="379"/>
      <c r="K10" s="379"/>
      <c r="L10" s="379"/>
      <c r="M10" s="379"/>
      <c r="N10" s="379"/>
      <c r="O10" s="379"/>
      <c r="P10" s="379"/>
      <c r="Q10" s="379"/>
    </row>
    <row r="11" spans="1:17" s="500" customFormat="1" x14ac:dyDescent="0.25">
      <c r="A11" s="499" t="s">
        <v>146</v>
      </c>
      <c r="B11" s="379"/>
      <c r="C11" s="379"/>
      <c r="D11" s="379"/>
      <c r="E11" s="379"/>
      <c r="F11" s="379"/>
      <c r="G11" s="379"/>
      <c r="H11" s="379"/>
      <c r="I11" s="379"/>
      <c r="J11" s="379"/>
      <c r="K11" s="379"/>
      <c r="L11" s="379"/>
      <c r="M11" s="379"/>
      <c r="N11" s="379"/>
      <c r="O11" s="379"/>
      <c r="P11" s="379"/>
      <c r="Q11" s="379"/>
    </row>
    <row r="12" spans="1:17" s="500" customFormat="1" x14ac:dyDescent="0.25">
      <c r="A12" s="499" t="s">
        <v>147</v>
      </c>
      <c r="B12" s="379"/>
      <c r="C12" s="379"/>
      <c r="D12" s="379"/>
      <c r="E12" s="379"/>
      <c r="F12" s="379"/>
      <c r="G12" s="379"/>
      <c r="H12" s="379"/>
      <c r="I12" s="379"/>
      <c r="J12" s="379"/>
      <c r="K12" s="379"/>
      <c r="L12" s="379"/>
      <c r="M12" s="379"/>
      <c r="N12" s="379"/>
      <c r="O12" s="379"/>
      <c r="P12" s="379"/>
      <c r="Q12" s="379"/>
    </row>
    <row r="13" spans="1:17" s="502" customFormat="1" x14ac:dyDescent="0.25">
      <c r="A13" s="501" t="s">
        <v>148</v>
      </c>
      <c r="B13" s="379"/>
      <c r="C13" s="379"/>
      <c r="D13" s="379"/>
      <c r="E13" s="379"/>
      <c r="F13" s="379"/>
      <c r="G13" s="379"/>
      <c r="H13" s="379"/>
      <c r="I13" s="379"/>
      <c r="J13" s="379"/>
      <c r="K13" s="379"/>
      <c r="L13" s="379"/>
      <c r="M13" s="379"/>
      <c r="N13" s="379"/>
      <c r="O13" s="379"/>
      <c r="P13" s="379"/>
      <c r="Q13" s="379"/>
    </row>
    <row r="14" spans="1:17" s="502" customFormat="1" x14ac:dyDescent="0.25">
      <c r="A14" s="501" t="s">
        <v>149</v>
      </c>
      <c r="B14" s="379"/>
      <c r="C14" s="379"/>
      <c r="D14" s="379"/>
      <c r="E14" s="379"/>
      <c r="F14" s="379"/>
      <c r="G14" s="379"/>
      <c r="H14" s="379"/>
      <c r="I14" s="379"/>
      <c r="J14" s="379"/>
      <c r="K14" s="379"/>
      <c r="L14" s="379"/>
      <c r="M14" s="379"/>
      <c r="N14" s="379"/>
      <c r="O14" s="379"/>
      <c r="P14" s="379"/>
      <c r="Q14" s="379"/>
    </row>
    <row r="15" spans="1:17" s="502" customFormat="1" x14ac:dyDescent="0.25">
      <c r="A15" s="501" t="s">
        <v>150</v>
      </c>
      <c r="B15" s="379"/>
      <c r="C15" s="379"/>
      <c r="D15" s="379"/>
      <c r="E15" s="379"/>
      <c r="F15" s="379"/>
      <c r="G15" s="379"/>
      <c r="H15" s="379"/>
      <c r="I15" s="379"/>
      <c r="J15" s="379"/>
      <c r="K15" s="379"/>
      <c r="L15" s="379"/>
      <c r="M15" s="379"/>
      <c r="N15" s="379"/>
      <c r="O15" s="379"/>
      <c r="P15" s="379"/>
      <c r="Q15" s="379"/>
    </row>
    <row r="16" spans="1:17" s="502" customFormat="1" x14ac:dyDescent="0.25">
      <c r="A16" s="501" t="s">
        <v>151</v>
      </c>
      <c r="B16" s="379"/>
      <c r="C16" s="379"/>
      <c r="D16" s="379"/>
      <c r="E16" s="379"/>
      <c r="F16" s="379"/>
      <c r="G16" s="379"/>
      <c r="H16" s="379"/>
      <c r="I16" s="379"/>
      <c r="J16" s="379"/>
      <c r="K16" s="379"/>
      <c r="L16" s="379"/>
      <c r="M16" s="379"/>
      <c r="N16" s="379"/>
      <c r="O16" s="379"/>
      <c r="P16" s="379"/>
      <c r="Q16" s="379"/>
    </row>
    <row r="17" spans="1:17" s="502" customFormat="1" x14ac:dyDescent="0.25">
      <c r="A17" s="501" t="s">
        <v>152</v>
      </c>
      <c r="B17" s="379"/>
      <c r="C17" s="379"/>
      <c r="D17" s="379"/>
      <c r="E17" s="379"/>
      <c r="F17" s="379"/>
      <c r="G17" s="379"/>
      <c r="H17" s="379"/>
      <c r="I17" s="379"/>
      <c r="J17" s="379"/>
      <c r="K17" s="379"/>
      <c r="L17" s="379"/>
      <c r="M17" s="379"/>
      <c r="N17" s="379"/>
      <c r="O17" s="379"/>
      <c r="P17" s="379"/>
      <c r="Q17" s="379"/>
    </row>
    <row r="18" spans="1:17" s="502" customFormat="1" x14ac:dyDescent="0.25">
      <c r="A18" s="503" t="s">
        <v>153</v>
      </c>
      <c r="B18" s="379"/>
      <c r="C18" s="379"/>
      <c r="D18" s="379"/>
      <c r="E18" s="379"/>
      <c r="F18" s="379"/>
      <c r="G18" s="379"/>
      <c r="H18" s="379"/>
      <c r="I18" s="379"/>
      <c r="J18" s="379"/>
      <c r="K18" s="379"/>
      <c r="L18" s="379"/>
      <c r="M18" s="379"/>
      <c r="N18" s="379"/>
      <c r="O18" s="379"/>
      <c r="P18" s="379"/>
      <c r="Q18" s="379"/>
    </row>
    <row r="19" spans="1:17" s="502" customFormat="1" x14ac:dyDescent="0.25">
      <c r="A19" s="501" t="s">
        <v>154</v>
      </c>
      <c r="B19" s="379"/>
      <c r="C19" s="379"/>
      <c r="D19" s="379"/>
      <c r="E19" s="379"/>
      <c r="F19" s="379"/>
      <c r="G19" s="379"/>
      <c r="H19" s="379"/>
      <c r="I19" s="379"/>
      <c r="J19" s="379"/>
      <c r="K19" s="379"/>
      <c r="L19" s="379"/>
      <c r="M19" s="379"/>
      <c r="N19" s="379"/>
      <c r="O19" s="379"/>
      <c r="P19" s="379"/>
      <c r="Q19" s="379"/>
    </row>
    <row r="20" spans="1:17" s="502" customFormat="1" x14ac:dyDescent="0.25">
      <c r="A20" s="501" t="s">
        <v>155</v>
      </c>
      <c r="B20" s="379"/>
      <c r="C20" s="379"/>
      <c r="D20" s="379"/>
      <c r="E20" s="379"/>
      <c r="F20" s="379"/>
      <c r="G20" s="379"/>
      <c r="H20" s="379"/>
      <c r="I20" s="379"/>
      <c r="J20" s="379"/>
      <c r="K20" s="379"/>
      <c r="L20" s="379"/>
      <c r="M20" s="379"/>
      <c r="N20" s="379"/>
      <c r="O20" s="379"/>
      <c r="P20" s="379"/>
      <c r="Q20" s="379"/>
    </row>
    <row r="21" spans="1:17" s="502" customFormat="1" x14ac:dyDescent="0.25">
      <c r="A21" s="501" t="s">
        <v>156</v>
      </c>
      <c r="B21" s="379"/>
      <c r="C21" s="379"/>
      <c r="D21" s="379"/>
      <c r="E21" s="379"/>
      <c r="F21" s="379"/>
      <c r="G21" s="379"/>
      <c r="H21" s="379"/>
      <c r="I21" s="379"/>
      <c r="J21" s="379"/>
      <c r="K21" s="379"/>
      <c r="L21" s="379"/>
      <c r="M21" s="379"/>
      <c r="N21" s="379"/>
      <c r="O21" s="379"/>
      <c r="P21" s="379"/>
      <c r="Q21" s="379"/>
    </row>
    <row r="22" spans="1:17" s="505" customFormat="1" x14ac:dyDescent="0.25">
      <c r="A22" s="504" t="s">
        <v>157</v>
      </c>
      <c r="B22" s="379"/>
      <c r="C22" s="379"/>
      <c r="D22" s="379"/>
      <c r="E22" s="379"/>
      <c r="F22" s="379"/>
      <c r="G22" s="379"/>
      <c r="H22" s="379"/>
      <c r="I22" s="379"/>
      <c r="J22" s="379"/>
      <c r="K22" s="379"/>
      <c r="L22" s="379"/>
      <c r="M22" s="379"/>
      <c r="N22" s="379"/>
      <c r="O22" s="379"/>
      <c r="P22" s="379"/>
      <c r="Q22" s="379"/>
    </row>
    <row r="23" spans="1:17" s="505" customFormat="1" x14ac:dyDescent="0.25">
      <c r="A23" s="504" t="s">
        <v>158</v>
      </c>
      <c r="B23" s="379"/>
      <c r="C23" s="379"/>
      <c r="D23" s="379"/>
      <c r="E23" s="379"/>
      <c r="F23" s="379"/>
      <c r="G23" s="379"/>
      <c r="H23" s="379"/>
      <c r="I23" s="379"/>
      <c r="J23" s="379"/>
      <c r="K23" s="379"/>
      <c r="L23" s="379"/>
      <c r="M23" s="379"/>
      <c r="N23" s="379"/>
      <c r="O23" s="379"/>
      <c r="P23" s="379"/>
      <c r="Q23" s="379"/>
    </row>
    <row r="24" spans="1:17" s="505" customFormat="1" x14ac:dyDescent="0.25">
      <c r="A24" s="504" t="s">
        <v>159</v>
      </c>
      <c r="B24" s="379"/>
      <c r="C24" s="379"/>
      <c r="D24" s="379"/>
      <c r="E24" s="379"/>
      <c r="F24" s="379"/>
      <c r="G24" s="379"/>
      <c r="H24" s="379"/>
      <c r="I24" s="379"/>
      <c r="J24" s="379"/>
      <c r="K24" s="379"/>
      <c r="L24" s="379"/>
      <c r="M24" s="379"/>
      <c r="N24" s="379"/>
      <c r="O24" s="379"/>
      <c r="P24" s="379"/>
      <c r="Q24" s="379"/>
    </row>
    <row r="25" spans="1:17" s="505" customFormat="1" x14ac:dyDescent="0.25">
      <c r="A25" s="504" t="s">
        <v>160</v>
      </c>
      <c r="B25" s="379"/>
      <c r="C25" s="379"/>
      <c r="D25" s="379"/>
      <c r="E25" s="379"/>
      <c r="F25" s="379"/>
      <c r="G25" s="379"/>
      <c r="H25" s="379"/>
      <c r="I25" s="379"/>
      <c r="J25" s="379"/>
      <c r="K25" s="379"/>
      <c r="L25" s="379"/>
      <c r="M25" s="379"/>
      <c r="N25" s="379"/>
      <c r="O25" s="379"/>
      <c r="P25" s="379"/>
      <c r="Q25" s="379"/>
    </row>
    <row r="26" spans="1:17" s="505" customFormat="1" x14ac:dyDescent="0.25">
      <c r="A26" s="504" t="s">
        <v>161</v>
      </c>
      <c r="B26" s="379"/>
      <c r="C26" s="379"/>
      <c r="D26" s="379"/>
      <c r="E26" s="379"/>
      <c r="F26" s="379"/>
      <c r="G26" s="379"/>
      <c r="H26" s="379"/>
      <c r="I26" s="379"/>
      <c r="J26" s="379"/>
      <c r="K26" s="379"/>
      <c r="L26" s="379"/>
      <c r="M26" s="379"/>
      <c r="N26" s="379"/>
      <c r="O26" s="379"/>
      <c r="P26" s="379"/>
      <c r="Q26" s="379"/>
    </row>
    <row r="27" spans="1:17" s="505" customFormat="1" x14ac:dyDescent="0.25">
      <c r="A27" s="504" t="s">
        <v>162</v>
      </c>
      <c r="B27" s="379"/>
      <c r="C27" s="379"/>
      <c r="D27" s="379"/>
      <c r="E27" s="379"/>
      <c r="F27" s="379"/>
      <c r="G27" s="379"/>
      <c r="H27" s="379"/>
      <c r="I27" s="379"/>
      <c r="J27" s="379"/>
      <c r="K27" s="379"/>
      <c r="L27" s="379"/>
      <c r="M27" s="379"/>
      <c r="N27" s="379"/>
      <c r="O27" s="379"/>
      <c r="P27" s="379"/>
      <c r="Q27" s="379"/>
    </row>
  </sheetData>
  <mergeCells count="9">
    <mergeCell ref="P2:Q2"/>
    <mergeCell ref="L2:M2"/>
    <mergeCell ref="N2:O2"/>
    <mergeCell ref="A2:A3"/>
    <mergeCell ref="B2:C2"/>
    <mergeCell ref="D2:E2"/>
    <mergeCell ref="F2:G2"/>
    <mergeCell ref="H2:I2"/>
    <mergeCell ref="J2:K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E50ED-323E-4259-8640-D1CA898C6217}">
  <dimension ref="A1:AT134"/>
  <sheetViews>
    <sheetView topLeftCell="A123" zoomScale="120" zoomScaleNormal="120" workbookViewId="0">
      <selection activeCell="Y68" sqref="Y68:AH91"/>
    </sheetView>
  </sheetViews>
  <sheetFormatPr defaultRowHeight="15" x14ac:dyDescent="0.25"/>
  <cols>
    <col min="1" max="1" width="3.5703125" customWidth="1"/>
    <col min="2" max="2" width="14.42578125" customWidth="1"/>
    <col min="3" max="3" width="10.42578125" customWidth="1"/>
    <col min="5" max="5" width="10.140625" bestFit="1" customWidth="1"/>
    <col min="6" max="6" width="10.7109375" customWidth="1"/>
    <col min="7" max="7" width="11.140625" customWidth="1"/>
    <col min="10" max="10" width="10.140625" bestFit="1" customWidth="1"/>
    <col min="11" max="11" width="11.140625" bestFit="1" customWidth="1"/>
    <col min="12" max="12" width="11.140625" customWidth="1"/>
    <col min="13" max="13" width="11.140625" bestFit="1" customWidth="1"/>
    <col min="14" max="14" width="10.140625" customWidth="1"/>
    <col min="17" max="17" width="11.85546875" customWidth="1"/>
    <col min="18" max="18" width="10.5703125" customWidth="1"/>
    <col min="22" max="22" width="14.5703125" bestFit="1" customWidth="1"/>
    <col min="23" max="23" width="13.140625" bestFit="1" customWidth="1"/>
    <col min="24" max="24" width="12.42578125" customWidth="1"/>
    <col min="25" max="25" width="12.140625" bestFit="1" customWidth="1"/>
    <col min="26" max="26" width="11.140625" bestFit="1" customWidth="1"/>
    <col min="27" max="27" width="12.140625" bestFit="1" customWidth="1"/>
    <col min="28" max="28" width="13.140625" bestFit="1" customWidth="1"/>
    <col min="29" max="29" width="12.140625" bestFit="1" customWidth="1"/>
    <col min="30" max="30" width="11.140625" bestFit="1" customWidth="1"/>
    <col min="31" max="34" width="12.140625" bestFit="1" customWidth="1"/>
    <col min="35" max="35" width="10.42578125" customWidth="1"/>
    <col min="36" max="36" width="14.42578125" bestFit="1" customWidth="1"/>
    <col min="37" max="38" width="12.85546875" bestFit="1" customWidth="1"/>
    <col min="39" max="40" width="14.42578125" bestFit="1" customWidth="1"/>
    <col min="41" max="41" width="11.85546875" bestFit="1" customWidth="1"/>
    <col min="42" max="43" width="12.85546875" bestFit="1" customWidth="1"/>
    <col min="44" max="45" width="14.42578125" bestFit="1" customWidth="1"/>
    <col min="46" max="46" width="15.42578125" bestFit="1" customWidth="1"/>
  </cols>
  <sheetData>
    <row r="1" spans="1:35" ht="21" x14ac:dyDescent="0.35">
      <c r="A1" s="88" t="s">
        <v>201</v>
      </c>
    </row>
    <row r="2" spans="1:35" x14ac:dyDescent="0.25">
      <c r="A2" t="s">
        <v>1158</v>
      </c>
    </row>
    <row r="3" spans="1:35" ht="14.45" customHeight="1" x14ac:dyDescent="0.25">
      <c r="A3" s="13"/>
      <c r="B3" s="756" t="s">
        <v>101</v>
      </c>
      <c r="C3" s="759" t="s">
        <v>202</v>
      </c>
      <c r="D3" s="759"/>
      <c r="E3" s="759"/>
      <c r="F3" s="759"/>
      <c r="G3" s="759"/>
      <c r="H3" s="759"/>
      <c r="I3" s="759"/>
      <c r="J3" s="759"/>
      <c r="K3" s="759"/>
      <c r="L3" s="759"/>
      <c r="M3" s="759"/>
      <c r="N3" s="814"/>
      <c r="O3" s="814"/>
      <c r="P3" s="814"/>
      <c r="Q3" s="814"/>
      <c r="R3" s="814"/>
      <c r="S3" s="814"/>
      <c r="T3" s="814"/>
      <c r="U3" s="814"/>
      <c r="V3" s="814"/>
      <c r="W3" s="814"/>
      <c r="X3" s="814"/>
      <c r="Y3" s="814"/>
      <c r="Z3" s="814"/>
      <c r="AA3" s="814"/>
      <c r="AB3" s="814"/>
      <c r="AC3" s="814"/>
      <c r="AD3" s="814"/>
      <c r="AE3" s="814"/>
      <c r="AF3" s="814"/>
      <c r="AG3" s="814"/>
      <c r="AH3" s="814"/>
      <c r="AI3" s="814"/>
    </row>
    <row r="4" spans="1:35" ht="45.75" thickBot="1" x14ac:dyDescent="0.3">
      <c r="A4" s="13" t="s">
        <v>100</v>
      </c>
      <c r="B4" s="756"/>
      <c r="C4" s="285" t="s">
        <v>24</v>
      </c>
      <c r="D4" s="285" t="s">
        <v>26</v>
      </c>
      <c r="E4" s="286" t="s">
        <v>28</v>
      </c>
      <c r="F4" s="286" t="s">
        <v>30</v>
      </c>
      <c r="G4" s="85" t="s">
        <v>121</v>
      </c>
      <c r="H4" s="85" t="s">
        <v>131</v>
      </c>
      <c r="I4" s="85" t="s">
        <v>123</v>
      </c>
      <c r="J4" s="85" t="s">
        <v>38</v>
      </c>
      <c r="K4" s="85" t="s">
        <v>124</v>
      </c>
      <c r="L4" s="481" t="s">
        <v>203</v>
      </c>
      <c r="M4" s="174" t="s">
        <v>120</v>
      </c>
      <c r="N4" s="44"/>
      <c r="O4" s="44"/>
      <c r="P4" s="22"/>
      <c r="Q4" s="22"/>
      <c r="R4" s="22"/>
      <c r="S4" s="22"/>
      <c r="T4" s="22"/>
      <c r="U4" s="22"/>
      <c r="V4" s="22"/>
      <c r="W4" s="22"/>
      <c r="X4" s="22"/>
      <c r="Y4" s="44"/>
      <c r="Z4" s="44"/>
      <c r="AA4" s="22"/>
      <c r="AB4" s="22"/>
      <c r="AC4" s="22"/>
      <c r="AD4" s="22"/>
      <c r="AE4" s="22"/>
      <c r="AF4" s="22"/>
      <c r="AG4" s="22"/>
      <c r="AH4" s="22"/>
      <c r="AI4" s="22"/>
    </row>
    <row r="5" spans="1:35" x14ac:dyDescent="0.25">
      <c r="A5" s="272">
        <v>1</v>
      </c>
      <c r="B5" s="272" t="s">
        <v>139</v>
      </c>
      <c r="C5" s="97">
        <f>'Area&amp;production data'!F5</f>
        <v>0</v>
      </c>
      <c r="D5" s="97">
        <f>'Area&amp;production data'!G5</f>
        <v>0</v>
      </c>
      <c r="E5" s="97">
        <f>'Area&amp;production data'!H5</f>
        <v>0</v>
      </c>
      <c r="F5" s="97">
        <f>'Area&amp;production data'!I5</f>
        <v>0</v>
      </c>
      <c r="G5" s="97">
        <f>'Area&amp;production data'!J5</f>
        <v>0</v>
      </c>
      <c r="H5" s="97">
        <f>'Area&amp;production data'!K5</f>
        <v>0</v>
      </c>
      <c r="I5" s="97">
        <f>'Area&amp;production data'!L5</f>
        <v>0</v>
      </c>
      <c r="J5" s="97">
        <f>'Area&amp;production data'!M5</f>
        <v>0</v>
      </c>
      <c r="K5" s="97">
        <f>'Area&amp;production data'!N5</f>
        <v>0</v>
      </c>
      <c r="L5" s="97">
        <f>'Area&amp;production data'!O5</f>
        <v>0</v>
      </c>
      <c r="M5" s="173">
        <f>SUM(C5:L5)</f>
        <v>0</v>
      </c>
      <c r="N5" s="247"/>
      <c r="O5" s="247"/>
      <c r="P5" s="247"/>
      <c r="Q5" s="247"/>
      <c r="R5" s="247"/>
      <c r="S5" s="247"/>
      <c r="T5" s="247"/>
      <c r="U5" s="247"/>
      <c r="V5" s="247"/>
      <c r="W5" s="247"/>
      <c r="X5" s="247"/>
      <c r="Y5" s="247"/>
      <c r="Z5" s="247"/>
      <c r="AA5" s="247"/>
      <c r="AB5" s="247"/>
      <c r="AC5" s="247"/>
      <c r="AD5" s="247"/>
      <c r="AE5" s="247"/>
      <c r="AF5" s="247"/>
      <c r="AG5" s="247"/>
      <c r="AH5" s="247"/>
      <c r="AI5" s="247"/>
    </row>
    <row r="6" spans="1:35" x14ac:dyDescent="0.25">
      <c r="A6" s="13">
        <v>2</v>
      </c>
      <c r="B6" s="13" t="s">
        <v>140</v>
      </c>
      <c r="C6" s="97">
        <f>'Area&amp;production data'!F6</f>
        <v>0</v>
      </c>
      <c r="D6" s="97">
        <f>'Area&amp;production data'!G6</f>
        <v>0</v>
      </c>
      <c r="E6" s="97">
        <f>'Area&amp;production data'!H6</f>
        <v>0</v>
      </c>
      <c r="F6" s="97">
        <f>'Area&amp;production data'!I6</f>
        <v>0</v>
      </c>
      <c r="G6" s="97">
        <f>'Area&amp;production data'!J6</f>
        <v>0</v>
      </c>
      <c r="H6" s="97">
        <f>'Area&amp;production data'!K6</f>
        <v>0</v>
      </c>
      <c r="I6" s="97">
        <f>'Area&amp;production data'!L6</f>
        <v>0</v>
      </c>
      <c r="J6" s="97">
        <f>'Area&amp;production data'!M6</f>
        <v>0</v>
      </c>
      <c r="K6" s="97">
        <f>'Area&amp;production data'!N6</f>
        <v>0</v>
      </c>
      <c r="L6" s="97">
        <f>'Area&amp;production data'!O6</f>
        <v>0</v>
      </c>
      <c r="M6" s="173">
        <f t="shared" ref="M6:M29" si="0">SUM(C6:L6)</f>
        <v>0</v>
      </c>
      <c r="N6" s="247"/>
      <c r="O6" s="247"/>
      <c r="P6" s="247"/>
      <c r="Q6" s="247"/>
      <c r="R6" s="247"/>
      <c r="S6" s="247"/>
      <c r="T6" s="247"/>
      <c r="U6" s="247"/>
      <c r="V6" s="247"/>
      <c r="W6" s="247"/>
      <c r="X6" s="247"/>
      <c r="Y6" s="247"/>
      <c r="Z6" s="247"/>
      <c r="AA6" s="247"/>
      <c r="AB6" s="247"/>
      <c r="AC6" s="247"/>
      <c r="AD6" s="247"/>
      <c r="AE6" s="247"/>
      <c r="AF6" s="247"/>
      <c r="AG6" s="247"/>
      <c r="AH6" s="247"/>
      <c r="AI6" s="247"/>
    </row>
    <row r="7" spans="1:35" x14ac:dyDescent="0.25">
      <c r="A7" s="13">
        <v>3</v>
      </c>
      <c r="B7" s="13" t="s">
        <v>141</v>
      </c>
      <c r="C7" s="97">
        <f>'Area&amp;production data'!F7</f>
        <v>0</v>
      </c>
      <c r="D7" s="97">
        <f>'Area&amp;production data'!G7</f>
        <v>0</v>
      </c>
      <c r="E7" s="97">
        <f>'Area&amp;production data'!H7</f>
        <v>0</v>
      </c>
      <c r="F7" s="97">
        <f>'Area&amp;production data'!I7</f>
        <v>0</v>
      </c>
      <c r="G7" s="97">
        <f>'Area&amp;production data'!J7</f>
        <v>0</v>
      </c>
      <c r="H7" s="97">
        <f>'Area&amp;production data'!K7</f>
        <v>0</v>
      </c>
      <c r="I7" s="97">
        <f>'Area&amp;production data'!L7</f>
        <v>0</v>
      </c>
      <c r="J7" s="97">
        <f>'Area&amp;production data'!M7</f>
        <v>0</v>
      </c>
      <c r="K7" s="97">
        <f>'Area&amp;production data'!N7</f>
        <v>0</v>
      </c>
      <c r="L7" s="97">
        <f>'Area&amp;production data'!O7</f>
        <v>0</v>
      </c>
      <c r="M7" s="173">
        <f t="shared" si="0"/>
        <v>0</v>
      </c>
      <c r="N7" s="247"/>
      <c r="O7" s="247"/>
      <c r="P7" s="247"/>
      <c r="Q7" s="247"/>
      <c r="R7" s="247"/>
      <c r="S7" s="247"/>
      <c r="T7" s="247"/>
      <c r="U7" s="247"/>
      <c r="V7" s="247"/>
      <c r="W7" s="247"/>
      <c r="X7" s="247"/>
      <c r="Y7" s="247"/>
      <c r="Z7" s="247"/>
      <c r="AA7" s="247"/>
      <c r="AB7" s="247"/>
      <c r="AC7" s="247"/>
      <c r="AD7" s="247"/>
      <c r="AE7" s="247"/>
      <c r="AF7" s="247"/>
      <c r="AG7" s="247"/>
      <c r="AH7" s="247"/>
      <c r="AI7" s="247"/>
    </row>
    <row r="8" spans="1:35" x14ac:dyDescent="0.25">
      <c r="A8" s="13">
        <v>4</v>
      </c>
      <c r="B8" s="13" t="s">
        <v>142</v>
      </c>
      <c r="C8" s="97">
        <f>'Area&amp;production data'!F8</f>
        <v>0</v>
      </c>
      <c r="D8" s="97">
        <f>'Area&amp;production data'!G8</f>
        <v>0</v>
      </c>
      <c r="E8" s="97">
        <f>'Area&amp;production data'!H8</f>
        <v>0</v>
      </c>
      <c r="F8" s="97">
        <f>'Area&amp;production data'!I8</f>
        <v>0</v>
      </c>
      <c r="G8" s="97">
        <f>'Area&amp;production data'!J8</f>
        <v>0</v>
      </c>
      <c r="H8" s="97">
        <f>'Area&amp;production data'!K8</f>
        <v>0</v>
      </c>
      <c r="I8" s="97">
        <f>'Area&amp;production data'!L8</f>
        <v>0</v>
      </c>
      <c r="J8" s="97">
        <f>'Area&amp;production data'!M8</f>
        <v>0</v>
      </c>
      <c r="K8" s="97">
        <f>'Area&amp;production data'!N8</f>
        <v>0</v>
      </c>
      <c r="L8" s="97">
        <f>'Area&amp;production data'!O8</f>
        <v>0</v>
      </c>
      <c r="M8" s="173">
        <f t="shared" si="0"/>
        <v>0</v>
      </c>
      <c r="N8" s="247"/>
      <c r="O8" s="247"/>
      <c r="P8" s="247"/>
      <c r="Q8" s="247"/>
      <c r="R8" s="247"/>
      <c r="S8" s="247"/>
      <c r="T8" s="247"/>
      <c r="U8" s="247"/>
      <c r="V8" s="247"/>
      <c r="W8" s="247"/>
      <c r="X8" s="247"/>
      <c r="Y8" s="247"/>
      <c r="Z8" s="247"/>
      <c r="AA8" s="247"/>
      <c r="AB8" s="247"/>
      <c r="AC8" s="247"/>
      <c r="AD8" s="247"/>
      <c r="AE8" s="247"/>
      <c r="AF8" s="247"/>
      <c r="AG8" s="247"/>
      <c r="AH8" s="247"/>
      <c r="AI8" s="247"/>
    </row>
    <row r="9" spans="1:35" x14ac:dyDescent="0.25">
      <c r="A9" s="13">
        <v>5</v>
      </c>
      <c r="B9" s="13" t="s">
        <v>143</v>
      </c>
      <c r="C9" s="97">
        <f>'Area&amp;production data'!F9</f>
        <v>0</v>
      </c>
      <c r="D9" s="97">
        <f>'Area&amp;production data'!G9</f>
        <v>0</v>
      </c>
      <c r="E9" s="97">
        <f>'Area&amp;production data'!H9</f>
        <v>0</v>
      </c>
      <c r="F9" s="97">
        <f>'Area&amp;production data'!I9</f>
        <v>0</v>
      </c>
      <c r="G9" s="97">
        <f>'Area&amp;production data'!J9</f>
        <v>0</v>
      </c>
      <c r="H9" s="97">
        <f>'Area&amp;production data'!K9</f>
        <v>0</v>
      </c>
      <c r="I9" s="97">
        <f>'Area&amp;production data'!L9</f>
        <v>0</v>
      </c>
      <c r="J9" s="97">
        <f>'Area&amp;production data'!M9</f>
        <v>0</v>
      </c>
      <c r="K9" s="97">
        <f>'Area&amp;production data'!N9</f>
        <v>0</v>
      </c>
      <c r="L9" s="97">
        <f>'Area&amp;production data'!O9</f>
        <v>0</v>
      </c>
      <c r="M9" s="173">
        <f t="shared" si="0"/>
        <v>0</v>
      </c>
      <c r="N9" s="247"/>
      <c r="O9" s="247"/>
      <c r="P9" s="247"/>
      <c r="Q9" s="247"/>
      <c r="R9" s="247"/>
      <c r="S9" s="247"/>
      <c r="T9" s="247"/>
      <c r="U9" s="247"/>
      <c r="V9" s="247"/>
      <c r="W9" s="247"/>
      <c r="X9" s="247"/>
      <c r="Y9" s="247"/>
      <c r="Z9" s="247"/>
      <c r="AA9" s="247"/>
      <c r="AB9" s="247"/>
      <c r="AC9" s="247"/>
      <c r="AD9" s="247"/>
      <c r="AE9" s="247"/>
      <c r="AF9" s="247"/>
      <c r="AG9" s="247"/>
      <c r="AH9" s="247"/>
      <c r="AI9" s="247"/>
    </row>
    <row r="10" spans="1:35" x14ac:dyDescent="0.25">
      <c r="A10" s="13">
        <v>6</v>
      </c>
      <c r="B10" s="13" t="s">
        <v>144</v>
      </c>
      <c r="C10" s="97">
        <f>'Area&amp;production data'!F10</f>
        <v>0</v>
      </c>
      <c r="D10" s="97">
        <f>'Area&amp;production data'!G10</f>
        <v>0</v>
      </c>
      <c r="E10" s="97">
        <f>'Area&amp;production data'!H10</f>
        <v>0</v>
      </c>
      <c r="F10" s="97">
        <f>'Area&amp;production data'!I10</f>
        <v>0</v>
      </c>
      <c r="G10" s="97">
        <f>'Area&amp;production data'!J10</f>
        <v>0</v>
      </c>
      <c r="H10" s="97">
        <f>'Area&amp;production data'!K10</f>
        <v>0</v>
      </c>
      <c r="I10" s="97">
        <f>'Area&amp;production data'!L10</f>
        <v>0</v>
      </c>
      <c r="J10" s="97">
        <f>'Area&amp;production data'!M10</f>
        <v>0</v>
      </c>
      <c r="K10" s="97">
        <f>'Area&amp;production data'!N10</f>
        <v>0</v>
      </c>
      <c r="L10" s="97">
        <f>'Area&amp;production data'!O10</f>
        <v>0</v>
      </c>
      <c r="M10" s="173">
        <f t="shared" si="0"/>
        <v>0</v>
      </c>
      <c r="N10" s="247"/>
      <c r="O10" s="247"/>
      <c r="P10" s="247"/>
      <c r="Q10" s="247"/>
      <c r="R10" s="247"/>
      <c r="S10" s="247"/>
      <c r="T10" s="247"/>
      <c r="U10" s="247"/>
      <c r="V10" s="247"/>
      <c r="W10" s="247"/>
      <c r="X10" s="247"/>
      <c r="Y10" s="247"/>
      <c r="Z10" s="247"/>
      <c r="AA10" s="247"/>
      <c r="AB10" s="247"/>
      <c r="AC10" s="247"/>
      <c r="AD10" s="247"/>
      <c r="AE10" s="247"/>
      <c r="AF10" s="247"/>
      <c r="AG10" s="247"/>
      <c r="AH10" s="247"/>
      <c r="AI10" s="247"/>
    </row>
    <row r="11" spans="1:35" x14ac:dyDescent="0.25">
      <c r="A11" s="13">
        <v>7</v>
      </c>
      <c r="B11" s="13" t="s">
        <v>145</v>
      </c>
      <c r="C11" s="97">
        <f>'Area&amp;production data'!F11</f>
        <v>0</v>
      </c>
      <c r="D11" s="97">
        <f>'Area&amp;production data'!G11</f>
        <v>0</v>
      </c>
      <c r="E11" s="97">
        <f>'Area&amp;production data'!H11</f>
        <v>0</v>
      </c>
      <c r="F11" s="97">
        <f>'Area&amp;production data'!I11</f>
        <v>0</v>
      </c>
      <c r="G11" s="97">
        <f>'Area&amp;production data'!J11</f>
        <v>0</v>
      </c>
      <c r="H11" s="97">
        <f>'Area&amp;production data'!K11</f>
        <v>0</v>
      </c>
      <c r="I11" s="97">
        <f>'Area&amp;production data'!L11</f>
        <v>0</v>
      </c>
      <c r="J11" s="97">
        <f>'Area&amp;production data'!M11</f>
        <v>0</v>
      </c>
      <c r="K11" s="97">
        <f>'Area&amp;production data'!N11</f>
        <v>0</v>
      </c>
      <c r="L11" s="97">
        <f>'Area&amp;production data'!O11</f>
        <v>0</v>
      </c>
      <c r="M11" s="173">
        <f t="shared" si="0"/>
        <v>0</v>
      </c>
      <c r="N11" s="247"/>
      <c r="O11" s="247"/>
      <c r="P11" s="247"/>
      <c r="Q11" s="247"/>
      <c r="R11" s="247"/>
      <c r="S11" s="247"/>
      <c r="T11" s="247"/>
      <c r="U11" s="247"/>
      <c r="V11" s="247"/>
      <c r="W11" s="247"/>
      <c r="X11" s="247"/>
      <c r="Y11" s="247"/>
      <c r="Z11" s="247"/>
      <c r="AA11" s="247"/>
      <c r="AB11" s="247"/>
      <c r="AC11" s="247"/>
      <c r="AD11" s="247"/>
      <c r="AE11" s="247"/>
      <c r="AF11" s="247"/>
      <c r="AG11" s="247"/>
      <c r="AH11" s="247"/>
      <c r="AI11" s="247"/>
    </row>
    <row r="12" spans="1:35" x14ac:dyDescent="0.25">
      <c r="A12" s="13">
        <v>8</v>
      </c>
      <c r="B12" s="13" t="s">
        <v>146</v>
      </c>
      <c r="C12" s="97">
        <f>'Area&amp;production data'!F12</f>
        <v>0</v>
      </c>
      <c r="D12" s="97">
        <f>'Area&amp;production data'!G12</f>
        <v>0</v>
      </c>
      <c r="E12" s="97">
        <f>'Area&amp;production data'!H12</f>
        <v>0</v>
      </c>
      <c r="F12" s="97">
        <f>'Area&amp;production data'!I12</f>
        <v>0</v>
      </c>
      <c r="G12" s="97">
        <f>'Area&amp;production data'!J12</f>
        <v>0</v>
      </c>
      <c r="H12" s="97">
        <f>'Area&amp;production data'!K12</f>
        <v>0</v>
      </c>
      <c r="I12" s="97">
        <f>'Area&amp;production data'!L12</f>
        <v>0</v>
      </c>
      <c r="J12" s="97">
        <f>'Area&amp;production data'!M12</f>
        <v>0</v>
      </c>
      <c r="K12" s="97">
        <f>'Area&amp;production data'!N12</f>
        <v>0</v>
      </c>
      <c r="L12" s="97">
        <f>'Area&amp;production data'!O12</f>
        <v>0</v>
      </c>
      <c r="M12" s="173">
        <f t="shared" si="0"/>
        <v>0</v>
      </c>
      <c r="N12" s="247"/>
      <c r="O12" s="247"/>
      <c r="P12" s="247"/>
      <c r="Q12" s="247"/>
      <c r="R12" s="247"/>
      <c r="S12" s="247"/>
      <c r="T12" s="247"/>
      <c r="U12" s="247"/>
      <c r="V12" s="247"/>
      <c r="W12" s="247"/>
      <c r="X12" s="247"/>
      <c r="Y12" s="247"/>
      <c r="Z12" s="247"/>
      <c r="AA12" s="247"/>
      <c r="AB12" s="247"/>
      <c r="AC12" s="247"/>
      <c r="AD12" s="247"/>
      <c r="AE12" s="247"/>
      <c r="AF12" s="247"/>
      <c r="AG12" s="247"/>
      <c r="AH12" s="247"/>
      <c r="AI12" s="247"/>
    </row>
    <row r="13" spans="1:35" x14ac:dyDescent="0.25">
      <c r="A13" s="13">
        <v>9</v>
      </c>
      <c r="B13" s="13" t="s">
        <v>147</v>
      </c>
      <c r="C13" s="97">
        <f>'Area&amp;production data'!F13</f>
        <v>0</v>
      </c>
      <c r="D13" s="97">
        <f>'Area&amp;production data'!G13</f>
        <v>0</v>
      </c>
      <c r="E13" s="97">
        <f>'Area&amp;production data'!H13</f>
        <v>0</v>
      </c>
      <c r="F13" s="97">
        <f>'Area&amp;production data'!I13</f>
        <v>0</v>
      </c>
      <c r="G13" s="97">
        <f>'Area&amp;production data'!J13</f>
        <v>0</v>
      </c>
      <c r="H13" s="97">
        <f>'Area&amp;production data'!K13</f>
        <v>0</v>
      </c>
      <c r="I13" s="97">
        <f>'Area&amp;production data'!L13</f>
        <v>0</v>
      </c>
      <c r="J13" s="97">
        <f>'Area&amp;production data'!M13</f>
        <v>0</v>
      </c>
      <c r="K13" s="97">
        <f>'Area&amp;production data'!N13</f>
        <v>0</v>
      </c>
      <c r="L13" s="97">
        <f>'Area&amp;production data'!O13</f>
        <v>0</v>
      </c>
      <c r="M13" s="173">
        <f t="shared" si="0"/>
        <v>0</v>
      </c>
      <c r="N13" s="247"/>
      <c r="O13" s="247"/>
      <c r="P13" s="247"/>
      <c r="Q13" s="247"/>
      <c r="R13" s="247"/>
      <c r="S13" s="247"/>
      <c r="T13" s="247"/>
      <c r="U13" s="247"/>
      <c r="V13" s="247"/>
      <c r="W13" s="247"/>
      <c r="X13" s="247"/>
      <c r="Y13" s="247"/>
      <c r="Z13" s="247"/>
      <c r="AA13" s="247"/>
      <c r="AB13" s="247"/>
      <c r="AC13" s="247"/>
      <c r="AD13" s="247"/>
      <c r="AE13" s="247"/>
      <c r="AF13" s="247"/>
      <c r="AG13" s="247"/>
      <c r="AH13" s="247"/>
      <c r="AI13" s="247"/>
    </row>
    <row r="14" spans="1:35" x14ac:dyDescent="0.25">
      <c r="A14" s="13">
        <v>10</v>
      </c>
      <c r="B14" s="13" t="s">
        <v>148</v>
      </c>
      <c r="C14" s="97">
        <f>'Area&amp;production data'!F14</f>
        <v>0</v>
      </c>
      <c r="D14" s="97">
        <f>'Area&amp;production data'!G14</f>
        <v>0</v>
      </c>
      <c r="E14" s="97">
        <f>'Area&amp;production data'!H14</f>
        <v>0</v>
      </c>
      <c r="F14" s="97">
        <f>'Area&amp;production data'!I14</f>
        <v>0</v>
      </c>
      <c r="G14" s="97">
        <f>'Area&amp;production data'!J14</f>
        <v>0</v>
      </c>
      <c r="H14" s="97">
        <f>'Area&amp;production data'!K14</f>
        <v>0</v>
      </c>
      <c r="I14" s="97">
        <f>'Area&amp;production data'!L14</f>
        <v>0</v>
      </c>
      <c r="J14" s="97">
        <f>'Area&amp;production data'!M14</f>
        <v>0</v>
      </c>
      <c r="K14" s="97">
        <f>'Area&amp;production data'!N14</f>
        <v>0</v>
      </c>
      <c r="L14" s="97">
        <f>'Area&amp;production data'!O14</f>
        <v>0</v>
      </c>
      <c r="M14" s="173">
        <f t="shared" si="0"/>
        <v>0</v>
      </c>
      <c r="N14" s="247"/>
      <c r="O14" s="247"/>
      <c r="P14" s="247"/>
      <c r="Q14" s="247"/>
      <c r="R14" s="247"/>
      <c r="S14" s="247"/>
      <c r="T14" s="247"/>
      <c r="U14" s="247"/>
      <c r="V14" s="247"/>
      <c r="W14" s="247"/>
      <c r="X14" s="247"/>
      <c r="Y14" s="247"/>
      <c r="Z14" s="247"/>
      <c r="AA14" s="247"/>
      <c r="AB14" s="247"/>
      <c r="AC14" s="247"/>
      <c r="AD14" s="247"/>
      <c r="AE14" s="247"/>
      <c r="AF14" s="247"/>
      <c r="AG14" s="247"/>
      <c r="AH14" s="247"/>
      <c r="AI14" s="247"/>
    </row>
    <row r="15" spans="1:35" x14ac:dyDescent="0.25">
      <c r="A15" s="13">
        <v>11</v>
      </c>
      <c r="B15" s="13" t="s">
        <v>149</v>
      </c>
      <c r="C15" s="97">
        <f>'Area&amp;production data'!F15</f>
        <v>0</v>
      </c>
      <c r="D15" s="97">
        <f>'Area&amp;production data'!G15</f>
        <v>0</v>
      </c>
      <c r="E15" s="97">
        <f>'Area&amp;production data'!H15</f>
        <v>0</v>
      </c>
      <c r="F15" s="97">
        <f>'Area&amp;production data'!I15</f>
        <v>0</v>
      </c>
      <c r="G15" s="97">
        <f>'Area&amp;production data'!J15</f>
        <v>0</v>
      </c>
      <c r="H15" s="97">
        <f>'Area&amp;production data'!K15</f>
        <v>0</v>
      </c>
      <c r="I15" s="97">
        <f>'Area&amp;production data'!L15</f>
        <v>0</v>
      </c>
      <c r="J15" s="97">
        <f>'Area&amp;production data'!M15</f>
        <v>0</v>
      </c>
      <c r="K15" s="97">
        <f>'Area&amp;production data'!N15</f>
        <v>0</v>
      </c>
      <c r="L15" s="97">
        <f>'Area&amp;production data'!O15</f>
        <v>0</v>
      </c>
      <c r="M15" s="173">
        <f t="shared" si="0"/>
        <v>0</v>
      </c>
      <c r="N15" s="247"/>
      <c r="O15" s="247"/>
      <c r="P15" s="247"/>
      <c r="Q15" s="247"/>
      <c r="R15" s="247"/>
      <c r="S15" s="247"/>
      <c r="T15" s="247"/>
      <c r="U15" s="247"/>
      <c r="V15" s="247"/>
      <c r="W15" s="247"/>
      <c r="X15" s="247"/>
      <c r="Y15" s="247"/>
      <c r="Z15" s="247"/>
      <c r="AA15" s="247"/>
      <c r="AB15" s="247"/>
      <c r="AC15" s="247"/>
      <c r="AD15" s="247"/>
      <c r="AE15" s="247"/>
      <c r="AF15" s="247"/>
      <c r="AG15" s="247"/>
      <c r="AH15" s="247"/>
      <c r="AI15" s="247"/>
    </row>
    <row r="16" spans="1:35" x14ac:dyDescent="0.25">
      <c r="A16" s="13">
        <v>12</v>
      </c>
      <c r="B16" s="13" t="s">
        <v>150</v>
      </c>
      <c r="C16" s="97">
        <f>'Area&amp;production data'!F16</f>
        <v>0</v>
      </c>
      <c r="D16" s="97">
        <f>'Area&amp;production data'!G16</f>
        <v>0</v>
      </c>
      <c r="E16" s="97">
        <f>'Area&amp;production data'!H16</f>
        <v>0</v>
      </c>
      <c r="F16" s="97">
        <f>'Area&amp;production data'!I16</f>
        <v>0</v>
      </c>
      <c r="G16" s="97">
        <f>'Area&amp;production data'!J16</f>
        <v>0</v>
      </c>
      <c r="H16" s="97">
        <f>'Area&amp;production data'!K16</f>
        <v>0</v>
      </c>
      <c r="I16" s="97">
        <f>'Area&amp;production data'!L16</f>
        <v>0</v>
      </c>
      <c r="J16" s="97">
        <f>'Area&amp;production data'!M16</f>
        <v>0</v>
      </c>
      <c r="K16" s="97">
        <f>'Area&amp;production data'!N16</f>
        <v>0</v>
      </c>
      <c r="L16" s="97">
        <f>'Area&amp;production data'!O16</f>
        <v>0</v>
      </c>
      <c r="M16" s="173">
        <f t="shared" si="0"/>
        <v>0</v>
      </c>
      <c r="N16" s="247"/>
      <c r="O16" s="247"/>
      <c r="P16" s="247"/>
      <c r="Q16" s="247"/>
      <c r="R16" s="247"/>
      <c r="S16" s="247"/>
      <c r="T16" s="247"/>
      <c r="U16" s="247"/>
      <c r="V16" s="247"/>
      <c r="W16" s="247"/>
      <c r="X16" s="247"/>
      <c r="Y16" s="247"/>
      <c r="Z16" s="247"/>
      <c r="AA16" s="247"/>
      <c r="AB16" s="247"/>
      <c r="AC16" s="247"/>
      <c r="AD16" s="247"/>
      <c r="AE16" s="247"/>
      <c r="AF16" s="247"/>
      <c r="AG16" s="247"/>
      <c r="AH16" s="247"/>
      <c r="AI16" s="247"/>
    </row>
    <row r="17" spans="1:35" x14ac:dyDescent="0.25">
      <c r="A17" s="13">
        <v>13</v>
      </c>
      <c r="B17" s="13" t="s">
        <v>151</v>
      </c>
      <c r="C17" s="97">
        <f>'Area&amp;production data'!F17</f>
        <v>0</v>
      </c>
      <c r="D17" s="97">
        <f>'Area&amp;production data'!G17</f>
        <v>0</v>
      </c>
      <c r="E17" s="97">
        <f>'Area&amp;production data'!H17</f>
        <v>0</v>
      </c>
      <c r="F17" s="97">
        <f>'Area&amp;production data'!I17</f>
        <v>0</v>
      </c>
      <c r="G17" s="97">
        <f>'Area&amp;production data'!J17</f>
        <v>0</v>
      </c>
      <c r="H17" s="97">
        <f>'Area&amp;production data'!K17</f>
        <v>0</v>
      </c>
      <c r="I17" s="97">
        <f>'Area&amp;production data'!L17</f>
        <v>0</v>
      </c>
      <c r="J17" s="97">
        <f>'Area&amp;production data'!M17</f>
        <v>0</v>
      </c>
      <c r="K17" s="97">
        <f>'Area&amp;production data'!N17</f>
        <v>0</v>
      </c>
      <c r="L17" s="97">
        <f>'Area&amp;production data'!O17</f>
        <v>0</v>
      </c>
      <c r="M17" s="173">
        <f t="shared" si="0"/>
        <v>0</v>
      </c>
      <c r="N17" s="247"/>
      <c r="O17" s="247"/>
      <c r="P17" s="247"/>
      <c r="Q17" s="247"/>
      <c r="R17" s="247"/>
      <c r="S17" s="247"/>
      <c r="T17" s="247"/>
      <c r="U17" s="247"/>
      <c r="V17" s="247"/>
      <c r="W17" s="247"/>
      <c r="X17" s="247"/>
      <c r="Y17" s="247"/>
      <c r="Z17" s="247"/>
      <c r="AA17" s="247"/>
      <c r="AB17" s="247"/>
      <c r="AC17" s="247"/>
      <c r="AD17" s="247"/>
      <c r="AE17" s="247"/>
      <c r="AF17" s="247"/>
      <c r="AG17" s="247"/>
      <c r="AH17" s="247"/>
      <c r="AI17" s="247"/>
    </row>
    <row r="18" spans="1:35" x14ac:dyDescent="0.25">
      <c r="A18" s="13">
        <v>14</v>
      </c>
      <c r="B18" s="13" t="s">
        <v>152</v>
      </c>
      <c r="C18" s="97">
        <f>'Area&amp;production data'!F18</f>
        <v>0</v>
      </c>
      <c r="D18" s="97">
        <f>'Area&amp;production data'!G18</f>
        <v>0</v>
      </c>
      <c r="E18" s="97">
        <f>'Area&amp;production data'!H18</f>
        <v>0</v>
      </c>
      <c r="F18" s="97">
        <f>'Area&amp;production data'!I18</f>
        <v>0</v>
      </c>
      <c r="G18" s="97">
        <f>'Area&amp;production data'!J18</f>
        <v>0</v>
      </c>
      <c r="H18" s="97">
        <f>'Area&amp;production data'!K18</f>
        <v>0</v>
      </c>
      <c r="I18" s="97">
        <f>'Area&amp;production data'!L18</f>
        <v>0</v>
      </c>
      <c r="J18" s="97">
        <f>'Area&amp;production data'!M18</f>
        <v>0</v>
      </c>
      <c r="K18" s="97">
        <f>'Area&amp;production data'!N18</f>
        <v>0</v>
      </c>
      <c r="L18" s="97">
        <f>'Area&amp;production data'!O18</f>
        <v>0</v>
      </c>
      <c r="M18" s="173">
        <f t="shared" si="0"/>
        <v>0</v>
      </c>
      <c r="N18" s="247"/>
      <c r="O18" s="247"/>
      <c r="P18" s="247"/>
      <c r="Q18" s="247"/>
      <c r="R18" s="247"/>
      <c r="S18" s="247"/>
      <c r="T18" s="247"/>
      <c r="U18" s="247"/>
      <c r="V18" s="247"/>
      <c r="W18" s="247"/>
      <c r="X18" s="247"/>
      <c r="Y18" s="247"/>
      <c r="Z18" s="247"/>
      <c r="AA18" s="247"/>
      <c r="AB18" s="247"/>
      <c r="AC18" s="247"/>
      <c r="AD18" s="247"/>
      <c r="AE18" s="247"/>
      <c r="AF18" s="247"/>
      <c r="AG18" s="247"/>
      <c r="AH18" s="247"/>
      <c r="AI18" s="247"/>
    </row>
    <row r="19" spans="1:35" x14ac:dyDescent="0.25">
      <c r="A19" s="13">
        <v>15</v>
      </c>
      <c r="B19" s="13" t="s">
        <v>153</v>
      </c>
      <c r="C19" s="97">
        <f>'Area&amp;production data'!F19</f>
        <v>0</v>
      </c>
      <c r="D19" s="97">
        <f>'Area&amp;production data'!G19</f>
        <v>0</v>
      </c>
      <c r="E19" s="97">
        <f>'Area&amp;production data'!H19</f>
        <v>0</v>
      </c>
      <c r="F19" s="97">
        <f>'Area&amp;production data'!I19</f>
        <v>0</v>
      </c>
      <c r="G19" s="97">
        <f>'Area&amp;production data'!J19</f>
        <v>0</v>
      </c>
      <c r="H19" s="97">
        <f>'Area&amp;production data'!K19</f>
        <v>0</v>
      </c>
      <c r="I19" s="97">
        <f>'Area&amp;production data'!L19</f>
        <v>0</v>
      </c>
      <c r="J19" s="97">
        <f>'Area&amp;production data'!M19</f>
        <v>0</v>
      </c>
      <c r="K19" s="97">
        <f>'Area&amp;production data'!N19</f>
        <v>0</v>
      </c>
      <c r="L19" s="97">
        <f>'Area&amp;production data'!O19</f>
        <v>0</v>
      </c>
      <c r="M19" s="173">
        <f t="shared" si="0"/>
        <v>0</v>
      </c>
      <c r="N19" s="247"/>
      <c r="O19" s="247"/>
      <c r="P19" s="247"/>
      <c r="Q19" s="247"/>
      <c r="R19" s="247"/>
      <c r="S19" s="247"/>
      <c r="T19" s="247"/>
      <c r="U19" s="247"/>
      <c r="V19" s="247"/>
      <c r="W19" s="247"/>
      <c r="X19" s="247"/>
      <c r="Y19" s="247"/>
      <c r="Z19" s="247"/>
      <c r="AA19" s="247"/>
      <c r="AB19" s="247"/>
      <c r="AC19" s="247"/>
      <c r="AD19" s="247"/>
      <c r="AE19" s="247"/>
      <c r="AF19" s="247"/>
      <c r="AG19" s="247"/>
      <c r="AH19" s="247"/>
      <c r="AI19" s="247"/>
    </row>
    <row r="20" spans="1:35" x14ac:dyDescent="0.25">
      <c r="A20" s="13">
        <v>16</v>
      </c>
      <c r="B20" s="13" t="s">
        <v>154</v>
      </c>
      <c r="C20" s="97">
        <f>'Area&amp;production data'!F20</f>
        <v>0</v>
      </c>
      <c r="D20" s="97">
        <f>'Area&amp;production data'!G20</f>
        <v>0</v>
      </c>
      <c r="E20" s="97">
        <f>'Area&amp;production data'!H20</f>
        <v>0</v>
      </c>
      <c r="F20" s="97">
        <f>'Area&amp;production data'!I20</f>
        <v>0</v>
      </c>
      <c r="G20" s="97">
        <f>'Area&amp;production data'!J20</f>
        <v>0</v>
      </c>
      <c r="H20" s="97">
        <f>'Area&amp;production data'!K20</f>
        <v>0</v>
      </c>
      <c r="I20" s="97">
        <f>'Area&amp;production data'!L20</f>
        <v>0</v>
      </c>
      <c r="J20" s="97">
        <f>'Area&amp;production data'!M20</f>
        <v>0</v>
      </c>
      <c r="K20" s="97">
        <f>'Area&amp;production data'!N20</f>
        <v>0</v>
      </c>
      <c r="L20" s="97">
        <f>'Area&amp;production data'!O20</f>
        <v>0</v>
      </c>
      <c r="M20" s="173">
        <f t="shared" si="0"/>
        <v>0</v>
      </c>
      <c r="N20" s="247"/>
      <c r="O20" s="247"/>
      <c r="P20" s="247"/>
      <c r="Q20" s="247"/>
      <c r="R20" s="247"/>
      <c r="S20" s="247"/>
      <c r="T20" s="247"/>
      <c r="U20" s="247"/>
      <c r="V20" s="247"/>
      <c r="W20" s="247"/>
      <c r="X20" s="247"/>
      <c r="Y20" s="247"/>
      <c r="Z20" s="247"/>
      <c r="AA20" s="247"/>
      <c r="AB20" s="247"/>
      <c r="AC20" s="247"/>
      <c r="AD20" s="247"/>
      <c r="AE20" s="247"/>
      <c r="AF20" s="247"/>
      <c r="AG20" s="247"/>
      <c r="AH20" s="247"/>
      <c r="AI20" s="247"/>
    </row>
    <row r="21" spans="1:35" x14ac:dyDescent="0.25">
      <c r="A21" s="13">
        <v>17</v>
      </c>
      <c r="B21" s="13" t="s">
        <v>155</v>
      </c>
      <c r="C21" s="97">
        <f>'Area&amp;production data'!F21</f>
        <v>0</v>
      </c>
      <c r="D21" s="97">
        <f>'Area&amp;production data'!G21</f>
        <v>0</v>
      </c>
      <c r="E21" s="97">
        <f>'Area&amp;production data'!H21</f>
        <v>0</v>
      </c>
      <c r="F21" s="97">
        <f>'Area&amp;production data'!I21</f>
        <v>0</v>
      </c>
      <c r="G21" s="97">
        <f>'Area&amp;production data'!J21</f>
        <v>0</v>
      </c>
      <c r="H21" s="97">
        <f>'Area&amp;production data'!K21</f>
        <v>0</v>
      </c>
      <c r="I21" s="97">
        <f>'Area&amp;production data'!L21</f>
        <v>0</v>
      </c>
      <c r="J21" s="97">
        <f>'Area&amp;production data'!M21</f>
        <v>0</v>
      </c>
      <c r="K21" s="97">
        <f>'Area&amp;production data'!N21</f>
        <v>0</v>
      </c>
      <c r="L21" s="97">
        <f>'Area&amp;production data'!O21</f>
        <v>0</v>
      </c>
      <c r="M21" s="173">
        <f t="shared" si="0"/>
        <v>0</v>
      </c>
      <c r="N21" s="247"/>
      <c r="O21" s="247"/>
      <c r="P21" s="247"/>
      <c r="Q21" s="247"/>
      <c r="R21" s="247"/>
      <c r="S21" s="247"/>
      <c r="T21" s="247"/>
      <c r="U21" s="247"/>
      <c r="V21" s="247"/>
      <c r="W21" s="247"/>
      <c r="X21" s="247"/>
      <c r="Y21" s="247"/>
      <c r="Z21" s="247"/>
      <c r="AA21" s="247"/>
      <c r="AB21" s="247"/>
      <c r="AC21" s="247"/>
      <c r="AD21" s="247"/>
      <c r="AE21" s="247"/>
      <c r="AF21" s="247"/>
      <c r="AG21" s="247"/>
      <c r="AH21" s="247"/>
      <c r="AI21" s="247"/>
    </row>
    <row r="22" spans="1:35" x14ac:dyDescent="0.25">
      <c r="A22" s="13">
        <v>18</v>
      </c>
      <c r="B22" s="13" t="s">
        <v>156</v>
      </c>
      <c r="C22" s="97">
        <f>'Area&amp;production data'!F22</f>
        <v>0</v>
      </c>
      <c r="D22" s="97">
        <f>'Area&amp;production data'!G22</f>
        <v>0</v>
      </c>
      <c r="E22" s="97">
        <f>'Area&amp;production data'!H22</f>
        <v>0</v>
      </c>
      <c r="F22" s="97">
        <f>'Area&amp;production data'!I22</f>
        <v>0</v>
      </c>
      <c r="G22" s="97">
        <f>'Area&amp;production data'!J22</f>
        <v>0</v>
      </c>
      <c r="H22" s="97">
        <f>'Area&amp;production data'!K22</f>
        <v>0</v>
      </c>
      <c r="I22" s="97">
        <f>'Area&amp;production data'!L22</f>
        <v>0</v>
      </c>
      <c r="J22" s="97">
        <f>'Area&amp;production data'!M22</f>
        <v>0</v>
      </c>
      <c r="K22" s="97">
        <f>'Area&amp;production data'!N22</f>
        <v>0</v>
      </c>
      <c r="L22" s="97">
        <f>'Area&amp;production data'!O22</f>
        <v>0</v>
      </c>
      <c r="M22" s="173">
        <f t="shared" si="0"/>
        <v>0</v>
      </c>
      <c r="N22" s="247"/>
      <c r="O22" s="247"/>
      <c r="P22" s="247"/>
      <c r="Q22" s="247"/>
      <c r="R22" s="247"/>
      <c r="S22" s="247"/>
      <c r="T22" s="247"/>
      <c r="U22" s="247"/>
      <c r="V22" s="247"/>
      <c r="W22" s="247"/>
      <c r="X22" s="247"/>
      <c r="Y22" s="247"/>
      <c r="Z22" s="247"/>
      <c r="AA22" s="247"/>
      <c r="AB22" s="247"/>
      <c r="AC22" s="247"/>
      <c r="AD22" s="247"/>
      <c r="AE22" s="247"/>
      <c r="AF22" s="247"/>
      <c r="AG22" s="247"/>
      <c r="AH22" s="247"/>
      <c r="AI22" s="247"/>
    </row>
    <row r="23" spans="1:35" x14ac:dyDescent="0.25">
      <c r="A23" s="13">
        <v>19</v>
      </c>
      <c r="B23" s="13" t="s">
        <v>157</v>
      </c>
      <c r="C23" s="97">
        <f>'Area&amp;production data'!F23</f>
        <v>0</v>
      </c>
      <c r="D23" s="97">
        <f>'Area&amp;production data'!G23</f>
        <v>0</v>
      </c>
      <c r="E23" s="97">
        <f>'Area&amp;production data'!H23</f>
        <v>0</v>
      </c>
      <c r="F23" s="97">
        <f>'Area&amp;production data'!I23</f>
        <v>0</v>
      </c>
      <c r="G23" s="97">
        <f>'Area&amp;production data'!J23</f>
        <v>0</v>
      </c>
      <c r="H23" s="97">
        <f>'Area&amp;production data'!K23</f>
        <v>0</v>
      </c>
      <c r="I23" s="97">
        <f>'Area&amp;production data'!L23</f>
        <v>0</v>
      </c>
      <c r="J23" s="97">
        <f>'Area&amp;production data'!M23</f>
        <v>0</v>
      </c>
      <c r="K23" s="97">
        <f>'Area&amp;production data'!N23</f>
        <v>0</v>
      </c>
      <c r="L23" s="97">
        <f>'Area&amp;production data'!O23</f>
        <v>0</v>
      </c>
      <c r="M23" s="173">
        <f t="shared" si="0"/>
        <v>0</v>
      </c>
      <c r="N23" s="247"/>
      <c r="O23" s="247"/>
      <c r="P23" s="247"/>
      <c r="Q23" s="247"/>
      <c r="R23" s="247"/>
      <c r="S23" s="247"/>
      <c r="T23" s="247"/>
      <c r="U23" s="247"/>
      <c r="V23" s="247"/>
      <c r="W23" s="247"/>
      <c r="X23" s="247"/>
      <c r="Y23" s="247"/>
      <c r="Z23" s="247"/>
      <c r="AA23" s="247"/>
      <c r="AB23" s="247"/>
      <c r="AC23" s="247"/>
      <c r="AD23" s="247"/>
      <c r="AE23" s="247"/>
      <c r="AF23" s="247"/>
      <c r="AG23" s="247"/>
      <c r="AH23" s="247"/>
      <c r="AI23" s="247"/>
    </row>
    <row r="24" spans="1:35" x14ac:dyDescent="0.25">
      <c r="A24" s="13">
        <v>20</v>
      </c>
      <c r="B24" s="13" t="s">
        <v>158</v>
      </c>
      <c r="C24" s="97">
        <f>'Area&amp;production data'!F24</f>
        <v>0</v>
      </c>
      <c r="D24" s="97">
        <f>'Area&amp;production data'!G24</f>
        <v>0</v>
      </c>
      <c r="E24" s="97">
        <f>'Area&amp;production data'!H24</f>
        <v>0</v>
      </c>
      <c r="F24" s="97">
        <f>'Area&amp;production data'!I24</f>
        <v>0</v>
      </c>
      <c r="G24" s="97">
        <f>'Area&amp;production data'!J24</f>
        <v>0</v>
      </c>
      <c r="H24" s="97">
        <f>'Area&amp;production data'!K24</f>
        <v>0</v>
      </c>
      <c r="I24" s="97">
        <f>'Area&amp;production data'!L24</f>
        <v>0</v>
      </c>
      <c r="J24" s="97">
        <f>'Area&amp;production data'!M24</f>
        <v>0</v>
      </c>
      <c r="K24" s="97">
        <f>'Area&amp;production data'!N24</f>
        <v>0</v>
      </c>
      <c r="L24" s="97">
        <f>'Area&amp;production data'!O24</f>
        <v>0</v>
      </c>
      <c r="M24" s="173">
        <f t="shared" si="0"/>
        <v>0</v>
      </c>
      <c r="N24" s="247"/>
      <c r="O24" s="247"/>
      <c r="P24" s="247"/>
      <c r="Q24" s="247"/>
      <c r="R24" s="247"/>
      <c r="S24" s="247"/>
      <c r="T24" s="247"/>
      <c r="U24" s="247"/>
      <c r="V24" s="247"/>
      <c r="W24" s="247"/>
      <c r="X24" s="247"/>
      <c r="Y24" s="247"/>
      <c r="Z24" s="247"/>
      <c r="AA24" s="247"/>
      <c r="AB24" s="247"/>
      <c r="AC24" s="247"/>
      <c r="AD24" s="247"/>
      <c r="AE24" s="247"/>
      <c r="AF24" s="247"/>
      <c r="AG24" s="247"/>
      <c r="AH24" s="247"/>
      <c r="AI24" s="247"/>
    </row>
    <row r="25" spans="1:35" x14ac:dyDescent="0.25">
      <c r="A25" s="13">
        <v>21</v>
      </c>
      <c r="B25" s="13" t="s">
        <v>159</v>
      </c>
      <c r="C25" s="97">
        <f>'Area&amp;production data'!F25</f>
        <v>0</v>
      </c>
      <c r="D25" s="97">
        <f>'Area&amp;production data'!G25</f>
        <v>0</v>
      </c>
      <c r="E25" s="97">
        <f>'Area&amp;production data'!H25</f>
        <v>0</v>
      </c>
      <c r="F25" s="97">
        <f>'Area&amp;production data'!I25</f>
        <v>0</v>
      </c>
      <c r="G25" s="97">
        <f>'Area&amp;production data'!J25</f>
        <v>0</v>
      </c>
      <c r="H25" s="97">
        <f>'Area&amp;production data'!K25</f>
        <v>0</v>
      </c>
      <c r="I25" s="97">
        <f>'Area&amp;production data'!L25</f>
        <v>0</v>
      </c>
      <c r="J25" s="97">
        <f>'Area&amp;production data'!M25</f>
        <v>0</v>
      </c>
      <c r="K25" s="97">
        <f>'Area&amp;production data'!N25</f>
        <v>0</v>
      </c>
      <c r="L25" s="97">
        <f>'Area&amp;production data'!O25</f>
        <v>0</v>
      </c>
      <c r="M25" s="173">
        <f t="shared" si="0"/>
        <v>0</v>
      </c>
      <c r="N25" s="247"/>
      <c r="O25" s="247"/>
      <c r="P25" s="247"/>
      <c r="Q25" s="247"/>
      <c r="R25" s="247"/>
      <c r="S25" s="247"/>
      <c r="T25" s="247"/>
      <c r="U25" s="247"/>
      <c r="V25" s="247"/>
      <c r="W25" s="247"/>
      <c r="X25" s="247"/>
      <c r="Y25" s="247"/>
      <c r="Z25" s="247"/>
      <c r="AA25" s="247"/>
      <c r="AB25" s="247"/>
      <c r="AC25" s="247"/>
      <c r="AD25" s="247"/>
      <c r="AE25" s="247"/>
      <c r="AF25" s="247"/>
      <c r="AG25" s="247"/>
      <c r="AH25" s="247"/>
      <c r="AI25" s="247"/>
    </row>
    <row r="26" spans="1:35" x14ac:dyDescent="0.25">
      <c r="A26" s="13">
        <v>22</v>
      </c>
      <c r="B26" s="13" t="s">
        <v>160</v>
      </c>
      <c r="C26" s="97">
        <f>'Area&amp;production data'!F26</f>
        <v>0</v>
      </c>
      <c r="D26" s="97">
        <f>'Area&amp;production data'!G26</f>
        <v>0</v>
      </c>
      <c r="E26" s="97">
        <f>'Area&amp;production data'!H26</f>
        <v>0</v>
      </c>
      <c r="F26" s="97">
        <f>'Area&amp;production data'!I26</f>
        <v>0</v>
      </c>
      <c r="G26" s="97">
        <f>'Area&amp;production data'!J26</f>
        <v>0</v>
      </c>
      <c r="H26" s="97">
        <f>'Area&amp;production data'!K26</f>
        <v>0</v>
      </c>
      <c r="I26" s="97">
        <f>'Area&amp;production data'!L26</f>
        <v>0</v>
      </c>
      <c r="J26" s="97">
        <f>'Area&amp;production data'!M26</f>
        <v>0</v>
      </c>
      <c r="K26" s="97">
        <f>'Area&amp;production data'!N26</f>
        <v>0</v>
      </c>
      <c r="L26" s="97">
        <f>'Area&amp;production data'!O26</f>
        <v>0</v>
      </c>
      <c r="M26" s="173">
        <f t="shared" si="0"/>
        <v>0</v>
      </c>
      <c r="N26" s="247"/>
      <c r="O26" s="247"/>
      <c r="P26" s="247"/>
      <c r="Q26" s="247"/>
      <c r="R26" s="247"/>
      <c r="S26" s="247"/>
      <c r="T26" s="247"/>
      <c r="U26" s="247"/>
      <c r="V26" s="247"/>
      <c r="W26" s="247"/>
      <c r="X26" s="247"/>
      <c r="Y26" s="247"/>
      <c r="Z26" s="247"/>
      <c r="AA26" s="247"/>
      <c r="AB26" s="247"/>
      <c r="AC26" s="247"/>
      <c r="AD26" s="247"/>
      <c r="AE26" s="247"/>
      <c r="AF26" s="247"/>
      <c r="AG26" s="247"/>
      <c r="AH26" s="247"/>
      <c r="AI26" s="247"/>
    </row>
    <row r="27" spans="1:35" x14ac:dyDescent="0.25">
      <c r="A27" s="13">
        <v>23</v>
      </c>
      <c r="B27" s="13" t="s">
        <v>161</v>
      </c>
      <c r="C27" s="97">
        <f>'Area&amp;production data'!F27</f>
        <v>0</v>
      </c>
      <c r="D27" s="97">
        <f>'Area&amp;production data'!G27</f>
        <v>0</v>
      </c>
      <c r="E27" s="97">
        <f>'Area&amp;production data'!H27</f>
        <v>0</v>
      </c>
      <c r="F27" s="97">
        <f>'Area&amp;production data'!I27</f>
        <v>0</v>
      </c>
      <c r="G27" s="97">
        <f>'Area&amp;production data'!J27</f>
        <v>0</v>
      </c>
      <c r="H27" s="97">
        <f>'Area&amp;production data'!K27</f>
        <v>0</v>
      </c>
      <c r="I27" s="97">
        <f>'Area&amp;production data'!L27</f>
        <v>0</v>
      </c>
      <c r="J27" s="97">
        <f>'Area&amp;production data'!M27</f>
        <v>0</v>
      </c>
      <c r="K27" s="97">
        <f>'Area&amp;production data'!N27</f>
        <v>0</v>
      </c>
      <c r="L27" s="97">
        <f>'Area&amp;production data'!O27</f>
        <v>0</v>
      </c>
      <c r="M27" s="173">
        <f t="shared" si="0"/>
        <v>0</v>
      </c>
      <c r="N27" s="247"/>
      <c r="O27" s="247"/>
      <c r="P27" s="247"/>
      <c r="Q27" s="247"/>
      <c r="R27" s="247"/>
      <c r="S27" s="247"/>
      <c r="T27" s="247"/>
      <c r="U27" s="247"/>
      <c r="V27" s="247"/>
      <c r="W27" s="247"/>
      <c r="X27" s="247"/>
      <c r="Y27" s="247"/>
      <c r="Z27" s="247"/>
      <c r="AA27" s="247"/>
      <c r="AB27" s="247"/>
      <c r="AC27" s="247"/>
      <c r="AD27" s="247"/>
      <c r="AE27" s="247"/>
      <c r="AF27" s="247"/>
      <c r="AG27" s="247"/>
      <c r="AH27" s="247"/>
      <c r="AI27" s="247"/>
    </row>
    <row r="28" spans="1:35" x14ac:dyDescent="0.25">
      <c r="A28" s="13">
        <v>24</v>
      </c>
      <c r="B28" s="13" t="s">
        <v>162</v>
      </c>
      <c r="C28" s="97">
        <f>'Area&amp;production data'!F28</f>
        <v>0</v>
      </c>
      <c r="D28" s="97">
        <f>'Area&amp;production data'!G28</f>
        <v>0</v>
      </c>
      <c r="E28" s="97">
        <f>'Area&amp;production data'!H28</f>
        <v>0</v>
      </c>
      <c r="F28" s="97">
        <f>'Area&amp;production data'!I28</f>
        <v>0</v>
      </c>
      <c r="G28" s="97">
        <f>'Area&amp;production data'!J28</f>
        <v>0</v>
      </c>
      <c r="H28" s="97">
        <f>'Area&amp;production data'!K28</f>
        <v>0</v>
      </c>
      <c r="I28" s="97">
        <f>'Area&amp;production data'!L28</f>
        <v>0</v>
      </c>
      <c r="J28" s="97">
        <f>'Area&amp;production data'!M28</f>
        <v>0</v>
      </c>
      <c r="K28" s="97">
        <f>'Area&amp;production data'!N28</f>
        <v>0</v>
      </c>
      <c r="L28" s="97">
        <f>'Area&amp;production data'!O28</f>
        <v>0</v>
      </c>
      <c r="M28" s="173">
        <f t="shared" si="0"/>
        <v>0</v>
      </c>
      <c r="N28" s="247"/>
      <c r="O28" s="247"/>
      <c r="P28" s="247"/>
      <c r="Q28" s="247"/>
      <c r="R28" s="247"/>
      <c r="S28" s="247"/>
      <c r="T28" s="247"/>
      <c r="U28" s="247"/>
      <c r="V28" s="247"/>
      <c r="W28" s="247"/>
      <c r="X28" s="247"/>
      <c r="Y28" s="247"/>
      <c r="Z28" s="247"/>
      <c r="AA28" s="247"/>
      <c r="AB28" s="247"/>
      <c r="AC28" s="247"/>
      <c r="AD28" s="247"/>
      <c r="AE28" s="247"/>
      <c r="AF28" s="247"/>
      <c r="AG28" s="247"/>
      <c r="AH28" s="247"/>
      <c r="AI28" s="247"/>
    </row>
    <row r="29" spans="1:35" x14ac:dyDescent="0.25">
      <c r="A29" s="13"/>
      <c r="B29" s="15" t="s">
        <v>163</v>
      </c>
      <c r="C29" s="48">
        <f>SUM(C5:C28)</f>
        <v>0</v>
      </c>
      <c r="D29" s="48">
        <f t="shared" ref="D29:L29" si="1">SUM(D5:D28)</f>
        <v>0</v>
      </c>
      <c r="E29" s="48">
        <f t="shared" si="1"/>
        <v>0</v>
      </c>
      <c r="F29" s="48">
        <f t="shared" si="1"/>
        <v>0</v>
      </c>
      <c r="G29" s="48">
        <f t="shared" si="1"/>
        <v>0</v>
      </c>
      <c r="H29" s="48">
        <f t="shared" si="1"/>
        <v>0</v>
      </c>
      <c r="I29" s="48">
        <f t="shared" si="1"/>
        <v>0</v>
      </c>
      <c r="J29" s="48">
        <f t="shared" si="1"/>
        <v>0</v>
      </c>
      <c r="K29" s="48">
        <f t="shared" si="1"/>
        <v>0</v>
      </c>
      <c r="L29" s="48">
        <f t="shared" si="1"/>
        <v>0</v>
      </c>
      <c r="M29" s="173">
        <f t="shared" si="0"/>
        <v>0</v>
      </c>
      <c r="N29" s="246"/>
      <c r="O29" s="246"/>
      <c r="P29" s="246"/>
      <c r="Q29" s="246"/>
      <c r="R29" s="246"/>
      <c r="S29" s="246"/>
      <c r="T29" s="246"/>
      <c r="U29" s="246"/>
      <c r="V29" s="246"/>
      <c r="W29" s="246"/>
      <c r="X29" s="246"/>
      <c r="Y29" s="246"/>
      <c r="Z29" s="246"/>
      <c r="AA29" s="246"/>
      <c r="AB29" s="246"/>
      <c r="AC29" s="246"/>
      <c r="AD29" s="246"/>
      <c r="AE29" s="246"/>
      <c r="AF29" s="246"/>
      <c r="AG29" s="246"/>
      <c r="AH29" s="246"/>
      <c r="AI29" s="246"/>
    </row>
    <row r="30" spans="1:35" x14ac:dyDescent="0.25">
      <c r="B30" s="1"/>
      <c r="C30" s="246"/>
      <c r="D30" s="246"/>
      <c r="E30" s="246"/>
      <c r="F30" s="246"/>
      <c r="G30" s="246"/>
      <c r="H30" s="246"/>
      <c r="I30" s="246"/>
      <c r="J30" s="246"/>
      <c r="K30" s="246"/>
      <c r="L30" s="246"/>
      <c r="M30" s="248" t="b">
        <f>SUM(C29:L29)=M29</f>
        <v>1</v>
      </c>
      <c r="N30" s="246"/>
      <c r="O30" s="246"/>
      <c r="P30" s="246"/>
      <c r="Q30" s="246"/>
      <c r="R30" s="246"/>
      <c r="S30" s="246"/>
      <c r="T30" s="246"/>
      <c r="U30" s="246"/>
      <c r="V30" s="246"/>
      <c r="W30" s="246"/>
      <c r="X30" s="246"/>
      <c r="Y30" s="246"/>
      <c r="Z30" s="246"/>
      <c r="AA30" s="246"/>
      <c r="AB30" s="246"/>
      <c r="AC30" s="246"/>
      <c r="AD30" s="246"/>
      <c r="AE30" s="246"/>
      <c r="AF30" s="246"/>
      <c r="AG30" s="246"/>
      <c r="AH30" s="246"/>
      <c r="AI30" s="246"/>
    </row>
    <row r="31" spans="1:35" x14ac:dyDescent="0.25">
      <c r="B31" s="1" t="s">
        <v>204</v>
      </c>
      <c r="C31" s="246"/>
      <c r="D31" s="246"/>
      <c r="E31" s="246"/>
      <c r="F31" s="246"/>
      <c r="G31" s="246"/>
      <c r="H31" s="246"/>
      <c r="I31" s="246"/>
      <c r="J31" s="246"/>
      <c r="K31" s="246"/>
      <c r="L31" s="246"/>
      <c r="M31" s="246"/>
      <c r="N31" s="246"/>
      <c r="O31" s="246"/>
      <c r="P31" s="246"/>
      <c r="Q31" s="246"/>
      <c r="R31" s="246"/>
      <c r="S31" s="246"/>
      <c r="T31" s="246"/>
      <c r="U31" s="246"/>
      <c r="V31" s="246"/>
      <c r="W31" s="246"/>
      <c r="X31" s="246"/>
      <c r="Y31" s="246"/>
      <c r="Z31" s="246"/>
      <c r="AA31" s="246"/>
      <c r="AB31" s="246"/>
      <c r="AC31" s="246"/>
      <c r="AD31" s="246"/>
      <c r="AE31" s="246"/>
      <c r="AF31" s="246"/>
      <c r="AG31" s="246"/>
      <c r="AH31" s="246"/>
      <c r="AI31" s="246"/>
    </row>
    <row r="32" spans="1:35" x14ac:dyDescent="0.25">
      <c r="B32" s="826" t="s">
        <v>1252</v>
      </c>
      <c r="C32" s="826"/>
      <c r="D32" s="826"/>
      <c r="E32" s="826"/>
      <c r="F32" s="826"/>
      <c r="G32" s="826"/>
      <c r="H32" s="826"/>
      <c r="I32" s="826"/>
      <c r="J32" s="826"/>
      <c r="K32" s="826"/>
      <c r="L32" s="826"/>
      <c r="M32" s="826"/>
      <c r="N32" s="826"/>
      <c r="O32" s="826"/>
      <c r="P32" s="826"/>
      <c r="Q32" s="826"/>
      <c r="R32" s="826"/>
      <c r="S32" s="246"/>
      <c r="T32" s="246"/>
      <c r="U32" s="246"/>
      <c r="V32" s="246"/>
      <c r="W32" s="246"/>
      <c r="X32" s="246"/>
      <c r="Y32" s="246"/>
      <c r="Z32" s="246"/>
      <c r="AA32" s="246"/>
      <c r="AB32" s="246"/>
      <c r="AC32" s="246"/>
      <c r="AD32" s="246"/>
      <c r="AE32" s="246"/>
      <c r="AF32" s="246"/>
      <c r="AG32" s="246"/>
      <c r="AH32" s="246"/>
      <c r="AI32" s="246"/>
    </row>
    <row r="33" spans="1:46" x14ac:dyDescent="0.25">
      <c r="B33" s="826"/>
      <c r="C33" s="826"/>
      <c r="D33" s="826"/>
      <c r="E33" s="826"/>
      <c r="F33" s="826"/>
      <c r="G33" s="826"/>
      <c r="H33" s="826"/>
      <c r="I33" s="826"/>
      <c r="J33" s="826"/>
      <c r="K33" s="826"/>
      <c r="L33" s="826"/>
      <c r="M33" s="826"/>
      <c r="N33" s="826"/>
      <c r="O33" s="826"/>
      <c r="P33" s="826"/>
      <c r="Q33" s="826"/>
      <c r="R33" s="826"/>
      <c r="S33" s="246"/>
      <c r="T33" s="246"/>
      <c r="U33" s="246"/>
      <c r="V33" s="246"/>
      <c r="W33" s="246"/>
      <c r="X33" s="246"/>
      <c r="Y33" s="246"/>
      <c r="Z33" s="246"/>
      <c r="AA33" s="246"/>
      <c r="AB33" s="246"/>
      <c r="AC33" s="246"/>
      <c r="AD33" s="246"/>
      <c r="AE33" s="246"/>
      <c r="AF33" s="246"/>
      <c r="AG33" s="246"/>
      <c r="AH33" s="246"/>
      <c r="AI33" s="246"/>
    </row>
    <row r="34" spans="1:46" x14ac:dyDescent="0.25">
      <c r="B34" s="1"/>
      <c r="C34" s="246" t="s">
        <v>205</v>
      </c>
      <c r="D34" s="246"/>
      <c r="E34" s="246"/>
      <c r="F34" s="246"/>
      <c r="G34" s="246"/>
      <c r="H34" s="246"/>
      <c r="I34" s="246"/>
      <c r="J34" s="246"/>
      <c r="K34" s="246"/>
      <c r="L34" s="246"/>
      <c r="M34" s="246"/>
      <c r="N34" s="246"/>
      <c r="O34" s="246"/>
      <c r="P34" s="246"/>
      <c r="Q34" s="246"/>
      <c r="R34" s="246"/>
      <c r="S34" s="246"/>
      <c r="T34" s="246"/>
      <c r="U34" s="246"/>
      <c r="V34" s="246"/>
      <c r="W34" s="246"/>
      <c r="X34" s="246"/>
      <c r="Y34" s="246"/>
      <c r="Z34" s="246"/>
      <c r="AA34" s="246"/>
      <c r="AB34" s="246"/>
      <c r="AC34" s="246"/>
      <c r="AD34" s="246"/>
      <c r="AE34" s="246"/>
      <c r="AF34" s="246"/>
      <c r="AG34" s="246"/>
      <c r="AH34" s="246"/>
      <c r="AI34" s="246"/>
    </row>
    <row r="35" spans="1:46" x14ac:dyDescent="0.25">
      <c r="B35" s="1"/>
      <c r="C35" s="246"/>
      <c r="D35" s="246"/>
      <c r="E35" s="246"/>
      <c r="F35" s="246"/>
      <c r="G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row>
    <row r="36" spans="1:46" x14ac:dyDescent="0.25">
      <c r="B36" s="1"/>
      <c r="C36" s="246"/>
      <c r="D36" s="246"/>
      <c r="E36" s="246"/>
      <c r="F36" s="246"/>
      <c r="G36" s="246"/>
      <c r="H36" s="246"/>
      <c r="I36" s="246"/>
      <c r="J36" s="246"/>
      <c r="K36" s="246"/>
      <c r="L36" s="246"/>
      <c r="M36" s="246"/>
      <c r="N36" s="246"/>
      <c r="O36" s="246"/>
      <c r="P36" s="246"/>
      <c r="Q36" s="246"/>
      <c r="R36" s="246"/>
      <c r="S36" s="246"/>
      <c r="T36" s="246"/>
      <c r="U36" s="246"/>
      <c r="V36" s="246"/>
      <c r="W36" s="246"/>
      <c r="X36" s="246"/>
      <c r="Y36" s="246"/>
      <c r="Z36" s="246"/>
      <c r="AA36" s="246"/>
      <c r="AB36" s="246"/>
      <c r="AC36" s="246"/>
      <c r="AD36" s="246"/>
      <c r="AE36" s="246"/>
      <c r="AF36" s="246"/>
      <c r="AG36" s="246"/>
      <c r="AH36" s="246"/>
      <c r="AI36" s="246"/>
    </row>
    <row r="37" spans="1:46" ht="30.6" customHeight="1" x14ac:dyDescent="0.25">
      <c r="A37" s="13"/>
      <c r="B37" s="756" t="s">
        <v>101</v>
      </c>
      <c r="C37" s="759" t="s">
        <v>206</v>
      </c>
      <c r="D37" s="759"/>
      <c r="E37" s="759"/>
      <c r="F37" s="759"/>
      <c r="G37" s="759"/>
      <c r="H37" s="759"/>
      <c r="I37" s="759"/>
      <c r="J37" s="759"/>
      <c r="K37" s="759"/>
      <c r="L37" s="759"/>
      <c r="M37" s="759"/>
      <c r="N37" s="759" t="s">
        <v>207</v>
      </c>
      <c r="O37" s="759"/>
      <c r="P37" s="759"/>
      <c r="Q37" s="759"/>
      <c r="R37" s="759"/>
      <c r="S37" s="759"/>
      <c r="T37" s="759"/>
      <c r="U37" s="759"/>
      <c r="V37" s="759"/>
      <c r="W37" s="759"/>
      <c r="X37" s="759"/>
      <c r="Y37" s="759" t="s">
        <v>208</v>
      </c>
      <c r="Z37" s="759"/>
      <c r="AA37" s="759"/>
      <c r="AB37" s="759"/>
      <c r="AC37" s="759"/>
      <c r="AD37" s="759"/>
      <c r="AE37" s="759"/>
      <c r="AF37" s="759"/>
      <c r="AG37" s="759"/>
      <c r="AH37" s="759"/>
      <c r="AI37" s="759"/>
      <c r="AJ37" s="759" t="s">
        <v>209</v>
      </c>
      <c r="AK37" s="759"/>
      <c r="AL37" s="759"/>
      <c r="AM37" s="759"/>
      <c r="AN37" s="759"/>
      <c r="AO37" s="759"/>
      <c r="AP37" s="759"/>
      <c r="AQ37" s="759"/>
      <c r="AR37" s="759"/>
      <c r="AS37" s="759"/>
      <c r="AT37" s="759"/>
    </row>
    <row r="38" spans="1:46" ht="45" x14ac:dyDescent="0.25">
      <c r="A38" s="13"/>
      <c r="B38" s="756"/>
      <c r="C38" s="16" t="s">
        <v>24</v>
      </c>
      <c r="D38" s="16" t="s">
        <v>26</v>
      </c>
      <c r="E38" s="85" t="s">
        <v>28</v>
      </c>
      <c r="F38" s="85" t="s">
        <v>30</v>
      </c>
      <c r="G38" s="85" t="s">
        <v>210</v>
      </c>
      <c r="H38" s="85" t="s">
        <v>131</v>
      </c>
      <c r="I38" s="85" t="s">
        <v>211</v>
      </c>
      <c r="J38" s="399" t="s">
        <v>38</v>
      </c>
      <c r="K38" s="85" t="s">
        <v>212</v>
      </c>
      <c r="L38" s="85" t="s">
        <v>125</v>
      </c>
      <c r="M38" s="174" t="s">
        <v>213</v>
      </c>
      <c r="N38" s="16" t="s">
        <v>24</v>
      </c>
      <c r="O38" s="16" t="s">
        <v>26</v>
      </c>
      <c r="P38" s="85" t="s">
        <v>28</v>
      </c>
      <c r="Q38" s="85" t="s">
        <v>30</v>
      </c>
      <c r="R38" s="85" t="s">
        <v>210</v>
      </c>
      <c r="S38" s="85" t="s">
        <v>131</v>
      </c>
      <c r="T38" s="85" t="s">
        <v>211</v>
      </c>
      <c r="U38" s="399" t="s">
        <v>38</v>
      </c>
      <c r="V38" s="85" t="s">
        <v>212</v>
      </c>
      <c r="W38" s="85" t="s">
        <v>125</v>
      </c>
      <c r="X38" s="174" t="s">
        <v>213</v>
      </c>
      <c r="Y38" s="16" t="s">
        <v>24</v>
      </c>
      <c r="Z38" s="16" t="s">
        <v>26</v>
      </c>
      <c r="AA38" s="85" t="s">
        <v>28</v>
      </c>
      <c r="AB38" s="85" t="s">
        <v>30</v>
      </c>
      <c r="AC38" s="85" t="s">
        <v>210</v>
      </c>
      <c r="AD38" s="85" t="s">
        <v>131</v>
      </c>
      <c r="AE38" s="85" t="s">
        <v>211</v>
      </c>
      <c r="AF38" s="399" t="s">
        <v>38</v>
      </c>
      <c r="AG38" s="85" t="s">
        <v>212</v>
      </c>
      <c r="AH38" s="85" t="s">
        <v>125</v>
      </c>
      <c r="AI38" s="174" t="s">
        <v>213</v>
      </c>
      <c r="AJ38" s="16" t="s">
        <v>24</v>
      </c>
      <c r="AK38" s="16" t="s">
        <v>26</v>
      </c>
      <c r="AL38" s="85" t="s">
        <v>28</v>
      </c>
      <c r="AM38" s="85" t="s">
        <v>30</v>
      </c>
      <c r="AN38" s="85" t="s">
        <v>210</v>
      </c>
      <c r="AO38" s="85" t="s">
        <v>131</v>
      </c>
      <c r="AP38" s="85" t="s">
        <v>211</v>
      </c>
      <c r="AQ38" s="399" t="s">
        <v>38</v>
      </c>
      <c r="AR38" s="85" t="s">
        <v>212</v>
      </c>
      <c r="AS38" s="85" t="s">
        <v>125</v>
      </c>
      <c r="AT38" s="174" t="s">
        <v>120</v>
      </c>
    </row>
    <row r="39" spans="1:46" x14ac:dyDescent="0.25">
      <c r="A39" s="272">
        <v>1</v>
      </c>
      <c r="B39" s="272" t="s">
        <v>139</v>
      </c>
      <c r="C39" s="206">
        <f>'Area(ha)-by-degradation-level'!O5</f>
        <v>0</v>
      </c>
      <c r="D39" s="206">
        <f>'Area(ha)-by-degradation-level'!S5</f>
        <v>0</v>
      </c>
      <c r="E39" s="262">
        <f>'Area(ha)-by-degradation-level'!W5</f>
        <v>0</v>
      </c>
      <c r="F39" s="262">
        <f>'Area(ha)-by-degradation-level'!AA5</f>
        <v>0</v>
      </c>
      <c r="G39" s="263">
        <f>'Area(ha)-by-degradation-level'!AE5</f>
        <v>0</v>
      </c>
      <c r="H39" s="263">
        <f>'Area(ha)-by-degradation-level'!AI5</f>
        <v>0</v>
      </c>
      <c r="I39" s="263">
        <f>'Area(ha)-by-degradation-level'!AM5</f>
        <v>0</v>
      </c>
      <c r="J39" s="169">
        <f>'Area(ha)-by-degradation-level'!AQ5</f>
        <v>0</v>
      </c>
      <c r="K39" s="263">
        <f>'Area(ha)-by-degradation-level'!AU5</f>
        <v>0</v>
      </c>
      <c r="L39" s="263">
        <f>'Area(ha)-by-degradation-level'!AY5</f>
        <v>0</v>
      </c>
      <c r="M39" s="303" t="e">
        <f>($C5/$M5)*C39+($D5/$M5)*D39+($E5/$M5)*E39+($F5/$M5)*F39+($G5/$M5)*G39+($H5/$M5)*H39+($I5/$M5)*I39+($J5/$M5)*J39+($K5/$M5)*K39+($L5/$M5)*L39</f>
        <v>#DIV/0!</v>
      </c>
      <c r="N39" s="206">
        <f>'Area(ha)-by-degradation-level'!P5</f>
        <v>0</v>
      </c>
      <c r="O39" s="206">
        <f>'Area(ha)-by-degradation-level'!T5</f>
        <v>0</v>
      </c>
      <c r="P39" s="262">
        <f>'Area(ha)-by-degradation-level'!X5</f>
        <v>0</v>
      </c>
      <c r="Q39" s="262">
        <f>'Area(ha)-by-degradation-level'!AB5</f>
        <v>0</v>
      </c>
      <c r="R39" s="263">
        <f>'Area(ha)-by-degradation-level'!AF5</f>
        <v>0</v>
      </c>
      <c r="S39" s="263">
        <f>'Area(ha)-by-degradation-level'!AJ5</f>
        <v>0</v>
      </c>
      <c r="T39" s="263">
        <f>'Area(ha)-by-degradation-level'!AN5</f>
        <v>0</v>
      </c>
      <c r="U39" s="169">
        <f>'Area(ha)-by-degradation-level'!AR5</f>
        <v>0</v>
      </c>
      <c r="V39" s="263">
        <f>'Area(ha)-by-degradation-level'!AV5</f>
        <v>0</v>
      </c>
      <c r="W39" s="263">
        <f>'Area(ha)-by-degradation-level'!AZ5</f>
        <v>0</v>
      </c>
      <c r="X39" s="303" t="e">
        <f>($C5/$M5)*N39+($D5/$M5)*O39+($E5/$M5)*P39+($F5/$M5)*Q39+($G5/$M5)*R39+($H5/$M5)*S39+($I5/$M5)*T39+($J5/$M5)*U39+($K5/$M5)*V39+($L5/$M5)*W39</f>
        <v>#DIV/0!</v>
      </c>
      <c r="Y39" s="264">
        <f>'Area(ha)-by-degradation-level'!Q5</f>
        <v>0</v>
      </c>
      <c r="Z39" s="264">
        <f>'Area(ha)-by-degradation-level'!U5</f>
        <v>0</v>
      </c>
      <c r="AA39" s="264">
        <f>'Area(ha)-by-degradation-level'!Y5</f>
        <v>0</v>
      </c>
      <c r="AB39" s="264">
        <f>'Area(ha)-by-degradation-level'!AC5</f>
        <v>0</v>
      </c>
      <c r="AC39" s="264">
        <f>'Area(ha)-by-degradation-level'!AG5</f>
        <v>0</v>
      </c>
      <c r="AD39" s="264">
        <f>'Area(ha)-by-degradation-level'!AK5</f>
        <v>0</v>
      </c>
      <c r="AE39" s="264">
        <f>'Area(ha)-by-degradation-level'!AO5</f>
        <v>0</v>
      </c>
      <c r="AF39" s="264">
        <f>'Area(ha)-by-degradation-level'!AS5</f>
        <v>0</v>
      </c>
      <c r="AG39" s="264">
        <f>'Area(ha)-by-degradation-level'!AW5</f>
        <v>0</v>
      </c>
      <c r="AH39" s="304">
        <f>'Area(ha)-by-degradation-level'!BA5</f>
        <v>0</v>
      </c>
      <c r="AI39" s="303" t="e">
        <f>($C5/$M5)*Y39+($D5/$M5)*Z39+($E5/$M5)*AA39+($F5/$M5)*AB39+($G5/$M5)*AC39+($H5/$M5)*AD39+($I5/$M5)*AE39+($J5/$M5)*AF39+($K5/$M5)*AG39+($L5/$M5)*AH39</f>
        <v>#DIV/0!</v>
      </c>
      <c r="AJ39" s="173" t="b">
        <f>ABS(C39+N39+Y39-100%)&lt;0.1%</f>
        <v>0</v>
      </c>
      <c r="AK39" s="173" t="b">
        <f t="shared" ref="AK39:AT39" si="2">ABS(D39+O39+Z39-100%)&lt;0.1%</f>
        <v>0</v>
      </c>
      <c r="AL39" s="173" t="b">
        <f t="shared" si="2"/>
        <v>0</v>
      </c>
      <c r="AM39" s="173" t="b">
        <f t="shared" si="2"/>
        <v>0</v>
      </c>
      <c r="AN39" s="173" t="b">
        <f t="shared" si="2"/>
        <v>0</v>
      </c>
      <c r="AO39" s="173" t="b">
        <f t="shared" si="2"/>
        <v>0</v>
      </c>
      <c r="AP39" s="173" t="b">
        <f t="shared" si="2"/>
        <v>0</v>
      </c>
      <c r="AQ39" s="173" t="b">
        <f t="shared" si="2"/>
        <v>0</v>
      </c>
      <c r="AR39" s="173" t="b">
        <f t="shared" si="2"/>
        <v>0</v>
      </c>
      <c r="AS39" s="173" t="b">
        <f t="shared" si="2"/>
        <v>0</v>
      </c>
      <c r="AT39" s="173" t="e">
        <f t="shared" si="2"/>
        <v>#DIV/0!</v>
      </c>
    </row>
    <row r="40" spans="1:46" x14ac:dyDescent="0.25">
      <c r="A40" s="13">
        <v>2</v>
      </c>
      <c r="B40" s="13" t="s">
        <v>140</v>
      </c>
      <c r="C40" s="206">
        <f>'Area(ha)-by-degradation-level'!O6</f>
        <v>0</v>
      </c>
      <c r="D40" s="206">
        <f>'Area(ha)-by-degradation-level'!S6</f>
        <v>0</v>
      </c>
      <c r="E40" s="262">
        <f>'Area(ha)-by-degradation-level'!W6</f>
        <v>0</v>
      </c>
      <c r="F40" s="262">
        <f>'Area(ha)-by-degradation-level'!AA6</f>
        <v>0</v>
      </c>
      <c r="G40" s="263">
        <f>'Area(ha)-by-degradation-level'!AE6</f>
        <v>0</v>
      </c>
      <c r="H40" s="263">
        <f>'Area(ha)-by-degradation-level'!AI6</f>
        <v>0</v>
      </c>
      <c r="I40" s="263">
        <f>'Area(ha)-by-degradation-level'!AM6</f>
        <v>0</v>
      </c>
      <c r="J40" s="169">
        <f>'Area(ha)-by-degradation-level'!AQ6</f>
        <v>0</v>
      </c>
      <c r="K40" s="263">
        <f>'Area(ha)-by-degradation-level'!AU6</f>
        <v>0</v>
      </c>
      <c r="L40" s="263">
        <f>'Area(ha)-by-degradation-level'!AY6</f>
        <v>0</v>
      </c>
      <c r="M40" s="303" t="e">
        <f t="shared" ref="M40:M62" si="3">($C6/$M6)*C40+($D6/$M6)*D40+($E6/$M6)*E40+($F6/$M6)*F40+($G6/$M6)*G40+($H6/$M6)*H40+($I6/$M6)*I40+($J6/$M6)*J40+($K6/$M6)*K40+($L6/$M6)*L40</f>
        <v>#DIV/0!</v>
      </c>
      <c r="N40" s="206">
        <f>'Area(ha)-by-degradation-level'!P6</f>
        <v>0</v>
      </c>
      <c r="O40" s="206">
        <f>'Area(ha)-by-degradation-level'!T6</f>
        <v>0</v>
      </c>
      <c r="P40" s="262">
        <f>'Area(ha)-by-degradation-level'!X6</f>
        <v>0</v>
      </c>
      <c r="Q40" s="262">
        <f>'Area(ha)-by-degradation-level'!AB6</f>
        <v>0</v>
      </c>
      <c r="R40" s="263">
        <f>'Area(ha)-by-degradation-level'!AF6</f>
        <v>0</v>
      </c>
      <c r="S40" s="263">
        <f>'Area(ha)-by-degradation-level'!AJ6</f>
        <v>0</v>
      </c>
      <c r="T40" s="263">
        <f>'Area(ha)-by-degradation-level'!AN6</f>
        <v>0</v>
      </c>
      <c r="U40" s="169">
        <f>'Area(ha)-by-degradation-level'!AR6</f>
        <v>0</v>
      </c>
      <c r="V40" s="263">
        <f>'Area(ha)-by-degradation-level'!AV6</f>
        <v>0</v>
      </c>
      <c r="W40" s="263">
        <f>'Area(ha)-by-degradation-level'!AZ6</f>
        <v>0</v>
      </c>
      <c r="X40" s="303" t="e">
        <f t="shared" ref="X40:X63" si="4">($C6/$M6)*N40+($D6/$M6)*O40+($E6/$M6)*P40+($F6/$M6)*Q40+($G6/$M6)*R40+($H6/$M6)*S40+($I6/$M6)*T40+($J6/$M6)*U40+($K6/$M6)*V40+($L6/$M6)*W40</f>
        <v>#DIV/0!</v>
      </c>
      <c r="Y40" s="264">
        <f>'Area(ha)-by-degradation-level'!Q6</f>
        <v>0</v>
      </c>
      <c r="Z40" s="264">
        <f>'Area(ha)-by-degradation-level'!U6</f>
        <v>0</v>
      </c>
      <c r="AA40" s="264">
        <f>'Area(ha)-by-degradation-level'!Y6</f>
        <v>0</v>
      </c>
      <c r="AB40" s="264">
        <f>'Area(ha)-by-degradation-level'!AC6</f>
        <v>0</v>
      </c>
      <c r="AC40" s="264">
        <f>'Area(ha)-by-degradation-level'!AG6</f>
        <v>0</v>
      </c>
      <c r="AD40" s="264">
        <f>'Area(ha)-by-degradation-level'!AK6</f>
        <v>0</v>
      </c>
      <c r="AE40" s="264">
        <f>'Area(ha)-by-degradation-level'!AO6</f>
        <v>0</v>
      </c>
      <c r="AF40" s="264">
        <f>'Area(ha)-by-degradation-level'!AS6</f>
        <v>0</v>
      </c>
      <c r="AG40" s="264">
        <f>'Area(ha)-by-degradation-level'!AW6</f>
        <v>0</v>
      </c>
      <c r="AH40" s="304">
        <f>'Area(ha)-by-degradation-level'!BA6</f>
        <v>0</v>
      </c>
      <c r="AI40" s="303" t="e">
        <f t="shared" ref="AI40:AI63" si="5">($C6/$M6)*Y40+($D6/$M6)*Z40+($E6/$M6)*AA40+($F6/$M6)*AB40+($G6/$M6)*AC40+($H6/$M6)*AD40+($I6/$M6)*AE40+($J6/$M6)*AF40+($K6/$M6)*AG40+($L6/$M6)*AH40</f>
        <v>#DIV/0!</v>
      </c>
      <c r="AJ40" s="173" t="b">
        <f t="shared" ref="AJ40:AJ63" si="6">ABS(C40+N40+Y40-100%)&lt;0.1%</f>
        <v>0</v>
      </c>
      <c r="AK40" s="173" t="b">
        <f t="shared" ref="AK40:AK63" si="7">ABS(D40+O40+Z40-100%)&lt;0.1%</f>
        <v>0</v>
      </c>
      <c r="AL40" s="173" t="b">
        <f t="shared" ref="AL40:AL63" si="8">ABS(E40+P40+AA40-100%)&lt;0.1%</f>
        <v>0</v>
      </c>
      <c r="AM40" s="173" t="b">
        <f t="shared" ref="AM40:AM63" si="9">ABS(F40+Q40+AB40-100%)&lt;0.1%</f>
        <v>0</v>
      </c>
      <c r="AN40" s="173" t="b">
        <f t="shared" ref="AN40:AN63" si="10">ABS(G40+R40+AC40-100%)&lt;0.1%</f>
        <v>0</v>
      </c>
      <c r="AO40" s="173" t="b">
        <f t="shared" ref="AO40:AO63" si="11">ABS(H40+S40+AD40-100%)&lt;0.1%</f>
        <v>0</v>
      </c>
      <c r="AP40" s="173" t="b">
        <f t="shared" ref="AP40:AP63" si="12">ABS(I40+T40+AE40-100%)&lt;0.1%</f>
        <v>0</v>
      </c>
      <c r="AQ40" s="173" t="b">
        <f t="shared" ref="AQ40:AQ63" si="13">ABS(J40+U40+AF40-100%)&lt;0.1%</f>
        <v>0</v>
      </c>
      <c r="AR40" s="173" t="b">
        <f t="shared" ref="AR40:AR63" si="14">ABS(K40+V40+AG40-100%)&lt;0.1%</f>
        <v>0</v>
      </c>
      <c r="AS40" s="173" t="b">
        <f t="shared" ref="AS40:AS63" si="15">ABS(L40+W40+AH40-100%)&lt;0.1%</f>
        <v>0</v>
      </c>
      <c r="AT40" s="173" t="e">
        <f t="shared" ref="AT40:AT63" si="16">ABS(M40+X40+AI40-100%)&lt;0.1%</f>
        <v>#DIV/0!</v>
      </c>
    </row>
    <row r="41" spans="1:46" x14ac:dyDescent="0.25">
      <c r="A41" s="13">
        <v>3</v>
      </c>
      <c r="B41" s="13" t="s">
        <v>141</v>
      </c>
      <c r="C41" s="206">
        <f>'Area(ha)-by-degradation-level'!O7</f>
        <v>0</v>
      </c>
      <c r="D41" s="206">
        <f>'Area(ha)-by-degradation-level'!S7</f>
        <v>0</v>
      </c>
      <c r="E41" s="262">
        <f>'Area(ha)-by-degradation-level'!W7</f>
        <v>0</v>
      </c>
      <c r="F41" s="262">
        <f>'Area(ha)-by-degradation-level'!AA7</f>
        <v>0</v>
      </c>
      <c r="G41" s="263">
        <f>'Area(ha)-by-degradation-level'!AE7</f>
        <v>0</v>
      </c>
      <c r="H41" s="263">
        <f>'Area(ha)-by-degradation-level'!AI7</f>
        <v>0</v>
      </c>
      <c r="I41" s="263">
        <f>'Area(ha)-by-degradation-level'!AM7</f>
        <v>0</v>
      </c>
      <c r="J41" s="169">
        <f>'Area(ha)-by-degradation-level'!AQ7</f>
        <v>0</v>
      </c>
      <c r="K41" s="263">
        <f>'Area(ha)-by-degradation-level'!AU7</f>
        <v>0</v>
      </c>
      <c r="L41" s="263">
        <f>'Area(ha)-by-degradation-level'!AY7</f>
        <v>0</v>
      </c>
      <c r="M41" s="303" t="e">
        <f t="shared" si="3"/>
        <v>#DIV/0!</v>
      </c>
      <c r="N41" s="206">
        <f>'Area(ha)-by-degradation-level'!P7</f>
        <v>0</v>
      </c>
      <c r="O41" s="206">
        <f>'Area(ha)-by-degradation-level'!T7</f>
        <v>0</v>
      </c>
      <c r="P41" s="262">
        <f>'Area(ha)-by-degradation-level'!X7</f>
        <v>0</v>
      </c>
      <c r="Q41" s="262">
        <f>'Area(ha)-by-degradation-level'!AB7</f>
        <v>0</v>
      </c>
      <c r="R41" s="263">
        <f>'Area(ha)-by-degradation-level'!AF7</f>
        <v>0</v>
      </c>
      <c r="S41" s="263">
        <f>'Area(ha)-by-degradation-level'!AJ7</f>
        <v>0</v>
      </c>
      <c r="T41" s="263">
        <f>'Area(ha)-by-degradation-level'!AN7</f>
        <v>0</v>
      </c>
      <c r="U41" s="169">
        <f>'Area(ha)-by-degradation-level'!AR7</f>
        <v>0</v>
      </c>
      <c r="V41" s="263">
        <f>'Area(ha)-by-degradation-level'!AV7</f>
        <v>0</v>
      </c>
      <c r="W41" s="263">
        <f>'Area(ha)-by-degradation-level'!AZ7</f>
        <v>0</v>
      </c>
      <c r="X41" s="303" t="e">
        <f t="shared" si="4"/>
        <v>#DIV/0!</v>
      </c>
      <c r="Y41" s="264">
        <f>'Area(ha)-by-degradation-level'!Q7</f>
        <v>0</v>
      </c>
      <c r="Z41" s="264">
        <f>'Area(ha)-by-degradation-level'!U7</f>
        <v>0</v>
      </c>
      <c r="AA41" s="264">
        <f>'Area(ha)-by-degradation-level'!Y7</f>
        <v>0</v>
      </c>
      <c r="AB41" s="264">
        <f>'Area(ha)-by-degradation-level'!AC7</f>
        <v>0</v>
      </c>
      <c r="AC41" s="264">
        <f>'Area(ha)-by-degradation-level'!AG7</f>
        <v>0</v>
      </c>
      <c r="AD41" s="264">
        <f>'Area(ha)-by-degradation-level'!AK7</f>
        <v>0</v>
      </c>
      <c r="AE41" s="264">
        <f>'Area(ha)-by-degradation-level'!AO7</f>
        <v>0</v>
      </c>
      <c r="AF41" s="264">
        <f>'Area(ha)-by-degradation-level'!AS7</f>
        <v>0</v>
      </c>
      <c r="AG41" s="264">
        <f>'Area(ha)-by-degradation-level'!AW7</f>
        <v>0</v>
      </c>
      <c r="AH41" s="304">
        <f>'Area(ha)-by-degradation-level'!BA7</f>
        <v>0</v>
      </c>
      <c r="AI41" s="303" t="e">
        <f t="shared" si="5"/>
        <v>#DIV/0!</v>
      </c>
      <c r="AJ41" s="173" t="b">
        <f t="shared" si="6"/>
        <v>0</v>
      </c>
      <c r="AK41" s="173" t="b">
        <f t="shared" si="7"/>
        <v>0</v>
      </c>
      <c r="AL41" s="173" t="b">
        <f t="shared" si="8"/>
        <v>0</v>
      </c>
      <c r="AM41" s="173" t="b">
        <f t="shared" si="9"/>
        <v>0</v>
      </c>
      <c r="AN41" s="173" t="b">
        <f t="shared" si="10"/>
        <v>0</v>
      </c>
      <c r="AO41" s="173" t="b">
        <f t="shared" si="11"/>
        <v>0</v>
      </c>
      <c r="AP41" s="173" t="b">
        <f t="shared" si="12"/>
        <v>0</v>
      </c>
      <c r="AQ41" s="173" t="b">
        <f t="shared" si="13"/>
        <v>0</v>
      </c>
      <c r="AR41" s="173" t="b">
        <f t="shared" si="14"/>
        <v>0</v>
      </c>
      <c r="AS41" s="173" t="b">
        <f t="shared" si="15"/>
        <v>0</v>
      </c>
      <c r="AT41" s="173" t="e">
        <f t="shared" si="16"/>
        <v>#DIV/0!</v>
      </c>
    </row>
    <row r="42" spans="1:46" x14ac:dyDescent="0.25">
      <c r="A42" s="13">
        <v>4</v>
      </c>
      <c r="B42" s="13" t="s">
        <v>142</v>
      </c>
      <c r="C42" s="206">
        <f>'Area(ha)-by-degradation-level'!O8</f>
        <v>0</v>
      </c>
      <c r="D42" s="206">
        <f>'Area(ha)-by-degradation-level'!S8</f>
        <v>0</v>
      </c>
      <c r="E42" s="262">
        <f>'Area(ha)-by-degradation-level'!W8</f>
        <v>0</v>
      </c>
      <c r="F42" s="262">
        <f>'Area(ha)-by-degradation-level'!AA8</f>
        <v>0</v>
      </c>
      <c r="G42" s="263">
        <f>'Area(ha)-by-degradation-level'!AE8</f>
        <v>0</v>
      </c>
      <c r="H42" s="263">
        <f>'Area(ha)-by-degradation-level'!AI8</f>
        <v>0</v>
      </c>
      <c r="I42" s="263">
        <f>'Area(ha)-by-degradation-level'!AM8</f>
        <v>0</v>
      </c>
      <c r="J42" s="169">
        <f>'Area(ha)-by-degradation-level'!AQ8</f>
        <v>0</v>
      </c>
      <c r="K42" s="263">
        <f>'Area(ha)-by-degradation-level'!AU8</f>
        <v>0</v>
      </c>
      <c r="L42" s="263">
        <f>'Area(ha)-by-degradation-level'!AY8</f>
        <v>0</v>
      </c>
      <c r="M42" s="303" t="e">
        <f t="shared" si="3"/>
        <v>#DIV/0!</v>
      </c>
      <c r="N42" s="206">
        <f>'Area(ha)-by-degradation-level'!P8</f>
        <v>0</v>
      </c>
      <c r="O42" s="206">
        <f>'Area(ha)-by-degradation-level'!T8</f>
        <v>0</v>
      </c>
      <c r="P42" s="262">
        <f>'Area(ha)-by-degradation-level'!X8</f>
        <v>0</v>
      </c>
      <c r="Q42" s="262">
        <f>'Area(ha)-by-degradation-level'!AB8</f>
        <v>0</v>
      </c>
      <c r="R42" s="263">
        <f>'Area(ha)-by-degradation-level'!AF8</f>
        <v>0</v>
      </c>
      <c r="S42" s="263">
        <f>'Area(ha)-by-degradation-level'!AJ8</f>
        <v>0</v>
      </c>
      <c r="T42" s="263">
        <f>'Area(ha)-by-degradation-level'!AN8</f>
        <v>0</v>
      </c>
      <c r="U42" s="169">
        <f>'Area(ha)-by-degradation-level'!AR8</f>
        <v>0</v>
      </c>
      <c r="V42" s="263">
        <f>'Area(ha)-by-degradation-level'!AV8</f>
        <v>0</v>
      </c>
      <c r="W42" s="263">
        <f>'Area(ha)-by-degradation-level'!AZ8</f>
        <v>0</v>
      </c>
      <c r="X42" s="303" t="e">
        <f t="shared" si="4"/>
        <v>#DIV/0!</v>
      </c>
      <c r="Y42" s="264">
        <f>'Area(ha)-by-degradation-level'!Q8</f>
        <v>0</v>
      </c>
      <c r="Z42" s="264">
        <f>'Area(ha)-by-degradation-level'!U8</f>
        <v>0</v>
      </c>
      <c r="AA42" s="264">
        <f>'Area(ha)-by-degradation-level'!Y8</f>
        <v>0</v>
      </c>
      <c r="AB42" s="264">
        <f>'Area(ha)-by-degradation-level'!AC8</f>
        <v>0</v>
      </c>
      <c r="AC42" s="264">
        <f>'Area(ha)-by-degradation-level'!AG8</f>
        <v>0</v>
      </c>
      <c r="AD42" s="264">
        <f>'Area(ha)-by-degradation-level'!AK8</f>
        <v>0</v>
      </c>
      <c r="AE42" s="264">
        <f>'Area(ha)-by-degradation-level'!AO8</f>
        <v>0</v>
      </c>
      <c r="AF42" s="264">
        <f>'Area(ha)-by-degradation-level'!AS8</f>
        <v>0</v>
      </c>
      <c r="AG42" s="264">
        <f>'Area(ha)-by-degradation-level'!AW8</f>
        <v>0</v>
      </c>
      <c r="AH42" s="304">
        <f>'Area(ha)-by-degradation-level'!BA8</f>
        <v>0</v>
      </c>
      <c r="AI42" s="303" t="e">
        <f t="shared" si="5"/>
        <v>#DIV/0!</v>
      </c>
      <c r="AJ42" s="173" t="b">
        <f t="shared" si="6"/>
        <v>0</v>
      </c>
      <c r="AK42" s="173" t="b">
        <f t="shared" si="7"/>
        <v>0</v>
      </c>
      <c r="AL42" s="173" t="b">
        <f t="shared" si="8"/>
        <v>0</v>
      </c>
      <c r="AM42" s="173" t="b">
        <f t="shared" si="9"/>
        <v>0</v>
      </c>
      <c r="AN42" s="173" t="b">
        <f t="shared" si="10"/>
        <v>0</v>
      </c>
      <c r="AO42" s="173" t="b">
        <f t="shared" si="11"/>
        <v>0</v>
      </c>
      <c r="AP42" s="173" t="b">
        <f t="shared" si="12"/>
        <v>0</v>
      </c>
      <c r="AQ42" s="173" t="b">
        <f t="shared" si="13"/>
        <v>0</v>
      </c>
      <c r="AR42" s="173" t="b">
        <f t="shared" si="14"/>
        <v>0</v>
      </c>
      <c r="AS42" s="173" t="b">
        <f t="shared" si="15"/>
        <v>0</v>
      </c>
      <c r="AT42" s="173" t="e">
        <f t="shared" si="16"/>
        <v>#DIV/0!</v>
      </c>
    </row>
    <row r="43" spans="1:46" x14ac:dyDescent="0.25">
      <c r="A43" s="13">
        <v>5</v>
      </c>
      <c r="B43" s="13" t="s">
        <v>143</v>
      </c>
      <c r="C43" s="206">
        <f>'Area(ha)-by-degradation-level'!O9</f>
        <v>0</v>
      </c>
      <c r="D43" s="206">
        <f>'Area(ha)-by-degradation-level'!S9</f>
        <v>0</v>
      </c>
      <c r="E43" s="262">
        <f>'Area(ha)-by-degradation-level'!W9</f>
        <v>0</v>
      </c>
      <c r="F43" s="262">
        <f>'Area(ha)-by-degradation-level'!AA9</f>
        <v>0</v>
      </c>
      <c r="G43" s="263">
        <f>'Area(ha)-by-degradation-level'!AE9</f>
        <v>0</v>
      </c>
      <c r="H43" s="263">
        <f>'Area(ha)-by-degradation-level'!AI9</f>
        <v>0</v>
      </c>
      <c r="I43" s="263">
        <f>'Area(ha)-by-degradation-level'!AM9</f>
        <v>0</v>
      </c>
      <c r="J43" s="169">
        <f>'Area(ha)-by-degradation-level'!AQ9</f>
        <v>0</v>
      </c>
      <c r="K43" s="263">
        <f>'Area(ha)-by-degradation-level'!AU9</f>
        <v>0</v>
      </c>
      <c r="L43" s="263">
        <f>'Area(ha)-by-degradation-level'!AY9</f>
        <v>0</v>
      </c>
      <c r="M43" s="303" t="e">
        <f t="shared" si="3"/>
        <v>#DIV/0!</v>
      </c>
      <c r="N43" s="206">
        <f>'Area(ha)-by-degradation-level'!P9</f>
        <v>0</v>
      </c>
      <c r="O43" s="206">
        <f>'Area(ha)-by-degradation-level'!T9</f>
        <v>0</v>
      </c>
      <c r="P43" s="262">
        <f>'Area(ha)-by-degradation-level'!X9</f>
        <v>0</v>
      </c>
      <c r="Q43" s="262">
        <f>'Area(ha)-by-degradation-level'!AB9</f>
        <v>0</v>
      </c>
      <c r="R43" s="263">
        <f>'Area(ha)-by-degradation-level'!AF9</f>
        <v>0</v>
      </c>
      <c r="S43" s="263">
        <f>'Area(ha)-by-degradation-level'!AJ9</f>
        <v>0</v>
      </c>
      <c r="T43" s="263">
        <f>'Area(ha)-by-degradation-level'!AN9</f>
        <v>0</v>
      </c>
      <c r="U43" s="169">
        <f>'Area(ha)-by-degradation-level'!AR9</f>
        <v>0</v>
      </c>
      <c r="V43" s="263">
        <f>'Area(ha)-by-degradation-level'!AV9</f>
        <v>0</v>
      </c>
      <c r="W43" s="263">
        <f>'Area(ha)-by-degradation-level'!AZ9</f>
        <v>0</v>
      </c>
      <c r="X43" s="303" t="e">
        <f t="shared" si="4"/>
        <v>#DIV/0!</v>
      </c>
      <c r="Y43" s="264">
        <f>'Area(ha)-by-degradation-level'!Q9</f>
        <v>0</v>
      </c>
      <c r="Z43" s="264">
        <f>'Area(ha)-by-degradation-level'!U9</f>
        <v>0</v>
      </c>
      <c r="AA43" s="264">
        <f>'Area(ha)-by-degradation-level'!Y9</f>
        <v>0</v>
      </c>
      <c r="AB43" s="264">
        <f>'Area(ha)-by-degradation-level'!AC9</f>
        <v>0</v>
      </c>
      <c r="AC43" s="264">
        <f>'Area(ha)-by-degradation-level'!AG9</f>
        <v>0</v>
      </c>
      <c r="AD43" s="264">
        <f>'Area(ha)-by-degradation-level'!AK9</f>
        <v>0</v>
      </c>
      <c r="AE43" s="264">
        <f>'Area(ha)-by-degradation-level'!AO9</f>
        <v>0</v>
      </c>
      <c r="AF43" s="264">
        <f>'Area(ha)-by-degradation-level'!AS9</f>
        <v>0</v>
      </c>
      <c r="AG43" s="264">
        <f>'Area(ha)-by-degradation-level'!AW9</f>
        <v>0</v>
      </c>
      <c r="AH43" s="304">
        <f>'Area(ha)-by-degradation-level'!BA9</f>
        <v>0</v>
      </c>
      <c r="AI43" s="303" t="e">
        <f t="shared" si="5"/>
        <v>#DIV/0!</v>
      </c>
      <c r="AJ43" s="173" t="b">
        <f t="shared" si="6"/>
        <v>0</v>
      </c>
      <c r="AK43" s="173" t="b">
        <f t="shared" si="7"/>
        <v>0</v>
      </c>
      <c r="AL43" s="173" t="b">
        <f t="shared" si="8"/>
        <v>0</v>
      </c>
      <c r="AM43" s="173" t="b">
        <f t="shared" si="9"/>
        <v>0</v>
      </c>
      <c r="AN43" s="173" t="b">
        <f t="shared" si="10"/>
        <v>0</v>
      </c>
      <c r="AO43" s="173" t="b">
        <f t="shared" si="11"/>
        <v>0</v>
      </c>
      <c r="AP43" s="173" t="b">
        <f t="shared" si="12"/>
        <v>0</v>
      </c>
      <c r="AQ43" s="173" t="b">
        <f t="shared" si="13"/>
        <v>0</v>
      </c>
      <c r="AR43" s="173" t="b">
        <f t="shared" si="14"/>
        <v>0</v>
      </c>
      <c r="AS43" s="173" t="b">
        <f t="shared" si="15"/>
        <v>0</v>
      </c>
      <c r="AT43" s="173" t="e">
        <f t="shared" si="16"/>
        <v>#DIV/0!</v>
      </c>
    </row>
    <row r="44" spans="1:46" x14ac:dyDescent="0.25">
      <c r="A44" s="13">
        <v>6</v>
      </c>
      <c r="B44" s="13" t="s">
        <v>144</v>
      </c>
      <c r="C44" s="206">
        <f>'Area(ha)-by-degradation-level'!O10</f>
        <v>0</v>
      </c>
      <c r="D44" s="206">
        <f>'Area(ha)-by-degradation-level'!S10</f>
        <v>0</v>
      </c>
      <c r="E44" s="262">
        <f>'Area(ha)-by-degradation-level'!W10</f>
        <v>0</v>
      </c>
      <c r="F44" s="262">
        <f>'Area(ha)-by-degradation-level'!AA10</f>
        <v>0</v>
      </c>
      <c r="G44" s="263">
        <f>'Area(ha)-by-degradation-level'!AE10</f>
        <v>0</v>
      </c>
      <c r="H44" s="263">
        <f>'Area(ha)-by-degradation-level'!AI10</f>
        <v>0</v>
      </c>
      <c r="I44" s="263">
        <f>'Area(ha)-by-degradation-level'!AM10</f>
        <v>0</v>
      </c>
      <c r="J44" s="169">
        <f>'Area(ha)-by-degradation-level'!AQ10</f>
        <v>0</v>
      </c>
      <c r="K44" s="263">
        <f>'Area(ha)-by-degradation-level'!AU10</f>
        <v>0</v>
      </c>
      <c r="L44" s="263">
        <f>'Area(ha)-by-degradation-level'!AY10</f>
        <v>0</v>
      </c>
      <c r="M44" s="303" t="e">
        <f t="shared" si="3"/>
        <v>#DIV/0!</v>
      </c>
      <c r="N44" s="206">
        <f>'Area(ha)-by-degradation-level'!P10</f>
        <v>0</v>
      </c>
      <c r="O44" s="206">
        <f>'Area(ha)-by-degradation-level'!T10</f>
        <v>0</v>
      </c>
      <c r="P44" s="262">
        <f>'Area(ha)-by-degradation-level'!X10</f>
        <v>0</v>
      </c>
      <c r="Q44" s="262">
        <f>'Area(ha)-by-degradation-level'!AB10</f>
        <v>0</v>
      </c>
      <c r="R44" s="263">
        <f>'Area(ha)-by-degradation-level'!AF10</f>
        <v>0</v>
      </c>
      <c r="S44" s="263">
        <f>'Area(ha)-by-degradation-level'!AJ10</f>
        <v>0</v>
      </c>
      <c r="T44" s="263">
        <f>'Area(ha)-by-degradation-level'!AN10</f>
        <v>0</v>
      </c>
      <c r="U44" s="169">
        <f>'Area(ha)-by-degradation-level'!AR10</f>
        <v>0</v>
      </c>
      <c r="V44" s="263">
        <f>'Area(ha)-by-degradation-level'!AV10</f>
        <v>0</v>
      </c>
      <c r="W44" s="263">
        <f>'Area(ha)-by-degradation-level'!AZ10</f>
        <v>0</v>
      </c>
      <c r="X44" s="303" t="e">
        <f t="shared" si="4"/>
        <v>#DIV/0!</v>
      </c>
      <c r="Y44" s="264">
        <f>'Area(ha)-by-degradation-level'!Q10</f>
        <v>0</v>
      </c>
      <c r="Z44" s="264">
        <f>'Area(ha)-by-degradation-level'!U10</f>
        <v>0</v>
      </c>
      <c r="AA44" s="264">
        <f>'Area(ha)-by-degradation-level'!Y10</f>
        <v>0</v>
      </c>
      <c r="AB44" s="264">
        <f>'Area(ha)-by-degradation-level'!AC10</f>
        <v>0</v>
      </c>
      <c r="AC44" s="264">
        <f>'Area(ha)-by-degradation-level'!AG10</f>
        <v>0</v>
      </c>
      <c r="AD44" s="264">
        <f>'Area(ha)-by-degradation-level'!AK10</f>
        <v>0</v>
      </c>
      <c r="AE44" s="264">
        <f>'Area(ha)-by-degradation-level'!AO10</f>
        <v>0</v>
      </c>
      <c r="AF44" s="264">
        <f>'Area(ha)-by-degradation-level'!AS10</f>
        <v>0</v>
      </c>
      <c r="AG44" s="264">
        <f>'Area(ha)-by-degradation-level'!AW10</f>
        <v>0</v>
      </c>
      <c r="AH44" s="304">
        <f>'Area(ha)-by-degradation-level'!BA10</f>
        <v>0</v>
      </c>
      <c r="AI44" s="303" t="e">
        <f t="shared" si="5"/>
        <v>#DIV/0!</v>
      </c>
      <c r="AJ44" s="173" t="b">
        <f t="shared" si="6"/>
        <v>0</v>
      </c>
      <c r="AK44" s="173" t="b">
        <f t="shared" si="7"/>
        <v>0</v>
      </c>
      <c r="AL44" s="173" t="b">
        <f t="shared" si="8"/>
        <v>0</v>
      </c>
      <c r="AM44" s="173" t="b">
        <f t="shared" si="9"/>
        <v>0</v>
      </c>
      <c r="AN44" s="173" t="b">
        <f t="shared" si="10"/>
        <v>0</v>
      </c>
      <c r="AO44" s="173" t="b">
        <f t="shared" si="11"/>
        <v>0</v>
      </c>
      <c r="AP44" s="173" t="b">
        <f t="shared" si="12"/>
        <v>0</v>
      </c>
      <c r="AQ44" s="173" t="b">
        <f t="shared" si="13"/>
        <v>0</v>
      </c>
      <c r="AR44" s="173" t="b">
        <f t="shared" si="14"/>
        <v>0</v>
      </c>
      <c r="AS44" s="173" t="b">
        <f t="shared" si="15"/>
        <v>0</v>
      </c>
      <c r="AT44" s="173" t="e">
        <f t="shared" si="16"/>
        <v>#DIV/0!</v>
      </c>
    </row>
    <row r="45" spans="1:46" x14ac:dyDescent="0.25">
      <c r="A45" s="13">
        <v>7</v>
      </c>
      <c r="B45" s="13" t="s">
        <v>145</v>
      </c>
      <c r="C45" s="206">
        <f>'Area(ha)-by-degradation-level'!O11</f>
        <v>0</v>
      </c>
      <c r="D45" s="206">
        <f>'Area(ha)-by-degradation-level'!S11</f>
        <v>0</v>
      </c>
      <c r="E45" s="262">
        <f>'Area(ha)-by-degradation-level'!W11</f>
        <v>0</v>
      </c>
      <c r="F45" s="262">
        <f>'Area(ha)-by-degradation-level'!AA11</f>
        <v>0</v>
      </c>
      <c r="G45" s="263">
        <f>'Area(ha)-by-degradation-level'!AE11</f>
        <v>0</v>
      </c>
      <c r="H45" s="263">
        <f>'Area(ha)-by-degradation-level'!AI11</f>
        <v>0</v>
      </c>
      <c r="I45" s="263">
        <f>'Area(ha)-by-degradation-level'!AM11</f>
        <v>0</v>
      </c>
      <c r="J45" s="169">
        <f>'Area(ha)-by-degradation-level'!AQ11</f>
        <v>0</v>
      </c>
      <c r="K45" s="263">
        <f>'Area(ha)-by-degradation-level'!AU11</f>
        <v>0</v>
      </c>
      <c r="L45" s="263">
        <f>'Area(ha)-by-degradation-level'!AY11</f>
        <v>0</v>
      </c>
      <c r="M45" s="303" t="e">
        <f t="shared" si="3"/>
        <v>#DIV/0!</v>
      </c>
      <c r="N45" s="206">
        <f>'Area(ha)-by-degradation-level'!P11</f>
        <v>0</v>
      </c>
      <c r="O45" s="206">
        <f>'Area(ha)-by-degradation-level'!T11</f>
        <v>0</v>
      </c>
      <c r="P45" s="262">
        <f>'Area(ha)-by-degradation-level'!X11</f>
        <v>0</v>
      </c>
      <c r="Q45" s="262">
        <f>'Area(ha)-by-degradation-level'!AB11</f>
        <v>0</v>
      </c>
      <c r="R45" s="263">
        <f>'Area(ha)-by-degradation-level'!AF11</f>
        <v>0</v>
      </c>
      <c r="S45" s="263">
        <f>'Area(ha)-by-degradation-level'!AJ11</f>
        <v>0</v>
      </c>
      <c r="T45" s="263">
        <f>'Area(ha)-by-degradation-level'!AN11</f>
        <v>0</v>
      </c>
      <c r="U45" s="169">
        <f>'Area(ha)-by-degradation-level'!AR11</f>
        <v>0</v>
      </c>
      <c r="V45" s="263">
        <f>'Area(ha)-by-degradation-level'!AV11</f>
        <v>0</v>
      </c>
      <c r="W45" s="263">
        <f>'Area(ha)-by-degradation-level'!AZ11</f>
        <v>0</v>
      </c>
      <c r="X45" s="303" t="e">
        <f t="shared" si="4"/>
        <v>#DIV/0!</v>
      </c>
      <c r="Y45" s="264">
        <f>'Area(ha)-by-degradation-level'!Q11</f>
        <v>0</v>
      </c>
      <c r="Z45" s="264">
        <f>'Area(ha)-by-degradation-level'!U11</f>
        <v>0</v>
      </c>
      <c r="AA45" s="264">
        <f>'Area(ha)-by-degradation-level'!Y11</f>
        <v>0</v>
      </c>
      <c r="AB45" s="264">
        <f>'Area(ha)-by-degradation-level'!AC11</f>
        <v>0</v>
      </c>
      <c r="AC45" s="264">
        <f>'Area(ha)-by-degradation-level'!AG11</f>
        <v>0</v>
      </c>
      <c r="AD45" s="264">
        <f>'Area(ha)-by-degradation-level'!AK11</f>
        <v>0</v>
      </c>
      <c r="AE45" s="264">
        <f>'Area(ha)-by-degradation-level'!AO11</f>
        <v>0</v>
      </c>
      <c r="AF45" s="264">
        <f>'Area(ha)-by-degradation-level'!AS11</f>
        <v>0</v>
      </c>
      <c r="AG45" s="264">
        <f>'Area(ha)-by-degradation-level'!AW11</f>
        <v>0</v>
      </c>
      <c r="AH45" s="304">
        <f>'Area(ha)-by-degradation-level'!BA11</f>
        <v>0</v>
      </c>
      <c r="AI45" s="303" t="e">
        <f t="shared" si="5"/>
        <v>#DIV/0!</v>
      </c>
      <c r="AJ45" s="173" t="b">
        <f t="shared" si="6"/>
        <v>0</v>
      </c>
      <c r="AK45" s="173" t="b">
        <f t="shared" si="7"/>
        <v>0</v>
      </c>
      <c r="AL45" s="173" t="b">
        <f t="shared" si="8"/>
        <v>0</v>
      </c>
      <c r="AM45" s="173" t="b">
        <f t="shared" si="9"/>
        <v>0</v>
      </c>
      <c r="AN45" s="173" t="b">
        <f t="shared" si="10"/>
        <v>0</v>
      </c>
      <c r="AO45" s="173" t="b">
        <f t="shared" si="11"/>
        <v>0</v>
      </c>
      <c r="AP45" s="173" t="b">
        <f t="shared" si="12"/>
        <v>0</v>
      </c>
      <c r="AQ45" s="173" t="b">
        <f t="shared" si="13"/>
        <v>0</v>
      </c>
      <c r="AR45" s="173" t="b">
        <f t="shared" si="14"/>
        <v>0</v>
      </c>
      <c r="AS45" s="173" t="b">
        <f t="shared" si="15"/>
        <v>0</v>
      </c>
      <c r="AT45" s="173" t="e">
        <f t="shared" si="16"/>
        <v>#DIV/0!</v>
      </c>
    </row>
    <row r="46" spans="1:46" x14ac:dyDescent="0.25">
      <c r="A46" s="13">
        <v>8</v>
      </c>
      <c r="B46" s="13" t="s">
        <v>146</v>
      </c>
      <c r="C46" s="206">
        <f>'Area(ha)-by-degradation-level'!O12</f>
        <v>0</v>
      </c>
      <c r="D46" s="206">
        <f>'Area(ha)-by-degradation-level'!S12</f>
        <v>0</v>
      </c>
      <c r="E46" s="262">
        <f>'Area(ha)-by-degradation-level'!W12</f>
        <v>0</v>
      </c>
      <c r="F46" s="262">
        <f>'Area(ha)-by-degradation-level'!AA12</f>
        <v>0</v>
      </c>
      <c r="G46" s="263">
        <f>'Area(ha)-by-degradation-level'!AE12</f>
        <v>0</v>
      </c>
      <c r="H46" s="263">
        <f>'Area(ha)-by-degradation-level'!AI12</f>
        <v>0</v>
      </c>
      <c r="I46" s="263">
        <f>'Area(ha)-by-degradation-level'!AM12</f>
        <v>0</v>
      </c>
      <c r="J46" s="169">
        <f>'Area(ha)-by-degradation-level'!AQ12</f>
        <v>0</v>
      </c>
      <c r="K46" s="263">
        <f>'Area(ha)-by-degradation-level'!AU12</f>
        <v>0</v>
      </c>
      <c r="L46" s="263">
        <f>'Area(ha)-by-degradation-level'!AY12</f>
        <v>0</v>
      </c>
      <c r="M46" s="303" t="e">
        <f t="shared" si="3"/>
        <v>#DIV/0!</v>
      </c>
      <c r="N46" s="206">
        <f>'Area(ha)-by-degradation-level'!P12</f>
        <v>0</v>
      </c>
      <c r="O46" s="206">
        <f>'Area(ha)-by-degradation-level'!T12</f>
        <v>0</v>
      </c>
      <c r="P46" s="262">
        <f>'Area(ha)-by-degradation-level'!X12</f>
        <v>0</v>
      </c>
      <c r="Q46" s="262">
        <f>'Area(ha)-by-degradation-level'!AB12</f>
        <v>0</v>
      </c>
      <c r="R46" s="263">
        <f>'Area(ha)-by-degradation-level'!AF12</f>
        <v>0</v>
      </c>
      <c r="S46" s="263">
        <f>'Area(ha)-by-degradation-level'!AJ12</f>
        <v>0</v>
      </c>
      <c r="T46" s="263">
        <f>'Area(ha)-by-degradation-level'!AN12</f>
        <v>0</v>
      </c>
      <c r="U46" s="169">
        <f>'Area(ha)-by-degradation-level'!AR12</f>
        <v>0</v>
      </c>
      <c r="V46" s="263">
        <f>'Area(ha)-by-degradation-level'!AV12</f>
        <v>0</v>
      </c>
      <c r="W46" s="263">
        <f>'Area(ha)-by-degradation-level'!AZ12</f>
        <v>0</v>
      </c>
      <c r="X46" s="303" t="e">
        <f t="shared" si="4"/>
        <v>#DIV/0!</v>
      </c>
      <c r="Y46" s="264">
        <f>'Area(ha)-by-degradation-level'!Q12</f>
        <v>0</v>
      </c>
      <c r="Z46" s="264">
        <f>'Area(ha)-by-degradation-level'!U12</f>
        <v>0</v>
      </c>
      <c r="AA46" s="264">
        <f>'Area(ha)-by-degradation-level'!Y12</f>
        <v>0</v>
      </c>
      <c r="AB46" s="264">
        <f>'Area(ha)-by-degradation-level'!AC12</f>
        <v>0</v>
      </c>
      <c r="AC46" s="264">
        <f>'Area(ha)-by-degradation-level'!AG12</f>
        <v>0</v>
      </c>
      <c r="AD46" s="264">
        <f>'Area(ha)-by-degradation-level'!AK12</f>
        <v>0</v>
      </c>
      <c r="AE46" s="264">
        <f>'Area(ha)-by-degradation-level'!AO12</f>
        <v>0</v>
      </c>
      <c r="AF46" s="264">
        <f>'Area(ha)-by-degradation-level'!AS12</f>
        <v>0</v>
      </c>
      <c r="AG46" s="264">
        <f>'Area(ha)-by-degradation-level'!AW12</f>
        <v>0</v>
      </c>
      <c r="AH46" s="304">
        <f>'Area(ha)-by-degradation-level'!BA12</f>
        <v>0</v>
      </c>
      <c r="AI46" s="303" t="e">
        <f t="shared" si="5"/>
        <v>#DIV/0!</v>
      </c>
      <c r="AJ46" s="173" t="b">
        <f t="shared" si="6"/>
        <v>0</v>
      </c>
      <c r="AK46" s="173" t="b">
        <f t="shared" si="7"/>
        <v>0</v>
      </c>
      <c r="AL46" s="173" t="b">
        <f t="shared" si="8"/>
        <v>0</v>
      </c>
      <c r="AM46" s="173" t="b">
        <f t="shared" si="9"/>
        <v>0</v>
      </c>
      <c r="AN46" s="173" t="b">
        <f t="shared" si="10"/>
        <v>0</v>
      </c>
      <c r="AO46" s="173" t="b">
        <f t="shared" si="11"/>
        <v>0</v>
      </c>
      <c r="AP46" s="173" t="b">
        <f t="shared" si="12"/>
        <v>0</v>
      </c>
      <c r="AQ46" s="173" t="b">
        <f t="shared" si="13"/>
        <v>0</v>
      </c>
      <c r="AR46" s="173" t="b">
        <f t="shared" si="14"/>
        <v>0</v>
      </c>
      <c r="AS46" s="173" t="b">
        <f t="shared" si="15"/>
        <v>0</v>
      </c>
      <c r="AT46" s="173" t="e">
        <f t="shared" si="16"/>
        <v>#DIV/0!</v>
      </c>
    </row>
    <row r="47" spans="1:46" x14ac:dyDescent="0.25">
      <c r="A47" s="13">
        <v>9</v>
      </c>
      <c r="B47" s="13" t="s">
        <v>147</v>
      </c>
      <c r="C47" s="206">
        <f>'Area(ha)-by-degradation-level'!O13</f>
        <v>0</v>
      </c>
      <c r="D47" s="206">
        <f>'Area(ha)-by-degradation-level'!S13</f>
        <v>0</v>
      </c>
      <c r="E47" s="262">
        <f>'Area(ha)-by-degradation-level'!W13</f>
        <v>0</v>
      </c>
      <c r="F47" s="262">
        <f>'Area(ha)-by-degradation-level'!AA13</f>
        <v>0</v>
      </c>
      <c r="G47" s="263">
        <f>'Area(ha)-by-degradation-level'!AE13</f>
        <v>0</v>
      </c>
      <c r="H47" s="263">
        <f>'Area(ha)-by-degradation-level'!AI13</f>
        <v>0</v>
      </c>
      <c r="I47" s="263">
        <f>'Area(ha)-by-degradation-level'!AM13</f>
        <v>0</v>
      </c>
      <c r="J47" s="169">
        <f>'Area(ha)-by-degradation-level'!AQ13</f>
        <v>0</v>
      </c>
      <c r="K47" s="263">
        <f>'Area(ha)-by-degradation-level'!AU13</f>
        <v>0</v>
      </c>
      <c r="L47" s="263">
        <f>'Area(ha)-by-degradation-level'!AY13</f>
        <v>0</v>
      </c>
      <c r="M47" s="303" t="e">
        <f t="shared" si="3"/>
        <v>#DIV/0!</v>
      </c>
      <c r="N47" s="206">
        <f>'Area(ha)-by-degradation-level'!P13</f>
        <v>0</v>
      </c>
      <c r="O47" s="206">
        <f>'Area(ha)-by-degradation-level'!T13</f>
        <v>0</v>
      </c>
      <c r="P47" s="262">
        <f>'Area(ha)-by-degradation-level'!X13</f>
        <v>0</v>
      </c>
      <c r="Q47" s="262">
        <f>'Area(ha)-by-degradation-level'!AB13</f>
        <v>0</v>
      </c>
      <c r="R47" s="263">
        <f>'Area(ha)-by-degradation-level'!AF13</f>
        <v>0</v>
      </c>
      <c r="S47" s="263">
        <f>'Area(ha)-by-degradation-level'!AJ13</f>
        <v>0</v>
      </c>
      <c r="T47" s="263">
        <f>'Area(ha)-by-degradation-level'!AN13</f>
        <v>0</v>
      </c>
      <c r="U47" s="169">
        <f>'Area(ha)-by-degradation-level'!AR13</f>
        <v>0</v>
      </c>
      <c r="V47" s="263">
        <f>'Area(ha)-by-degradation-level'!AV13</f>
        <v>0</v>
      </c>
      <c r="W47" s="263">
        <f>'Area(ha)-by-degradation-level'!AZ13</f>
        <v>0</v>
      </c>
      <c r="X47" s="303" t="e">
        <f t="shared" si="4"/>
        <v>#DIV/0!</v>
      </c>
      <c r="Y47" s="264">
        <f>'Area(ha)-by-degradation-level'!Q13</f>
        <v>0</v>
      </c>
      <c r="Z47" s="264">
        <f>'Area(ha)-by-degradation-level'!U13</f>
        <v>0</v>
      </c>
      <c r="AA47" s="264">
        <f>'Area(ha)-by-degradation-level'!Y13</f>
        <v>0</v>
      </c>
      <c r="AB47" s="264">
        <f>'Area(ha)-by-degradation-level'!AC13</f>
        <v>0</v>
      </c>
      <c r="AC47" s="264">
        <f>'Area(ha)-by-degradation-level'!AG13</f>
        <v>0</v>
      </c>
      <c r="AD47" s="264">
        <f>'Area(ha)-by-degradation-level'!AK13</f>
        <v>0</v>
      </c>
      <c r="AE47" s="264">
        <f>'Area(ha)-by-degradation-level'!AO13</f>
        <v>0</v>
      </c>
      <c r="AF47" s="264">
        <f>'Area(ha)-by-degradation-level'!AS13</f>
        <v>0</v>
      </c>
      <c r="AG47" s="264">
        <f>'Area(ha)-by-degradation-level'!AW13</f>
        <v>0</v>
      </c>
      <c r="AH47" s="304">
        <f>'Area(ha)-by-degradation-level'!BA13</f>
        <v>0</v>
      </c>
      <c r="AI47" s="303" t="e">
        <f t="shared" si="5"/>
        <v>#DIV/0!</v>
      </c>
      <c r="AJ47" s="173" t="b">
        <f t="shared" si="6"/>
        <v>0</v>
      </c>
      <c r="AK47" s="173" t="b">
        <f t="shared" si="7"/>
        <v>0</v>
      </c>
      <c r="AL47" s="173" t="b">
        <f t="shared" si="8"/>
        <v>0</v>
      </c>
      <c r="AM47" s="173" t="b">
        <f t="shared" si="9"/>
        <v>0</v>
      </c>
      <c r="AN47" s="173" t="b">
        <f t="shared" si="10"/>
        <v>0</v>
      </c>
      <c r="AO47" s="173" t="b">
        <f t="shared" si="11"/>
        <v>0</v>
      </c>
      <c r="AP47" s="173" t="b">
        <f t="shared" si="12"/>
        <v>0</v>
      </c>
      <c r="AQ47" s="173" t="b">
        <f t="shared" si="13"/>
        <v>0</v>
      </c>
      <c r="AR47" s="173" t="b">
        <f t="shared" si="14"/>
        <v>0</v>
      </c>
      <c r="AS47" s="173" t="b">
        <f t="shared" si="15"/>
        <v>0</v>
      </c>
      <c r="AT47" s="173" t="e">
        <f t="shared" si="16"/>
        <v>#DIV/0!</v>
      </c>
    </row>
    <row r="48" spans="1:46" x14ac:dyDescent="0.25">
      <c r="A48" s="13">
        <v>10</v>
      </c>
      <c r="B48" s="13" t="s">
        <v>148</v>
      </c>
      <c r="C48" s="206">
        <f>'Area(ha)-by-degradation-level'!O14</f>
        <v>0</v>
      </c>
      <c r="D48" s="206">
        <f>'Area(ha)-by-degradation-level'!S14</f>
        <v>0</v>
      </c>
      <c r="E48" s="262">
        <f>'Area(ha)-by-degradation-level'!W14</f>
        <v>0</v>
      </c>
      <c r="F48" s="262">
        <f>'Area(ha)-by-degradation-level'!AA14</f>
        <v>0</v>
      </c>
      <c r="G48" s="263">
        <f>'Area(ha)-by-degradation-level'!AE14</f>
        <v>0</v>
      </c>
      <c r="H48" s="263">
        <f>'Area(ha)-by-degradation-level'!AI14</f>
        <v>0</v>
      </c>
      <c r="I48" s="263">
        <f>'Area(ha)-by-degradation-level'!AM14</f>
        <v>0</v>
      </c>
      <c r="J48" s="169">
        <f>'Area(ha)-by-degradation-level'!AQ14</f>
        <v>0</v>
      </c>
      <c r="K48" s="263">
        <f>'Area(ha)-by-degradation-level'!AU14</f>
        <v>0</v>
      </c>
      <c r="L48" s="263">
        <f>'Area(ha)-by-degradation-level'!AY14</f>
        <v>0</v>
      </c>
      <c r="M48" s="303" t="e">
        <f t="shared" si="3"/>
        <v>#DIV/0!</v>
      </c>
      <c r="N48" s="206">
        <f>'Area(ha)-by-degradation-level'!P14</f>
        <v>0</v>
      </c>
      <c r="O48" s="206">
        <f>'Area(ha)-by-degradation-level'!T14</f>
        <v>0</v>
      </c>
      <c r="P48" s="262">
        <f>'Area(ha)-by-degradation-level'!X14</f>
        <v>0</v>
      </c>
      <c r="Q48" s="262">
        <f>'Area(ha)-by-degradation-level'!AB14</f>
        <v>0</v>
      </c>
      <c r="R48" s="263">
        <f>'Area(ha)-by-degradation-level'!AF14</f>
        <v>0</v>
      </c>
      <c r="S48" s="263">
        <f>'Area(ha)-by-degradation-level'!AJ14</f>
        <v>0</v>
      </c>
      <c r="T48" s="263">
        <f>'Area(ha)-by-degradation-level'!AN14</f>
        <v>0</v>
      </c>
      <c r="U48" s="169">
        <f>'Area(ha)-by-degradation-level'!AR14</f>
        <v>0</v>
      </c>
      <c r="V48" s="263">
        <f>'Area(ha)-by-degradation-level'!AV14</f>
        <v>0</v>
      </c>
      <c r="W48" s="263">
        <f>'Area(ha)-by-degradation-level'!AZ14</f>
        <v>0</v>
      </c>
      <c r="X48" s="303" t="e">
        <f t="shared" si="4"/>
        <v>#DIV/0!</v>
      </c>
      <c r="Y48" s="264">
        <f>'Area(ha)-by-degradation-level'!Q14</f>
        <v>0</v>
      </c>
      <c r="Z48" s="264">
        <f>'Area(ha)-by-degradation-level'!U14</f>
        <v>0</v>
      </c>
      <c r="AA48" s="264">
        <f>'Area(ha)-by-degradation-level'!Y14</f>
        <v>0</v>
      </c>
      <c r="AB48" s="264">
        <f>'Area(ha)-by-degradation-level'!AC14</f>
        <v>0</v>
      </c>
      <c r="AC48" s="264">
        <f>'Area(ha)-by-degradation-level'!AG14</f>
        <v>0</v>
      </c>
      <c r="AD48" s="264">
        <f>'Area(ha)-by-degradation-level'!AK14</f>
        <v>0</v>
      </c>
      <c r="AE48" s="264">
        <f>'Area(ha)-by-degradation-level'!AO14</f>
        <v>0</v>
      </c>
      <c r="AF48" s="264">
        <f>'Area(ha)-by-degradation-level'!AS14</f>
        <v>0</v>
      </c>
      <c r="AG48" s="264">
        <f>'Area(ha)-by-degradation-level'!AW14</f>
        <v>0</v>
      </c>
      <c r="AH48" s="304">
        <f>'Area(ha)-by-degradation-level'!BA14</f>
        <v>0</v>
      </c>
      <c r="AI48" s="303" t="e">
        <f t="shared" si="5"/>
        <v>#DIV/0!</v>
      </c>
      <c r="AJ48" s="173" t="b">
        <f t="shared" si="6"/>
        <v>0</v>
      </c>
      <c r="AK48" s="173" t="b">
        <f t="shared" si="7"/>
        <v>0</v>
      </c>
      <c r="AL48" s="173" t="b">
        <f t="shared" si="8"/>
        <v>0</v>
      </c>
      <c r="AM48" s="173" t="b">
        <f t="shared" si="9"/>
        <v>0</v>
      </c>
      <c r="AN48" s="173" t="b">
        <f t="shared" si="10"/>
        <v>0</v>
      </c>
      <c r="AO48" s="173" t="b">
        <f t="shared" si="11"/>
        <v>0</v>
      </c>
      <c r="AP48" s="173" t="b">
        <f t="shared" si="12"/>
        <v>0</v>
      </c>
      <c r="AQ48" s="173" t="b">
        <f t="shared" si="13"/>
        <v>0</v>
      </c>
      <c r="AR48" s="173" t="b">
        <f t="shared" si="14"/>
        <v>0</v>
      </c>
      <c r="AS48" s="173" t="b">
        <f t="shared" si="15"/>
        <v>0</v>
      </c>
      <c r="AT48" s="173" t="e">
        <f t="shared" si="16"/>
        <v>#DIV/0!</v>
      </c>
    </row>
    <row r="49" spans="1:46" x14ac:dyDescent="0.25">
      <c r="A49" s="13">
        <v>11</v>
      </c>
      <c r="B49" s="13" t="s">
        <v>149</v>
      </c>
      <c r="C49" s="206">
        <f>'Area(ha)-by-degradation-level'!O15</f>
        <v>0</v>
      </c>
      <c r="D49" s="206">
        <f>'Area(ha)-by-degradation-level'!S15</f>
        <v>0</v>
      </c>
      <c r="E49" s="262">
        <f>'Area(ha)-by-degradation-level'!W15</f>
        <v>0</v>
      </c>
      <c r="F49" s="262">
        <f>'Area(ha)-by-degradation-level'!AA15</f>
        <v>0</v>
      </c>
      <c r="G49" s="263">
        <f>'Area(ha)-by-degradation-level'!AE15</f>
        <v>0</v>
      </c>
      <c r="H49" s="263">
        <f>'Area(ha)-by-degradation-level'!AI15</f>
        <v>0</v>
      </c>
      <c r="I49" s="263">
        <f>'Area(ha)-by-degradation-level'!AM15</f>
        <v>0</v>
      </c>
      <c r="J49" s="169">
        <f>'Area(ha)-by-degradation-level'!AQ15</f>
        <v>0</v>
      </c>
      <c r="K49" s="263">
        <f>'Area(ha)-by-degradation-level'!AU15</f>
        <v>0</v>
      </c>
      <c r="L49" s="263">
        <f>'Area(ha)-by-degradation-level'!AY15</f>
        <v>0</v>
      </c>
      <c r="M49" s="303" t="e">
        <f t="shared" si="3"/>
        <v>#DIV/0!</v>
      </c>
      <c r="N49" s="206">
        <f>'Area(ha)-by-degradation-level'!P15</f>
        <v>0</v>
      </c>
      <c r="O49" s="206">
        <f>'Area(ha)-by-degradation-level'!T15</f>
        <v>0</v>
      </c>
      <c r="P49" s="262">
        <f>'Area(ha)-by-degradation-level'!X15</f>
        <v>0</v>
      </c>
      <c r="Q49" s="262">
        <f>'Area(ha)-by-degradation-level'!AB15</f>
        <v>0</v>
      </c>
      <c r="R49" s="263">
        <f>'Area(ha)-by-degradation-level'!AF15</f>
        <v>0</v>
      </c>
      <c r="S49" s="263">
        <f>'Area(ha)-by-degradation-level'!AJ15</f>
        <v>0</v>
      </c>
      <c r="T49" s="263">
        <f>'Area(ha)-by-degradation-level'!AN15</f>
        <v>0</v>
      </c>
      <c r="U49" s="169">
        <f>'Area(ha)-by-degradation-level'!AR15</f>
        <v>0</v>
      </c>
      <c r="V49" s="263">
        <f>'Area(ha)-by-degradation-level'!AV15</f>
        <v>0</v>
      </c>
      <c r="W49" s="263">
        <f>'Area(ha)-by-degradation-level'!AZ15</f>
        <v>0</v>
      </c>
      <c r="X49" s="303" t="e">
        <f t="shared" si="4"/>
        <v>#DIV/0!</v>
      </c>
      <c r="Y49" s="264">
        <f>'Area(ha)-by-degradation-level'!Q15</f>
        <v>0</v>
      </c>
      <c r="Z49" s="264">
        <f>'Area(ha)-by-degradation-level'!U15</f>
        <v>0</v>
      </c>
      <c r="AA49" s="264">
        <f>'Area(ha)-by-degradation-level'!Y15</f>
        <v>0</v>
      </c>
      <c r="AB49" s="264">
        <f>'Area(ha)-by-degradation-level'!AC15</f>
        <v>0</v>
      </c>
      <c r="AC49" s="264">
        <f>'Area(ha)-by-degradation-level'!AG15</f>
        <v>0</v>
      </c>
      <c r="AD49" s="264">
        <f>'Area(ha)-by-degradation-level'!AK15</f>
        <v>0</v>
      </c>
      <c r="AE49" s="264">
        <f>'Area(ha)-by-degradation-level'!AO15</f>
        <v>0</v>
      </c>
      <c r="AF49" s="264">
        <f>'Area(ha)-by-degradation-level'!AS15</f>
        <v>0</v>
      </c>
      <c r="AG49" s="264">
        <f>'Area(ha)-by-degradation-level'!AW15</f>
        <v>0</v>
      </c>
      <c r="AH49" s="304">
        <f>'Area(ha)-by-degradation-level'!BA15</f>
        <v>0</v>
      </c>
      <c r="AI49" s="303" t="e">
        <f t="shared" si="5"/>
        <v>#DIV/0!</v>
      </c>
      <c r="AJ49" s="173" t="b">
        <f t="shared" si="6"/>
        <v>0</v>
      </c>
      <c r="AK49" s="173" t="b">
        <f t="shared" si="7"/>
        <v>0</v>
      </c>
      <c r="AL49" s="173" t="b">
        <f t="shared" si="8"/>
        <v>0</v>
      </c>
      <c r="AM49" s="173" t="b">
        <f t="shared" si="9"/>
        <v>0</v>
      </c>
      <c r="AN49" s="173" t="b">
        <f t="shared" si="10"/>
        <v>0</v>
      </c>
      <c r="AO49" s="173" t="b">
        <f t="shared" si="11"/>
        <v>0</v>
      </c>
      <c r="AP49" s="173" t="b">
        <f t="shared" si="12"/>
        <v>0</v>
      </c>
      <c r="AQ49" s="173" t="b">
        <f t="shared" si="13"/>
        <v>0</v>
      </c>
      <c r="AR49" s="173" t="b">
        <f t="shared" si="14"/>
        <v>0</v>
      </c>
      <c r="AS49" s="173" t="b">
        <f t="shared" si="15"/>
        <v>0</v>
      </c>
      <c r="AT49" s="173" t="e">
        <f t="shared" si="16"/>
        <v>#DIV/0!</v>
      </c>
    </row>
    <row r="50" spans="1:46" x14ac:dyDescent="0.25">
      <c r="A50" s="13">
        <v>12</v>
      </c>
      <c r="B50" s="13" t="s">
        <v>150</v>
      </c>
      <c r="C50" s="206">
        <f>'Area(ha)-by-degradation-level'!O16</f>
        <v>0</v>
      </c>
      <c r="D50" s="206">
        <f>'Area(ha)-by-degradation-level'!S16</f>
        <v>0</v>
      </c>
      <c r="E50" s="262">
        <f>'Area(ha)-by-degradation-level'!W16</f>
        <v>0</v>
      </c>
      <c r="F50" s="262">
        <f>'Area(ha)-by-degradation-level'!AA16</f>
        <v>0</v>
      </c>
      <c r="G50" s="263">
        <f>'Area(ha)-by-degradation-level'!AE16</f>
        <v>0</v>
      </c>
      <c r="H50" s="263">
        <f>'Area(ha)-by-degradation-level'!AI16</f>
        <v>0</v>
      </c>
      <c r="I50" s="263">
        <f>'Area(ha)-by-degradation-level'!AM16</f>
        <v>0</v>
      </c>
      <c r="J50" s="169">
        <f>'Area(ha)-by-degradation-level'!AQ16</f>
        <v>0</v>
      </c>
      <c r="K50" s="263">
        <f>'Area(ha)-by-degradation-level'!AU16</f>
        <v>0</v>
      </c>
      <c r="L50" s="263">
        <f>'Area(ha)-by-degradation-level'!AY16</f>
        <v>0</v>
      </c>
      <c r="M50" s="303" t="e">
        <f t="shared" si="3"/>
        <v>#DIV/0!</v>
      </c>
      <c r="N50" s="206">
        <f>'Area(ha)-by-degradation-level'!P16</f>
        <v>0</v>
      </c>
      <c r="O50" s="206">
        <f>'Area(ha)-by-degradation-level'!T16</f>
        <v>0</v>
      </c>
      <c r="P50" s="262">
        <f>'Area(ha)-by-degradation-level'!X16</f>
        <v>0</v>
      </c>
      <c r="Q50" s="262">
        <f>'Area(ha)-by-degradation-level'!AB16</f>
        <v>0</v>
      </c>
      <c r="R50" s="263">
        <f>'Area(ha)-by-degradation-level'!AF16</f>
        <v>0</v>
      </c>
      <c r="S50" s="263">
        <f>'Area(ha)-by-degradation-level'!AJ16</f>
        <v>0</v>
      </c>
      <c r="T50" s="263">
        <f>'Area(ha)-by-degradation-level'!AN16</f>
        <v>0</v>
      </c>
      <c r="U50" s="169">
        <f>'Area(ha)-by-degradation-level'!AR16</f>
        <v>0</v>
      </c>
      <c r="V50" s="263">
        <f>'Area(ha)-by-degradation-level'!AV16</f>
        <v>0</v>
      </c>
      <c r="W50" s="263">
        <f>'Area(ha)-by-degradation-level'!AZ16</f>
        <v>0</v>
      </c>
      <c r="X50" s="303" t="e">
        <f t="shared" si="4"/>
        <v>#DIV/0!</v>
      </c>
      <c r="Y50" s="264">
        <f>'Area(ha)-by-degradation-level'!Q16</f>
        <v>0</v>
      </c>
      <c r="Z50" s="264">
        <f>'Area(ha)-by-degradation-level'!U16</f>
        <v>0</v>
      </c>
      <c r="AA50" s="264">
        <f>'Area(ha)-by-degradation-level'!Y16</f>
        <v>0</v>
      </c>
      <c r="AB50" s="264">
        <f>'Area(ha)-by-degradation-level'!AC16</f>
        <v>0</v>
      </c>
      <c r="AC50" s="264">
        <f>'Area(ha)-by-degradation-level'!AG16</f>
        <v>0</v>
      </c>
      <c r="AD50" s="264">
        <f>'Area(ha)-by-degradation-level'!AK16</f>
        <v>0</v>
      </c>
      <c r="AE50" s="264">
        <f>'Area(ha)-by-degradation-level'!AO16</f>
        <v>0</v>
      </c>
      <c r="AF50" s="264">
        <f>'Area(ha)-by-degradation-level'!AS16</f>
        <v>0</v>
      </c>
      <c r="AG50" s="264">
        <f>'Area(ha)-by-degradation-level'!AW16</f>
        <v>0</v>
      </c>
      <c r="AH50" s="304">
        <f>'Area(ha)-by-degradation-level'!BA16</f>
        <v>0</v>
      </c>
      <c r="AI50" s="303" t="e">
        <f t="shared" si="5"/>
        <v>#DIV/0!</v>
      </c>
      <c r="AJ50" s="173" t="b">
        <f t="shared" si="6"/>
        <v>0</v>
      </c>
      <c r="AK50" s="173" t="b">
        <f t="shared" si="7"/>
        <v>0</v>
      </c>
      <c r="AL50" s="173" t="b">
        <f t="shared" si="8"/>
        <v>0</v>
      </c>
      <c r="AM50" s="173" t="b">
        <f t="shared" si="9"/>
        <v>0</v>
      </c>
      <c r="AN50" s="173" t="b">
        <f t="shared" si="10"/>
        <v>0</v>
      </c>
      <c r="AO50" s="173" t="b">
        <f t="shared" si="11"/>
        <v>0</v>
      </c>
      <c r="AP50" s="173" t="b">
        <f t="shared" si="12"/>
        <v>0</v>
      </c>
      <c r="AQ50" s="173" t="b">
        <f t="shared" si="13"/>
        <v>0</v>
      </c>
      <c r="AR50" s="173" t="b">
        <f t="shared" si="14"/>
        <v>0</v>
      </c>
      <c r="AS50" s="173" t="b">
        <f t="shared" si="15"/>
        <v>0</v>
      </c>
      <c r="AT50" s="173" t="e">
        <f t="shared" si="16"/>
        <v>#DIV/0!</v>
      </c>
    </row>
    <row r="51" spans="1:46" x14ac:dyDescent="0.25">
      <c r="A51" s="13">
        <v>13</v>
      </c>
      <c r="B51" s="13" t="s">
        <v>151</v>
      </c>
      <c r="C51" s="206">
        <f>'Area(ha)-by-degradation-level'!O17</f>
        <v>0</v>
      </c>
      <c r="D51" s="206">
        <f>'Area(ha)-by-degradation-level'!S17</f>
        <v>0</v>
      </c>
      <c r="E51" s="262">
        <f>'Area(ha)-by-degradation-level'!W17</f>
        <v>0</v>
      </c>
      <c r="F51" s="262">
        <f>'Area(ha)-by-degradation-level'!AA17</f>
        <v>0</v>
      </c>
      <c r="G51" s="263">
        <f>'Area(ha)-by-degradation-level'!AE17</f>
        <v>0</v>
      </c>
      <c r="H51" s="263">
        <f>'Area(ha)-by-degradation-level'!AI17</f>
        <v>0</v>
      </c>
      <c r="I51" s="263">
        <f>'Area(ha)-by-degradation-level'!AM17</f>
        <v>0</v>
      </c>
      <c r="J51" s="169">
        <f>'Area(ha)-by-degradation-level'!AQ17</f>
        <v>0</v>
      </c>
      <c r="K51" s="263">
        <f>'Area(ha)-by-degradation-level'!AU17</f>
        <v>0</v>
      </c>
      <c r="L51" s="263">
        <f>'Area(ha)-by-degradation-level'!AY17</f>
        <v>0</v>
      </c>
      <c r="M51" s="303" t="e">
        <f t="shared" si="3"/>
        <v>#DIV/0!</v>
      </c>
      <c r="N51" s="206">
        <f>'Area(ha)-by-degradation-level'!P17</f>
        <v>0</v>
      </c>
      <c r="O51" s="206">
        <f>'Area(ha)-by-degradation-level'!T17</f>
        <v>0</v>
      </c>
      <c r="P51" s="262">
        <f>'Area(ha)-by-degradation-level'!X17</f>
        <v>0</v>
      </c>
      <c r="Q51" s="262">
        <f>'Area(ha)-by-degradation-level'!AB17</f>
        <v>0</v>
      </c>
      <c r="R51" s="263">
        <f>'Area(ha)-by-degradation-level'!AF17</f>
        <v>0</v>
      </c>
      <c r="S51" s="263">
        <f>'Area(ha)-by-degradation-level'!AJ17</f>
        <v>0</v>
      </c>
      <c r="T51" s="263">
        <f>'Area(ha)-by-degradation-level'!AN17</f>
        <v>0</v>
      </c>
      <c r="U51" s="169">
        <f>'Area(ha)-by-degradation-level'!AR17</f>
        <v>0</v>
      </c>
      <c r="V51" s="263">
        <f>'Area(ha)-by-degradation-level'!AV17</f>
        <v>0</v>
      </c>
      <c r="W51" s="263">
        <f>'Area(ha)-by-degradation-level'!AZ17</f>
        <v>0</v>
      </c>
      <c r="X51" s="303" t="e">
        <f t="shared" si="4"/>
        <v>#DIV/0!</v>
      </c>
      <c r="Y51" s="264">
        <f>'Area(ha)-by-degradation-level'!Q17</f>
        <v>0</v>
      </c>
      <c r="Z51" s="264">
        <f>'Area(ha)-by-degradation-level'!U17</f>
        <v>0</v>
      </c>
      <c r="AA51" s="264">
        <f>'Area(ha)-by-degradation-level'!Y17</f>
        <v>0</v>
      </c>
      <c r="AB51" s="264">
        <f>'Area(ha)-by-degradation-level'!AC17</f>
        <v>0</v>
      </c>
      <c r="AC51" s="264">
        <f>'Area(ha)-by-degradation-level'!AG17</f>
        <v>0</v>
      </c>
      <c r="AD51" s="264">
        <f>'Area(ha)-by-degradation-level'!AK17</f>
        <v>0</v>
      </c>
      <c r="AE51" s="264">
        <f>'Area(ha)-by-degradation-level'!AO17</f>
        <v>0</v>
      </c>
      <c r="AF51" s="264">
        <f>'Area(ha)-by-degradation-level'!AS17</f>
        <v>0</v>
      </c>
      <c r="AG51" s="264">
        <f>'Area(ha)-by-degradation-level'!AW17</f>
        <v>0</v>
      </c>
      <c r="AH51" s="304">
        <f>'Area(ha)-by-degradation-level'!BA17</f>
        <v>0</v>
      </c>
      <c r="AI51" s="303" t="e">
        <f t="shared" si="5"/>
        <v>#DIV/0!</v>
      </c>
      <c r="AJ51" s="173" t="b">
        <f t="shared" si="6"/>
        <v>0</v>
      </c>
      <c r="AK51" s="173" t="b">
        <f t="shared" si="7"/>
        <v>0</v>
      </c>
      <c r="AL51" s="173" t="b">
        <f t="shared" si="8"/>
        <v>0</v>
      </c>
      <c r="AM51" s="173" t="b">
        <f t="shared" si="9"/>
        <v>0</v>
      </c>
      <c r="AN51" s="173" t="b">
        <f t="shared" si="10"/>
        <v>0</v>
      </c>
      <c r="AO51" s="173" t="b">
        <f t="shared" si="11"/>
        <v>0</v>
      </c>
      <c r="AP51" s="173" t="b">
        <f t="shared" si="12"/>
        <v>0</v>
      </c>
      <c r="AQ51" s="173" t="b">
        <f t="shared" si="13"/>
        <v>0</v>
      </c>
      <c r="AR51" s="173" t="b">
        <f t="shared" si="14"/>
        <v>0</v>
      </c>
      <c r="AS51" s="173" t="b">
        <f t="shared" si="15"/>
        <v>0</v>
      </c>
      <c r="AT51" s="173" t="e">
        <f t="shared" si="16"/>
        <v>#DIV/0!</v>
      </c>
    </row>
    <row r="52" spans="1:46" x14ac:dyDescent="0.25">
      <c r="A52" s="13">
        <v>14</v>
      </c>
      <c r="B52" s="13" t="s">
        <v>152</v>
      </c>
      <c r="C52" s="206">
        <f>'Area(ha)-by-degradation-level'!O18</f>
        <v>0</v>
      </c>
      <c r="D52" s="206">
        <f>'Area(ha)-by-degradation-level'!S18</f>
        <v>0</v>
      </c>
      <c r="E52" s="262">
        <f>'Area(ha)-by-degradation-level'!W18</f>
        <v>0</v>
      </c>
      <c r="F52" s="262">
        <f>'Area(ha)-by-degradation-level'!AA18</f>
        <v>0</v>
      </c>
      <c r="G52" s="263">
        <f>'Area(ha)-by-degradation-level'!AE18</f>
        <v>0</v>
      </c>
      <c r="H52" s="263">
        <f>'Area(ha)-by-degradation-level'!AI18</f>
        <v>0</v>
      </c>
      <c r="I52" s="263">
        <f>'Area(ha)-by-degradation-level'!AM18</f>
        <v>0</v>
      </c>
      <c r="J52" s="169">
        <f>'Area(ha)-by-degradation-level'!AQ18</f>
        <v>0</v>
      </c>
      <c r="K52" s="263">
        <f>'Area(ha)-by-degradation-level'!AU18</f>
        <v>0</v>
      </c>
      <c r="L52" s="263">
        <f>'Area(ha)-by-degradation-level'!AY18</f>
        <v>0</v>
      </c>
      <c r="M52" s="303" t="e">
        <f t="shared" si="3"/>
        <v>#DIV/0!</v>
      </c>
      <c r="N52" s="206">
        <f>'Area(ha)-by-degradation-level'!P18</f>
        <v>0</v>
      </c>
      <c r="O52" s="206">
        <f>'Area(ha)-by-degradation-level'!T18</f>
        <v>0</v>
      </c>
      <c r="P52" s="262">
        <f>'Area(ha)-by-degradation-level'!X18</f>
        <v>0</v>
      </c>
      <c r="Q52" s="262">
        <f>'Area(ha)-by-degradation-level'!AB18</f>
        <v>0</v>
      </c>
      <c r="R52" s="263">
        <f>'Area(ha)-by-degradation-level'!AF18</f>
        <v>0</v>
      </c>
      <c r="S52" s="263">
        <f>'Area(ha)-by-degradation-level'!AJ18</f>
        <v>0</v>
      </c>
      <c r="T52" s="263">
        <f>'Area(ha)-by-degradation-level'!AN18</f>
        <v>0</v>
      </c>
      <c r="U52" s="169">
        <f>'Area(ha)-by-degradation-level'!AR18</f>
        <v>0</v>
      </c>
      <c r="V52" s="263">
        <f>'Area(ha)-by-degradation-level'!AV18</f>
        <v>0</v>
      </c>
      <c r="W52" s="263">
        <f>'Area(ha)-by-degradation-level'!AZ18</f>
        <v>0</v>
      </c>
      <c r="X52" s="303" t="e">
        <f t="shared" si="4"/>
        <v>#DIV/0!</v>
      </c>
      <c r="Y52" s="264">
        <f>'Area(ha)-by-degradation-level'!Q18</f>
        <v>0</v>
      </c>
      <c r="Z52" s="264">
        <f>'Area(ha)-by-degradation-level'!U18</f>
        <v>0</v>
      </c>
      <c r="AA52" s="264">
        <f>'Area(ha)-by-degradation-level'!Y18</f>
        <v>0</v>
      </c>
      <c r="AB52" s="264">
        <f>'Area(ha)-by-degradation-level'!AC18</f>
        <v>0</v>
      </c>
      <c r="AC52" s="264">
        <f>'Area(ha)-by-degradation-level'!AG18</f>
        <v>0</v>
      </c>
      <c r="AD52" s="264">
        <f>'Area(ha)-by-degradation-level'!AK18</f>
        <v>0</v>
      </c>
      <c r="AE52" s="264">
        <f>'Area(ha)-by-degradation-level'!AO18</f>
        <v>0</v>
      </c>
      <c r="AF52" s="264">
        <f>'Area(ha)-by-degradation-level'!AS18</f>
        <v>0</v>
      </c>
      <c r="AG52" s="264">
        <f>'Area(ha)-by-degradation-level'!AW18</f>
        <v>0</v>
      </c>
      <c r="AH52" s="304">
        <f>'Area(ha)-by-degradation-level'!BA18</f>
        <v>0</v>
      </c>
      <c r="AI52" s="303" t="e">
        <f t="shared" si="5"/>
        <v>#DIV/0!</v>
      </c>
      <c r="AJ52" s="173" t="b">
        <f t="shared" si="6"/>
        <v>0</v>
      </c>
      <c r="AK52" s="173" t="b">
        <f t="shared" si="7"/>
        <v>0</v>
      </c>
      <c r="AL52" s="173" t="b">
        <f t="shared" si="8"/>
        <v>0</v>
      </c>
      <c r="AM52" s="173" t="b">
        <f t="shared" si="9"/>
        <v>0</v>
      </c>
      <c r="AN52" s="173" t="b">
        <f t="shared" si="10"/>
        <v>0</v>
      </c>
      <c r="AO52" s="173" t="b">
        <f t="shared" si="11"/>
        <v>0</v>
      </c>
      <c r="AP52" s="173" t="b">
        <f t="shared" si="12"/>
        <v>0</v>
      </c>
      <c r="AQ52" s="173" t="b">
        <f t="shared" si="13"/>
        <v>0</v>
      </c>
      <c r="AR52" s="173" t="b">
        <f t="shared" si="14"/>
        <v>0</v>
      </c>
      <c r="AS52" s="173" t="b">
        <f t="shared" si="15"/>
        <v>0</v>
      </c>
      <c r="AT52" s="173" t="e">
        <f t="shared" si="16"/>
        <v>#DIV/0!</v>
      </c>
    </row>
    <row r="53" spans="1:46" x14ac:dyDescent="0.25">
      <c r="A53" s="13">
        <v>15</v>
      </c>
      <c r="B53" s="13" t="s">
        <v>153</v>
      </c>
      <c r="C53" s="206">
        <f>'Area(ha)-by-degradation-level'!O19</f>
        <v>0</v>
      </c>
      <c r="D53" s="206">
        <f>'Area(ha)-by-degradation-level'!S19</f>
        <v>0</v>
      </c>
      <c r="E53" s="262">
        <f>'Area(ha)-by-degradation-level'!W19</f>
        <v>0</v>
      </c>
      <c r="F53" s="262">
        <f>'Area(ha)-by-degradation-level'!AA19</f>
        <v>0</v>
      </c>
      <c r="G53" s="263">
        <f>'Area(ha)-by-degradation-level'!AE19</f>
        <v>0</v>
      </c>
      <c r="H53" s="263">
        <f>'Area(ha)-by-degradation-level'!AI19</f>
        <v>0</v>
      </c>
      <c r="I53" s="263">
        <f>'Area(ha)-by-degradation-level'!AM19</f>
        <v>0</v>
      </c>
      <c r="J53" s="169">
        <f>'Area(ha)-by-degradation-level'!AQ19</f>
        <v>0</v>
      </c>
      <c r="K53" s="263">
        <f>'Area(ha)-by-degradation-level'!AU19</f>
        <v>0</v>
      </c>
      <c r="L53" s="263">
        <f>'Area(ha)-by-degradation-level'!AY19</f>
        <v>0</v>
      </c>
      <c r="M53" s="303" t="e">
        <f t="shared" si="3"/>
        <v>#DIV/0!</v>
      </c>
      <c r="N53" s="206">
        <f>'Area(ha)-by-degradation-level'!P19</f>
        <v>0</v>
      </c>
      <c r="O53" s="206">
        <f>'Area(ha)-by-degradation-level'!T19</f>
        <v>0</v>
      </c>
      <c r="P53" s="262">
        <f>'Area(ha)-by-degradation-level'!X19</f>
        <v>0</v>
      </c>
      <c r="Q53" s="262">
        <f>'Area(ha)-by-degradation-level'!AB19</f>
        <v>0</v>
      </c>
      <c r="R53" s="263">
        <f>'Area(ha)-by-degradation-level'!AF19</f>
        <v>0</v>
      </c>
      <c r="S53" s="263">
        <f>'Area(ha)-by-degradation-level'!AJ19</f>
        <v>0</v>
      </c>
      <c r="T53" s="263">
        <f>'Area(ha)-by-degradation-level'!AN19</f>
        <v>0</v>
      </c>
      <c r="U53" s="169">
        <f>'Area(ha)-by-degradation-level'!AR19</f>
        <v>0</v>
      </c>
      <c r="V53" s="263">
        <f>'Area(ha)-by-degradation-level'!AV19</f>
        <v>0</v>
      </c>
      <c r="W53" s="263">
        <f>'Area(ha)-by-degradation-level'!AZ19</f>
        <v>0</v>
      </c>
      <c r="X53" s="303" t="e">
        <f t="shared" si="4"/>
        <v>#DIV/0!</v>
      </c>
      <c r="Y53" s="264">
        <f>'Area(ha)-by-degradation-level'!Q19</f>
        <v>0</v>
      </c>
      <c r="Z53" s="264">
        <f>'Area(ha)-by-degradation-level'!U19</f>
        <v>0</v>
      </c>
      <c r="AA53" s="264">
        <f>'Area(ha)-by-degradation-level'!Y19</f>
        <v>0</v>
      </c>
      <c r="AB53" s="264">
        <f>'Area(ha)-by-degradation-level'!AC19</f>
        <v>0</v>
      </c>
      <c r="AC53" s="264">
        <f>'Area(ha)-by-degradation-level'!AG19</f>
        <v>0</v>
      </c>
      <c r="AD53" s="264">
        <f>'Area(ha)-by-degradation-level'!AK19</f>
        <v>0</v>
      </c>
      <c r="AE53" s="264">
        <f>'Area(ha)-by-degradation-level'!AO19</f>
        <v>0</v>
      </c>
      <c r="AF53" s="264">
        <f>'Area(ha)-by-degradation-level'!AS19</f>
        <v>0</v>
      </c>
      <c r="AG53" s="264">
        <f>'Area(ha)-by-degradation-level'!AW19</f>
        <v>0</v>
      </c>
      <c r="AH53" s="304">
        <f>'Area(ha)-by-degradation-level'!BA19</f>
        <v>0</v>
      </c>
      <c r="AI53" s="303" t="e">
        <f t="shared" si="5"/>
        <v>#DIV/0!</v>
      </c>
      <c r="AJ53" s="173" t="b">
        <f t="shared" si="6"/>
        <v>0</v>
      </c>
      <c r="AK53" s="173" t="b">
        <f t="shared" si="7"/>
        <v>0</v>
      </c>
      <c r="AL53" s="173" t="b">
        <f t="shared" si="8"/>
        <v>0</v>
      </c>
      <c r="AM53" s="173" t="b">
        <f t="shared" si="9"/>
        <v>0</v>
      </c>
      <c r="AN53" s="173" t="b">
        <f t="shared" si="10"/>
        <v>0</v>
      </c>
      <c r="AO53" s="173" t="b">
        <f t="shared" si="11"/>
        <v>0</v>
      </c>
      <c r="AP53" s="173" t="b">
        <f t="shared" si="12"/>
        <v>0</v>
      </c>
      <c r="AQ53" s="173" t="b">
        <f t="shared" si="13"/>
        <v>0</v>
      </c>
      <c r="AR53" s="173" t="b">
        <f t="shared" si="14"/>
        <v>0</v>
      </c>
      <c r="AS53" s="173" t="b">
        <f t="shared" si="15"/>
        <v>0</v>
      </c>
      <c r="AT53" s="173" t="e">
        <f t="shared" si="16"/>
        <v>#DIV/0!</v>
      </c>
    </row>
    <row r="54" spans="1:46" x14ac:dyDescent="0.25">
      <c r="A54" s="13">
        <v>16</v>
      </c>
      <c r="B54" s="13" t="s">
        <v>154</v>
      </c>
      <c r="C54" s="206">
        <f>'Area(ha)-by-degradation-level'!O20</f>
        <v>0</v>
      </c>
      <c r="D54" s="206">
        <f>'Area(ha)-by-degradation-level'!S20</f>
        <v>0</v>
      </c>
      <c r="E54" s="262">
        <f>'Area(ha)-by-degradation-level'!W20</f>
        <v>0</v>
      </c>
      <c r="F54" s="262">
        <f>'Area(ha)-by-degradation-level'!AA20</f>
        <v>0</v>
      </c>
      <c r="G54" s="263">
        <f>'Area(ha)-by-degradation-level'!AE20</f>
        <v>0</v>
      </c>
      <c r="H54" s="263">
        <f>'Area(ha)-by-degradation-level'!AI20</f>
        <v>0</v>
      </c>
      <c r="I54" s="263">
        <f>'Area(ha)-by-degradation-level'!AM20</f>
        <v>0</v>
      </c>
      <c r="J54" s="169">
        <f>'Area(ha)-by-degradation-level'!AQ20</f>
        <v>0</v>
      </c>
      <c r="K54" s="263">
        <f>'Area(ha)-by-degradation-level'!AU20</f>
        <v>0</v>
      </c>
      <c r="L54" s="263">
        <f>'Area(ha)-by-degradation-level'!AY20</f>
        <v>0</v>
      </c>
      <c r="M54" s="303" t="e">
        <f t="shared" si="3"/>
        <v>#DIV/0!</v>
      </c>
      <c r="N54" s="206">
        <f>'Area(ha)-by-degradation-level'!P20</f>
        <v>0</v>
      </c>
      <c r="O54" s="206">
        <f>'Area(ha)-by-degradation-level'!T20</f>
        <v>0</v>
      </c>
      <c r="P54" s="262">
        <f>'Area(ha)-by-degradation-level'!X20</f>
        <v>0</v>
      </c>
      <c r="Q54" s="262">
        <f>'Area(ha)-by-degradation-level'!AB20</f>
        <v>0</v>
      </c>
      <c r="R54" s="263">
        <f>'Area(ha)-by-degradation-level'!AF20</f>
        <v>0</v>
      </c>
      <c r="S54" s="263">
        <f>'Area(ha)-by-degradation-level'!AJ20</f>
        <v>0</v>
      </c>
      <c r="T54" s="263">
        <f>'Area(ha)-by-degradation-level'!AN20</f>
        <v>0</v>
      </c>
      <c r="U54" s="169">
        <f>'Area(ha)-by-degradation-level'!AR20</f>
        <v>0</v>
      </c>
      <c r="V54" s="263">
        <f>'Area(ha)-by-degradation-level'!AV20</f>
        <v>0</v>
      </c>
      <c r="W54" s="263">
        <f>'Area(ha)-by-degradation-level'!AZ20</f>
        <v>0</v>
      </c>
      <c r="X54" s="303" t="e">
        <f t="shared" si="4"/>
        <v>#DIV/0!</v>
      </c>
      <c r="Y54" s="264">
        <f>'Area(ha)-by-degradation-level'!Q20</f>
        <v>0</v>
      </c>
      <c r="Z54" s="264">
        <f>'Area(ha)-by-degradation-level'!U20</f>
        <v>0</v>
      </c>
      <c r="AA54" s="264">
        <f>'Area(ha)-by-degradation-level'!Y20</f>
        <v>0</v>
      </c>
      <c r="AB54" s="264">
        <f>'Area(ha)-by-degradation-level'!AC20</f>
        <v>0</v>
      </c>
      <c r="AC54" s="264">
        <f>'Area(ha)-by-degradation-level'!AG20</f>
        <v>0</v>
      </c>
      <c r="AD54" s="264">
        <f>'Area(ha)-by-degradation-level'!AK20</f>
        <v>0</v>
      </c>
      <c r="AE54" s="264">
        <f>'Area(ha)-by-degradation-level'!AO20</f>
        <v>0</v>
      </c>
      <c r="AF54" s="264">
        <f>'Area(ha)-by-degradation-level'!AS20</f>
        <v>0</v>
      </c>
      <c r="AG54" s="264">
        <f>'Area(ha)-by-degradation-level'!AW20</f>
        <v>0</v>
      </c>
      <c r="AH54" s="304">
        <f>'Area(ha)-by-degradation-level'!BA20</f>
        <v>0</v>
      </c>
      <c r="AI54" s="303" t="e">
        <f t="shared" si="5"/>
        <v>#DIV/0!</v>
      </c>
      <c r="AJ54" s="173" t="b">
        <f t="shared" si="6"/>
        <v>0</v>
      </c>
      <c r="AK54" s="173" t="b">
        <f t="shared" si="7"/>
        <v>0</v>
      </c>
      <c r="AL54" s="173" t="b">
        <f t="shared" si="8"/>
        <v>0</v>
      </c>
      <c r="AM54" s="173" t="b">
        <f t="shared" si="9"/>
        <v>0</v>
      </c>
      <c r="AN54" s="173" t="b">
        <f t="shared" si="10"/>
        <v>0</v>
      </c>
      <c r="AO54" s="173" t="b">
        <f t="shared" si="11"/>
        <v>0</v>
      </c>
      <c r="AP54" s="173" t="b">
        <f t="shared" si="12"/>
        <v>0</v>
      </c>
      <c r="AQ54" s="173" t="b">
        <f t="shared" si="13"/>
        <v>0</v>
      </c>
      <c r="AR54" s="173" t="b">
        <f t="shared" si="14"/>
        <v>0</v>
      </c>
      <c r="AS54" s="173" t="b">
        <f t="shared" si="15"/>
        <v>0</v>
      </c>
      <c r="AT54" s="173" t="e">
        <f t="shared" si="16"/>
        <v>#DIV/0!</v>
      </c>
    </row>
    <row r="55" spans="1:46" x14ac:dyDescent="0.25">
      <c r="A55" s="13">
        <v>17</v>
      </c>
      <c r="B55" s="13" t="s">
        <v>155</v>
      </c>
      <c r="C55" s="206">
        <f>'Area(ha)-by-degradation-level'!O21</f>
        <v>0</v>
      </c>
      <c r="D55" s="206">
        <f>'Area(ha)-by-degradation-level'!S21</f>
        <v>0</v>
      </c>
      <c r="E55" s="262">
        <f>'Area(ha)-by-degradation-level'!W21</f>
        <v>0</v>
      </c>
      <c r="F55" s="262">
        <f>'Area(ha)-by-degradation-level'!AA21</f>
        <v>0</v>
      </c>
      <c r="G55" s="263">
        <f>'Area(ha)-by-degradation-level'!AE21</f>
        <v>0</v>
      </c>
      <c r="H55" s="263">
        <f>'Area(ha)-by-degradation-level'!AI21</f>
        <v>0</v>
      </c>
      <c r="I55" s="263">
        <f>'Area(ha)-by-degradation-level'!AM21</f>
        <v>0</v>
      </c>
      <c r="J55" s="169">
        <f>'Area(ha)-by-degradation-level'!AQ21</f>
        <v>0</v>
      </c>
      <c r="K55" s="263">
        <f>'Area(ha)-by-degradation-level'!AU21</f>
        <v>0</v>
      </c>
      <c r="L55" s="263">
        <f>'Area(ha)-by-degradation-level'!AY21</f>
        <v>0</v>
      </c>
      <c r="M55" s="303" t="e">
        <f t="shared" si="3"/>
        <v>#DIV/0!</v>
      </c>
      <c r="N55" s="206">
        <f>'Area(ha)-by-degradation-level'!P21</f>
        <v>0</v>
      </c>
      <c r="O55" s="206">
        <f>'Area(ha)-by-degradation-level'!T21</f>
        <v>0</v>
      </c>
      <c r="P55" s="262">
        <f>'Area(ha)-by-degradation-level'!X21</f>
        <v>0</v>
      </c>
      <c r="Q55" s="262">
        <f>'Area(ha)-by-degradation-level'!AB21</f>
        <v>0</v>
      </c>
      <c r="R55" s="263">
        <f>'Area(ha)-by-degradation-level'!AF21</f>
        <v>0</v>
      </c>
      <c r="S55" s="263">
        <f>'Area(ha)-by-degradation-level'!AJ21</f>
        <v>0</v>
      </c>
      <c r="T55" s="263">
        <f>'Area(ha)-by-degradation-level'!AN21</f>
        <v>0</v>
      </c>
      <c r="U55" s="169">
        <f>'Area(ha)-by-degradation-level'!AR21</f>
        <v>0</v>
      </c>
      <c r="V55" s="263">
        <f>'Area(ha)-by-degradation-level'!AV21</f>
        <v>0</v>
      </c>
      <c r="W55" s="263">
        <f>'Area(ha)-by-degradation-level'!AZ21</f>
        <v>0</v>
      </c>
      <c r="X55" s="303" t="e">
        <f t="shared" si="4"/>
        <v>#DIV/0!</v>
      </c>
      <c r="Y55" s="264">
        <f>'Area(ha)-by-degradation-level'!Q21</f>
        <v>0</v>
      </c>
      <c r="Z55" s="264">
        <f>'Area(ha)-by-degradation-level'!U21</f>
        <v>0</v>
      </c>
      <c r="AA55" s="264">
        <f>'Area(ha)-by-degradation-level'!Y21</f>
        <v>0</v>
      </c>
      <c r="AB55" s="264">
        <f>'Area(ha)-by-degradation-level'!AC21</f>
        <v>0</v>
      </c>
      <c r="AC55" s="264">
        <f>'Area(ha)-by-degradation-level'!AG21</f>
        <v>0</v>
      </c>
      <c r="AD55" s="264">
        <f>'Area(ha)-by-degradation-level'!AK21</f>
        <v>0</v>
      </c>
      <c r="AE55" s="264">
        <f>'Area(ha)-by-degradation-level'!AO21</f>
        <v>0</v>
      </c>
      <c r="AF55" s="264">
        <f>'Area(ha)-by-degradation-level'!AS21</f>
        <v>0</v>
      </c>
      <c r="AG55" s="264">
        <f>'Area(ha)-by-degradation-level'!AW21</f>
        <v>0</v>
      </c>
      <c r="AH55" s="304">
        <f>'Area(ha)-by-degradation-level'!BA21</f>
        <v>0</v>
      </c>
      <c r="AI55" s="303" t="e">
        <f t="shared" si="5"/>
        <v>#DIV/0!</v>
      </c>
      <c r="AJ55" s="173" t="b">
        <f t="shared" si="6"/>
        <v>0</v>
      </c>
      <c r="AK55" s="173" t="b">
        <f t="shared" si="7"/>
        <v>0</v>
      </c>
      <c r="AL55" s="173" t="b">
        <f t="shared" si="8"/>
        <v>0</v>
      </c>
      <c r="AM55" s="173" t="b">
        <f t="shared" si="9"/>
        <v>0</v>
      </c>
      <c r="AN55" s="173" t="b">
        <f t="shared" si="10"/>
        <v>0</v>
      </c>
      <c r="AO55" s="173" t="b">
        <f t="shared" si="11"/>
        <v>0</v>
      </c>
      <c r="AP55" s="173" t="b">
        <f t="shared" si="12"/>
        <v>0</v>
      </c>
      <c r="AQ55" s="173" t="b">
        <f t="shared" si="13"/>
        <v>0</v>
      </c>
      <c r="AR55" s="173" t="b">
        <f t="shared" si="14"/>
        <v>0</v>
      </c>
      <c r="AS55" s="173" t="b">
        <f t="shared" si="15"/>
        <v>0</v>
      </c>
      <c r="AT55" s="173" t="e">
        <f t="shared" si="16"/>
        <v>#DIV/0!</v>
      </c>
    </row>
    <row r="56" spans="1:46" x14ac:dyDescent="0.25">
      <c r="A56" s="13">
        <v>18</v>
      </c>
      <c r="B56" s="13" t="s">
        <v>156</v>
      </c>
      <c r="C56" s="206">
        <f>'Area(ha)-by-degradation-level'!O22</f>
        <v>0</v>
      </c>
      <c r="D56" s="206">
        <f>'Area(ha)-by-degradation-level'!S22</f>
        <v>0</v>
      </c>
      <c r="E56" s="262">
        <f>'Area(ha)-by-degradation-level'!W22</f>
        <v>0</v>
      </c>
      <c r="F56" s="262">
        <f>'Area(ha)-by-degradation-level'!AA22</f>
        <v>0</v>
      </c>
      <c r="G56" s="263">
        <f>'Area(ha)-by-degradation-level'!AE22</f>
        <v>0</v>
      </c>
      <c r="H56" s="263">
        <f>'Area(ha)-by-degradation-level'!AI22</f>
        <v>0</v>
      </c>
      <c r="I56" s="263">
        <f>'Area(ha)-by-degradation-level'!AM22</f>
        <v>0</v>
      </c>
      <c r="J56" s="169">
        <f>'Area(ha)-by-degradation-level'!AQ22</f>
        <v>0</v>
      </c>
      <c r="K56" s="263">
        <f>'Area(ha)-by-degradation-level'!AU22</f>
        <v>0</v>
      </c>
      <c r="L56" s="263">
        <f>'Area(ha)-by-degradation-level'!AY22</f>
        <v>0</v>
      </c>
      <c r="M56" s="303" t="e">
        <f t="shared" si="3"/>
        <v>#DIV/0!</v>
      </c>
      <c r="N56" s="206">
        <f>'Area(ha)-by-degradation-level'!P22</f>
        <v>0</v>
      </c>
      <c r="O56" s="206">
        <f>'Area(ha)-by-degradation-level'!T22</f>
        <v>0</v>
      </c>
      <c r="P56" s="262">
        <f>'Area(ha)-by-degradation-level'!X22</f>
        <v>0</v>
      </c>
      <c r="Q56" s="262">
        <f>'Area(ha)-by-degradation-level'!AB22</f>
        <v>0</v>
      </c>
      <c r="R56" s="263">
        <f>'Area(ha)-by-degradation-level'!AF22</f>
        <v>0</v>
      </c>
      <c r="S56" s="263">
        <f>'Area(ha)-by-degradation-level'!AJ22</f>
        <v>0</v>
      </c>
      <c r="T56" s="263">
        <f>'Area(ha)-by-degradation-level'!AN22</f>
        <v>0</v>
      </c>
      <c r="U56" s="169">
        <f>'Area(ha)-by-degradation-level'!AR22</f>
        <v>0</v>
      </c>
      <c r="V56" s="263">
        <f>'Area(ha)-by-degradation-level'!AV22</f>
        <v>0</v>
      </c>
      <c r="W56" s="263">
        <f>'Area(ha)-by-degradation-level'!AZ22</f>
        <v>0</v>
      </c>
      <c r="X56" s="303" t="e">
        <f t="shared" si="4"/>
        <v>#DIV/0!</v>
      </c>
      <c r="Y56" s="264">
        <f>'Area(ha)-by-degradation-level'!Q22</f>
        <v>0</v>
      </c>
      <c r="Z56" s="264">
        <f>'Area(ha)-by-degradation-level'!U22</f>
        <v>0</v>
      </c>
      <c r="AA56" s="264">
        <f>'Area(ha)-by-degradation-level'!Y22</f>
        <v>0</v>
      </c>
      <c r="AB56" s="264">
        <f>'Area(ha)-by-degradation-level'!AC22</f>
        <v>0</v>
      </c>
      <c r="AC56" s="264">
        <f>'Area(ha)-by-degradation-level'!AG22</f>
        <v>0</v>
      </c>
      <c r="AD56" s="264">
        <f>'Area(ha)-by-degradation-level'!AK22</f>
        <v>0</v>
      </c>
      <c r="AE56" s="264">
        <f>'Area(ha)-by-degradation-level'!AO22</f>
        <v>0</v>
      </c>
      <c r="AF56" s="264">
        <f>'Area(ha)-by-degradation-level'!AS22</f>
        <v>0</v>
      </c>
      <c r="AG56" s="264">
        <f>'Area(ha)-by-degradation-level'!AW22</f>
        <v>0</v>
      </c>
      <c r="AH56" s="304">
        <f>'Area(ha)-by-degradation-level'!BA22</f>
        <v>0</v>
      </c>
      <c r="AI56" s="303" t="e">
        <f t="shared" si="5"/>
        <v>#DIV/0!</v>
      </c>
      <c r="AJ56" s="173" t="b">
        <f t="shared" si="6"/>
        <v>0</v>
      </c>
      <c r="AK56" s="173" t="b">
        <f t="shared" si="7"/>
        <v>0</v>
      </c>
      <c r="AL56" s="173" t="b">
        <f t="shared" si="8"/>
        <v>0</v>
      </c>
      <c r="AM56" s="173" t="b">
        <f t="shared" si="9"/>
        <v>0</v>
      </c>
      <c r="AN56" s="173" t="b">
        <f t="shared" si="10"/>
        <v>0</v>
      </c>
      <c r="AO56" s="173" t="b">
        <f t="shared" si="11"/>
        <v>0</v>
      </c>
      <c r="AP56" s="173" t="b">
        <f t="shared" si="12"/>
        <v>0</v>
      </c>
      <c r="AQ56" s="173" t="b">
        <f t="shared" si="13"/>
        <v>0</v>
      </c>
      <c r="AR56" s="173" t="b">
        <f t="shared" si="14"/>
        <v>0</v>
      </c>
      <c r="AS56" s="173" t="b">
        <f t="shared" si="15"/>
        <v>0</v>
      </c>
      <c r="AT56" s="173" t="e">
        <f t="shared" si="16"/>
        <v>#DIV/0!</v>
      </c>
    </row>
    <row r="57" spans="1:46" x14ac:dyDescent="0.25">
      <c r="A57" s="13">
        <v>19</v>
      </c>
      <c r="B57" s="13" t="s">
        <v>157</v>
      </c>
      <c r="C57" s="206">
        <f>'Area(ha)-by-degradation-level'!O23</f>
        <v>0</v>
      </c>
      <c r="D57" s="206">
        <f>'Area(ha)-by-degradation-level'!S23</f>
        <v>0</v>
      </c>
      <c r="E57" s="262">
        <f>'Area(ha)-by-degradation-level'!W23</f>
        <v>0</v>
      </c>
      <c r="F57" s="262">
        <f>'Area(ha)-by-degradation-level'!AA23</f>
        <v>0</v>
      </c>
      <c r="G57" s="263">
        <f>'Area(ha)-by-degradation-level'!AE23</f>
        <v>0</v>
      </c>
      <c r="H57" s="263">
        <f>'Area(ha)-by-degradation-level'!AI23</f>
        <v>0</v>
      </c>
      <c r="I57" s="263">
        <f>'Area(ha)-by-degradation-level'!AM23</f>
        <v>0</v>
      </c>
      <c r="J57" s="169">
        <f>'Area(ha)-by-degradation-level'!AQ23</f>
        <v>0</v>
      </c>
      <c r="K57" s="263">
        <f>'Area(ha)-by-degradation-level'!AU23</f>
        <v>0</v>
      </c>
      <c r="L57" s="263">
        <f>'Area(ha)-by-degradation-level'!AY23</f>
        <v>0</v>
      </c>
      <c r="M57" s="303" t="e">
        <f t="shared" si="3"/>
        <v>#DIV/0!</v>
      </c>
      <c r="N57" s="206">
        <f>'Area(ha)-by-degradation-level'!P23</f>
        <v>0</v>
      </c>
      <c r="O57" s="206">
        <f>'Area(ha)-by-degradation-level'!T23</f>
        <v>0</v>
      </c>
      <c r="P57" s="262">
        <f>'Area(ha)-by-degradation-level'!X23</f>
        <v>0</v>
      </c>
      <c r="Q57" s="262">
        <f>'Area(ha)-by-degradation-level'!AB23</f>
        <v>0</v>
      </c>
      <c r="R57" s="263">
        <f>'Area(ha)-by-degradation-level'!AF23</f>
        <v>0</v>
      </c>
      <c r="S57" s="263">
        <f>'Area(ha)-by-degradation-level'!AJ23</f>
        <v>0</v>
      </c>
      <c r="T57" s="263">
        <f>'Area(ha)-by-degradation-level'!AN23</f>
        <v>0</v>
      </c>
      <c r="U57" s="169">
        <f>'Area(ha)-by-degradation-level'!AR23</f>
        <v>0</v>
      </c>
      <c r="V57" s="263">
        <f>'Area(ha)-by-degradation-level'!AV23</f>
        <v>0</v>
      </c>
      <c r="W57" s="263">
        <f>'Area(ha)-by-degradation-level'!AZ23</f>
        <v>0</v>
      </c>
      <c r="X57" s="303" t="e">
        <f t="shared" si="4"/>
        <v>#DIV/0!</v>
      </c>
      <c r="Y57" s="264">
        <f>'Area(ha)-by-degradation-level'!Q23</f>
        <v>0</v>
      </c>
      <c r="Z57" s="264">
        <f>'Area(ha)-by-degradation-level'!U23</f>
        <v>0</v>
      </c>
      <c r="AA57" s="264">
        <f>'Area(ha)-by-degradation-level'!Y23</f>
        <v>0</v>
      </c>
      <c r="AB57" s="264">
        <f>'Area(ha)-by-degradation-level'!AC23</f>
        <v>0</v>
      </c>
      <c r="AC57" s="264">
        <f>'Area(ha)-by-degradation-level'!AG23</f>
        <v>0</v>
      </c>
      <c r="AD57" s="264">
        <f>'Area(ha)-by-degradation-level'!AK23</f>
        <v>0</v>
      </c>
      <c r="AE57" s="264">
        <f>'Area(ha)-by-degradation-level'!AO23</f>
        <v>0</v>
      </c>
      <c r="AF57" s="264">
        <f>'Area(ha)-by-degradation-level'!AS23</f>
        <v>0</v>
      </c>
      <c r="AG57" s="264">
        <f>'Area(ha)-by-degradation-level'!AW23</f>
        <v>0</v>
      </c>
      <c r="AH57" s="304">
        <f>'Area(ha)-by-degradation-level'!BA23</f>
        <v>0</v>
      </c>
      <c r="AI57" s="303" t="e">
        <f t="shared" si="5"/>
        <v>#DIV/0!</v>
      </c>
      <c r="AJ57" s="173" t="b">
        <f t="shared" si="6"/>
        <v>0</v>
      </c>
      <c r="AK57" s="173" t="b">
        <f t="shared" si="7"/>
        <v>0</v>
      </c>
      <c r="AL57" s="173" t="b">
        <f t="shared" si="8"/>
        <v>0</v>
      </c>
      <c r="AM57" s="173" t="b">
        <f t="shared" si="9"/>
        <v>0</v>
      </c>
      <c r="AN57" s="173" t="b">
        <f t="shared" si="10"/>
        <v>0</v>
      </c>
      <c r="AO57" s="173" t="b">
        <f t="shared" si="11"/>
        <v>0</v>
      </c>
      <c r="AP57" s="173" t="b">
        <f t="shared" si="12"/>
        <v>0</v>
      </c>
      <c r="AQ57" s="173" t="b">
        <f t="shared" si="13"/>
        <v>0</v>
      </c>
      <c r="AR57" s="173" t="b">
        <f t="shared" si="14"/>
        <v>0</v>
      </c>
      <c r="AS57" s="173" t="b">
        <f t="shared" si="15"/>
        <v>0</v>
      </c>
      <c r="AT57" s="173" t="e">
        <f t="shared" si="16"/>
        <v>#DIV/0!</v>
      </c>
    </row>
    <row r="58" spans="1:46" x14ac:dyDescent="0.25">
      <c r="A58" s="13">
        <v>20</v>
      </c>
      <c r="B58" s="13" t="s">
        <v>158</v>
      </c>
      <c r="C58" s="206">
        <f>'Area(ha)-by-degradation-level'!O24</f>
        <v>0</v>
      </c>
      <c r="D58" s="206">
        <f>'Area(ha)-by-degradation-level'!S24</f>
        <v>0</v>
      </c>
      <c r="E58" s="262">
        <f>'Area(ha)-by-degradation-level'!W24</f>
        <v>0</v>
      </c>
      <c r="F58" s="262">
        <f>'Area(ha)-by-degradation-level'!AA24</f>
        <v>0</v>
      </c>
      <c r="G58" s="263">
        <f>'Area(ha)-by-degradation-level'!AE24</f>
        <v>0</v>
      </c>
      <c r="H58" s="263">
        <f>'Area(ha)-by-degradation-level'!AI24</f>
        <v>0</v>
      </c>
      <c r="I58" s="263">
        <f>'Area(ha)-by-degradation-level'!AM24</f>
        <v>0</v>
      </c>
      <c r="J58" s="169">
        <f>'Area(ha)-by-degradation-level'!AQ24</f>
        <v>0</v>
      </c>
      <c r="K58" s="263">
        <f>'Area(ha)-by-degradation-level'!AU24</f>
        <v>0</v>
      </c>
      <c r="L58" s="263">
        <f>'Area(ha)-by-degradation-level'!AY24</f>
        <v>0</v>
      </c>
      <c r="M58" s="303" t="e">
        <f t="shared" si="3"/>
        <v>#DIV/0!</v>
      </c>
      <c r="N58" s="206">
        <f>'Area(ha)-by-degradation-level'!P24</f>
        <v>0</v>
      </c>
      <c r="O58" s="206">
        <f>'Area(ha)-by-degradation-level'!T24</f>
        <v>0</v>
      </c>
      <c r="P58" s="262">
        <f>'Area(ha)-by-degradation-level'!X24</f>
        <v>0</v>
      </c>
      <c r="Q58" s="262">
        <f>'Area(ha)-by-degradation-level'!AB24</f>
        <v>0</v>
      </c>
      <c r="R58" s="263">
        <f>'Area(ha)-by-degradation-level'!AF24</f>
        <v>0</v>
      </c>
      <c r="S58" s="263">
        <f>'Area(ha)-by-degradation-level'!AJ24</f>
        <v>0</v>
      </c>
      <c r="T58" s="263">
        <f>'Area(ha)-by-degradation-level'!AN24</f>
        <v>0</v>
      </c>
      <c r="U58" s="169">
        <f>'Area(ha)-by-degradation-level'!AR24</f>
        <v>0</v>
      </c>
      <c r="V58" s="263">
        <f>'Area(ha)-by-degradation-level'!AV24</f>
        <v>0</v>
      </c>
      <c r="W58" s="263">
        <f>'Area(ha)-by-degradation-level'!AZ24</f>
        <v>0</v>
      </c>
      <c r="X58" s="303" t="e">
        <f t="shared" si="4"/>
        <v>#DIV/0!</v>
      </c>
      <c r="Y58" s="264">
        <f>'Area(ha)-by-degradation-level'!Q24</f>
        <v>0</v>
      </c>
      <c r="Z58" s="264">
        <f>'Area(ha)-by-degradation-level'!U24</f>
        <v>0</v>
      </c>
      <c r="AA58" s="264">
        <f>'Area(ha)-by-degradation-level'!Y24</f>
        <v>0</v>
      </c>
      <c r="AB58" s="264">
        <f>'Area(ha)-by-degradation-level'!AC24</f>
        <v>0</v>
      </c>
      <c r="AC58" s="264">
        <f>'Area(ha)-by-degradation-level'!AG24</f>
        <v>0</v>
      </c>
      <c r="AD58" s="264">
        <f>'Area(ha)-by-degradation-level'!AK24</f>
        <v>0</v>
      </c>
      <c r="AE58" s="264">
        <f>'Area(ha)-by-degradation-level'!AO24</f>
        <v>0</v>
      </c>
      <c r="AF58" s="264">
        <f>'Area(ha)-by-degradation-level'!AS24</f>
        <v>0</v>
      </c>
      <c r="AG58" s="264">
        <f>'Area(ha)-by-degradation-level'!AW24</f>
        <v>0</v>
      </c>
      <c r="AH58" s="304">
        <f>'Area(ha)-by-degradation-level'!BA24</f>
        <v>0</v>
      </c>
      <c r="AI58" s="303" t="e">
        <f t="shared" si="5"/>
        <v>#DIV/0!</v>
      </c>
      <c r="AJ58" s="173" t="b">
        <f t="shared" si="6"/>
        <v>0</v>
      </c>
      <c r="AK58" s="173" t="b">
        <f t="shared" si="7"/>
        <v>0</v>
      </c>
      <c r="AL58" s="173" t="b">
        <f t="shared" si="8"/>
        <v>0</v>
      </c>
      <c r="AM58" s="173" t="b">
        <f t="shared" si="9"/>
        <v>0</v>
      </c>
      <c r="AN58" s="173" t="b">
        <f t="shared" si="10"/>
        <v>0</v>
      </c>
      <c r="AO58" s="173" t="b">
        <f t="shared" si="11"/>
        <v>0</v>
      </c>
      <c r="AP58" s="173" t="b">
        <f t="shared" si="12"/>
        <v>0</v>
      </c>
      <c r="AQ58" s="173" t="b">
        <f t="shared" si="13"/>
        <v>0</v>
      </c>
      <c r="AR58" s="173" t="b">
        <f t="shared" si="14"/>
        <v>0</v>
      </c>
      <c r="AS58" s="173" t="b">
        <f t="shared" si="15"/>
        <v>0</v>
      </c>
      <c r="AT58" s="173" t="e">
        <f t="shared" si="16"/>
        <v>#DIV/0!</v>
      </c>
    </row>
    <row r="59" spans="1:46" x14ac:dyDescent="0.25">
      <c r="A59" s="13">
        <v>21</v>
      </c>
      <c r="B59" s="13" t="s">
        <v>159</v>
      </c>
      <c r="C59" s="206">
        <f>'Area(ha)-by-degradation-level'!O25</f>
        <v>0</v>
      </c>
      <c r="D59" s="206">
        <f>'Area(ha)-by-degradation-level'!S25</f>
        <v>0</v>
      </c>
      <c r="E59" s="262">
        <f>'Area(ha)-by-degradation-level'!W25</f>
        <v>0</v>
      </c>
      <c r="F59" s="262">
        <f>'Area(ha)-by-degradation-level'!AA25</f>
        <v>0</v>
      </c>
      <c r="G59" s="263">
        <f>'Area(ha)-by-degradation-level'!AE25</f>
        <v>0</v>
      </c>
      <c r="H59" s="263">
        <f>'Area(ha)-by-degradation-level'!AI25</f>
        <v>0</v>
      </c>
      <c r="I59" s="263">
        <f>'Area(ha)-by-degradation-level'!AM25</f>
        <v>0</v>
      </c>
      <c r="J59" s="169">
        <f>'Area(ha)-by-degradation-level'!AQ25</f>
        <v>0</v>
      </c>
      <c r="K59" s="263">
        <f>'Area(ha)-by-degradation-level'!AU25</f>
        <v>0</v>
      </c>
      <c r="L59" s="263">
        <f>'Area(ha)-by-degradation-level'!AY25</f>
        <v>0</v>
      </c>
      <c r="M59" s="303" t="e">
        <f t="shared" si="3"/>
        <v>#DIV/0!</v>
      </c>
      <c r="N59" s="206">
        <f>'Area(ha)-by-degradation-level'!P25</f>
        <v>0</v>
      </c>
      <c r="O59" s="206">
        <f>'Area(ha)-by-degradation-level'!T25</f>
        <v>0</v>
      </c>
      <c r="P59" s="262">
        <f>'Area(ha)-by-degradation-level'!X25</f>
        <v>0</v>
      </c>
      <c r="Q59" s="262">
        <f>'Area(ha)-by-degradation-level'!AB25</f>
        <v>0</v>
      </c>
      <c r="R59" s="263">
        <f>'Area(ha)-by-degradation-level'!AF25</f>
        <v>0</v>
      </c>
      <c r="S59" s="263">
        <f>'Area(ha)-by-degradation-level'!AJ25</f>
        <v>0</v>
      </c>
      <c r="T59" s="263">
        <f>'Area(ha)-by-degradation-level'!AN25</f>
        <v>0</v>
      </c>
      <c r="U59" s="169">
        <f>'Area(ha)-by-degradation-level'!AR25</f>
        <v>0</v>
      </c>
      <c r="V59" s="263">
        <f>'Area(ha)-by-degradation-level'!AV25</f>
        <v>0</v>
      </c>
      <c r="W59" s="263">
        <f>'Area(ha)-by-degradation-level'!AZ25</f>
        <v>0</v>
      </c>
      <c r="X59" s="303" t="e">
        <f t="shared" si="4"/>
        <v>#DIV/0!</v>
      </c>
      <c r="Y59" s="264">
        <f>'Area(ha)-by-degradation-level'!Q25</f>
        <v>0</v>
      </c>
      <c r="Z59" s="264">
        <f>'Area(ha)-by-degradation-level'!U25</f>
        <v>0</v>
      </c>
      <c r="AA59" s="264">
        <f>'Area(ha)-by-degradation-level'!Y25</f>
        <v>0</v>
      </c>
      <c r="AB59" s="264">
        <f>'Area(ha)-by-degradation-level'!AC25</f>
        <v>0</v>
      </c>
      <c r="AC59" s="264">
        <f>'Area(ha)-by-degradation-level'!AG25</f>
        <v>0</v>
      </c>
      <c r="AD59" s="264">
        <f>'Area(ha)-by-degradation-level'!AK25</f>
        <v>0</v>
      </c>
      <c r="AE59" s="264">
        <f>'Area(ha)-by-degradation-level'!AO25</f>
        <v>0</v>
      </c>
      <c r="AF59" s="264">
        <f>'Area(ha)-by-degradation-level'!AS25</f>
        <v>0</v>
      </c>
      <c r="AG59" s="264">
        <f>'Area(ha)-by-degradation-level'!AW25</f>
        <v>0</v>
      </c>
      <c r="AH59" s="304">
        <f>'Area(ha)-by-degradation-level'!BA25</f>
        <v>0</v>
      </c>
      <c r="AI59" s="303" t="e">
        <f t="shared" si="5"/>
        <v>#DIV/0!</v>
      </c>
      <c r="AJ59" s="173" t="b">
        <f t="shared" si="6"/>
        <v>0</v>
      </c>
      <c r="AK59" s="173" t="b">
        <f t="shared" si="7"/>
        <v>0</v>
      </c>
      <c r="AL59" s="173" t="b">
        <f t="shared" si="8"/>
        <v>0</v>
      </c>
      <c r="AM59" s="173" t="b">
        <f t="shared" si="9"/>
        <v>0</v>
      </c>
      <c r="AN59" s="173" t="b">
        <f t="shared" si="10"/>
        <v>0</v>
      </c>
      <c r="AO59" s="173" t="b">
        <f t="shared" si="11"/>
        <v>0</v>
      </c>
      <c r="AP59" s="173" t="b">
        <f t="shared" si="12"/>
        <v>0</v>
      </c>
      <c r="AQ59" s="173" t="b">
        <f t="shared" si="13"/>
        <v>0</v>
      </c>
      <c r="AR59" s="173" t="b">
        <f t="shared" si="14"/>
        <v>0</v>
      </c>
      <c r="AS59" s="173" t="b">
        <f t="shared" si="15"/>
        <v>0</v>
      </c>
      <c r="AT59" s="173" t="e">
        <f t="shared" si="16"/>
        <v>#DIV/0!</v>
      </c>
    </row>
    <row r="60" spans="1:46" x14ac:dyDescent="0.25">
      <c r="A60" s="13">
        <v>22</v>
      </c>
      <c r="B60" s="13" t="s">
        <v>160</v>
      </c>
      <c r="C60" s="206">
        <f>'Area(ha)-by-degradation-level'!O26</f>
        <v>0</v>
      </c>
      <c r="D60" s="206">
        <f>'Area(ha)-by-degradation-level'!S26</f>
        <v>0</v>
      </c>
      <c r="E60" s="262">
        <f>'Area(ha)-by-degradation-level'!W26</f>
        <v>0</v>
      </c>
      <c r="F60" s="262">
        <f>'Area(ha)-by-degradation-level'!AA26</f>
        <v>0</v>
      </c>
      <c r="G60" s="263">
        <f>'Area(ha)-by-degradation-level'!AE26</f>
        <v>0</v>
      </c>
      <c r="H60" s="263">
        <f>'Area(ha)-by-degradation-level'!AI26</f>
        <v>0</v>
      </c>
      <c r="I60" s="263">
        <f>'Area(ha)-by-degradation-level'!AM26</f>
        <v>0</v>
      </c>
      <c r="J60" s="169">
        <f>'Area(ha)-by-degradation-level'!AQ26</f>
        <v>0</v>
      </c>
      <c r="K60" s="263">
        <f>'Area(ha)-by-degradation-level'!AU26</f>
        <v>0</v>
      </c>
      <c r="L60" s="263">
        <f>'Area(ha)-by-degradation-level'!AY26</f>
        <v>0</v>
      </c>
      <c r="M60" s="303" t="e">
        <f t="shared" si="3"/>
        <v>#DIV/0!</v>
      </c>
      <c r="N60" s="206">
        <f>'Area(ha)-by-degradation-level'!P26</f>
        <v>0</v>
      </c>
      <c r="O60" s="206">
        <f>'Area(ha)-by-degradation-level'!T26</f>
        <v>0</v>
      </c>
      <c r="P60" s="262">
        <f>'Area(ha)-by-degradation-level'!X26</f>
        <v>0</v>
      </c>
      <c r="Q60" s="262">
        <f>'Area(ha)-by-degradation-level'!AB26</f>
        <v>0</v>
      </c>
      <c r="R60" s="263">
        <f>'Area(ha)-by-degradation-level'!AF26</f>
        <v>0</v>
      </c>
      <c r="S60" s="263">
        <f>'Area(ha)-by-degradation-level'!AJ26</f>
        <v>0</v>
      </c>
      <c r="T60" s="263">
        <f>'Area(ha)-by-degradation-level'!AN26</f>
        <v>0</v>
      </c>
      <c r="U60" s="169">
        <f>'Area(ha)-by-degradation-level'!AR26</f>
        <v>0</v>
      </c>
      <c r="V60" s="263">
        <f>'Area(ha)-by-degradation-level'!AV26</f>
        <v>0</v>
      </c>
      <c r="W60" s="263">
        <f>'Area(ha)-by-degradation-level'!AZ26</f>
        <v>0</v>
      </c>
      <c r="X60" s="303" t="e">
        <f t="shared" si="4"/>
        <v>#DIV/0!</v>
      </c>
      <c r="Y60" s="264">
        <f>'Area(ha)-by-degradation-level'!Q26</f>
        <v>0</v>
      </c>
      <c r="Z60" s="264">
        <f>'Area(ha)-by-degradation-level'!U26</f>
        <v>0</v>
      </c>
      <c r="AA60" s="264">
        <f>'Area(ha)-by-degradation-level'!Y26</f>
        <v>0</v>
      </c>
      <c r="AB60" s="264">
        <f>'Area(ha)-by-degradation-level'!AC26</f>
        <v>0</v>
      </c>
      <c r="AC60" s="264">
        <f>'Area(ha)-by-degradation-level'!AG26</f>
        <v>0</v>
      </c>
      <c r="AD60" s="264">
        <f>'Area(ha)-by-degradation-level'!AK26</f>
        <v>0</v>
      </c>
      <c r="AE60" s="264">
        <f>'Area(ha)-by-degradation-level'!AO26</f>
        <v>0</v>
      </c>
      <c r="AF60" s="264">
        <f>'Area(ha)-by-degradation-level'!AS26</f>
        <v>0</v>
      </c>
      <c r="AG60" s="264">
        <f>'Area(ha)-by-degradation-level'!AW26</f>
        <v>0</v>
      </c>
      <c r="AH60" s="304">
        <f>'Area(ha)-by-degradation-level'!BA26</f>
        <v>0</v>
      </c>
      <c r="AI60" s="303" t="e">
        <f t="shared" si="5"/>
        <v>#DIV/0!</v>
      </c>
      <c r="AJ60" s="173" t="b">
        <f t="shared" si="6"/>
        <v>0</v>
      </c>
      <c r="AK60" s="173" t="b">
        <f t="shared" si="7"/>
        <v>0</v>
      </c>
      <c r="AL60" s="173" t="b">
        <f t="shared" si="8"/>
        <v>0</v>
      </c>
      <c r="AM60" s="173" t="b">
        <f t="shared" si="9"/>
        <v>0</v>
      </c>
      <c r="AN60" s="173" t="b">
        <f t="shared" si="10"/>
        <v>0</v>
      </c>
      <c r="AO60" s="173" t="b">
        <f t="shared" si="11"/>
        <v>0</v>
      </c>
      <c r="AP60" s="173" t="b">
        <f t="shared" si="12"/>
        <v>0</v>
      </c>
      <c r="AQ60" s="173" t="b">
        <f t="shared" si="13"/>
        <v>0</v>
      </c>
      <c r="AR60" s="173" t="b">
        <f t="shared" si="14"/>
        <v>0</v>
      </c>
      <c r="AS60" s="173" t="b">
        <f t="shared" si="15"/>
        <v>0</v>
      </c>
      <c r="AT60" s="173" t="e">
        <f t="shared" si="16"/>
        <v>#DIV/0!</v>
      </c>
    </row>
    <row r="61" spans="1:46" x14ac:dyDescent="0.25">
      <c r="A61" s="13">
        <v>23</v>
      </c>
      <c r="B61" s="13" t="s">
        <v>161</v>
      </c>
      <c r="C61" s="206">
        <f>'Area(ha)-by-degradation-level'!O27</f>
        <v>0</v>
      </c>
      <c r="D61" s="206">
        <f>'Area(ha)-by-degradation-level'!S27</f>
        <v>0</v>
      </c>
      <c r="E61" s="262">
        <f>'Area(ha)-by-degradation-level'!W27</f>
        <v>0</v>
      </c>
      <c r="F61" s="262">
        <f>'Area(ha)-by-degradation-level'!AA27</f>
        <v>0</v>
      </c>
      <c r="G61" s="263">
        <f>'Area(ha)-by-degradation-level'!AE27</f>
        <v>0</v>
      </c>
      <c r="H61" s="263">
        <f>'Area(ha)-by-degradation-level'!AI27</f>
        <v>0</v>
      </c>
      <c r="I61" s="263">
        <f>'Area(ha)-by-degradation-level'!AM27</f>
        <v>0</v>
      </c>
      <c r="J61" s="169">
        <f>'Area(ha)-by-degradation-level'!AQ27</f>
        <v>0</v>
      </c>
      <c r="K61" s="263">
        <f>'Area(ha)-by-degradation-level'!AU27</f>
        <v>0</v>
      </c>
      <c r="L61" s="263">
        <f>'Area(ha)-by-degradation-level'!AY27</f>
        <v>0</v>
      </c>
      <c r="M61" s="303" t="e">
        <f t="shared" si="3"/>
        <v>#DIV/0!</v>
      </c>
      <c r="N61" s="206">
        <f>'Area(ha)-by-degradation-level'!P27</f>
        <v>0</v>
      </c>
      <c r="O61" s="206">
        <f>'Area(ha)-by-degradation-level'!T27</f>
        <v>0</v>
      </c>
      <c r="P61" s="262">
        <f>'Area(ha)-by-degradation-level'!X27</f>
        <v>0</v>
      </c>
      <c r="Q61" s="262">
        <f>'Area(ha)-by-degradation-level'!AB27</f>
        <v>0</v>
      </c>
      <c r="R61" s="263">
        <f>'Area(ha)-by-degradation-level'!AF27</f>
        <v>0</v>
      </c>
      <c r="S61" s="263">
        <f>'Area(ha)-by-degradation-level'!AJ27</f>
        <v>0</v>
      </c>
      <c r="T61" s="263">
        <f>'Area(ha)-by-degradation-level'!AN27</f>
        <v>0</v>
      </c>
      <c r="U61" s="169">
        <f>'Area(ha)-by-degradation-level'!AR27</f>
        <v>0</v>
      </c>
      <c r="V61" s="263">
        <f>'Area(ha)-by-degradation-level'!AV27</f>
        <v>0</v>
      </c>
      <c r="W61" s="263">
        <f>'Area(ha)-by-degradation-level'!AZ27</f>
        <v>0</v>
      </c>
      <c r="X61" s="303" t="e">
        <f t="shared" si="4"/>
        <v>#DIV/0!</v>
      </c>
      <c r="Y61" s="264">
        <f>'Area(ha)-by-degradation-level'!Q27</f>
        <v>0</v>
      </c>
      <c r="Z61" s="264">
        <f>'Area(ha)-by-degradation-level'!U27</f>
        <v>0</v>
      </c>
      <c r="AA61" s="264">
        <f>'Area(ha)-by-degradation-level'!Y27</f>
        <v>0</v>
      </c>
      <c r="AB61" s="264">
        <f>'Area(ha)-by-degradation-level'!AC27</f>
        <v>0</v>
      </c>
      <c r="AC61" s="264">
        <f>'Area(ha)-by-degradation-level'!AG27</f>
        <v>0</v>
      </c>
      <c r="AD61" s="264">
        <f>'Area(ha)-by-degradation-level'!AK27</f>
        <v>0</v>
      </c>
      <c r="AE61" s="264">
        <f>'Area(ha)-by-degradation-level'!AO27</f>
        <v>0</v>
      </c>
      <c r="AF61" s="264">
        <f>'Area(ha)-by-degradation-level'!AS27</f>
        <v>0</v>
      </c>
      <c r="AG61" s="264">
        <f>'Area(ha)-by-degradation-level'!AW27</f>
        <v>0</v>
      </c>
      <c r="AH61" s="304">
        <f>'Area(ha)-by-degradation-level'!BA27</f>
        <v>0</v>
      </c>
      <c r="AI61" s="303" t="e">
        <f t="shared" si="5"/>
        <v>#DIV/0!</v>
      </c>
      <c r="AJ61" s="173" t="b">
        <f t="shared" si="6"/>
        <v>0</v>
      </c>
      <c r="AK61" s="173" t="b">
        <f t="shared" si="7"/>
        <v>0</v>
      </c>
      <c r="AL61" s="173" t="b">
        <f t="shared" si="8"/>
        <v>0</v>
      </c>
      <c r="AM61" s="173" t="b">
        <f t="shared" si="9"/>
        <v>0</v>
      </c>
      <c r="AN61" s="173" t="b">
        <f t="shared" si="10"/>
        <v>0</v>
      </c>
      <c r="AO61" s="173" t="b">
        <f t="shared" si="11"/>
        <v>0</v>
      </c>
      <c r="AP61" s="173" t="b">
        <f t="shared" si="12"/>
        <v>0</v>
      </c>
      <c r="AQ61" s="173" t="b">
        <f t="shared" si="13"/>
        <v>0</v>
      </c>
      <c r="AR61" s="173" t="b">
        <f t="shared" si="14"/>
        <v>0</v>
      </c>
      <c r="AS61" s="173" t="b">
        <f t="shared" si="15"/>
        <v>0</v>
      </c>
      <c r="AT61" s="173" t="e">
        <f t="shared" si="16"/>
        <v>#DIV/0!</v>
      </c>
    </row>
    <row r="62" spans="1:46" x14ac:dyDescent="0.25">
      <c r="A62" s="13">
        <v>24</v>
      </c>
      <c r="B62" s="13" t="s">
        <v>162</v>
      </c>
      <c r="C62" s="206">
        <f>'Area(ha)-by-degradation-level'!O28</f>
        <v>0</v>
      </c>
      <c r="D62" s="206">
        <f>'Area(ha)-by-degradation-level'!S28</f>
        <v>0</v>
      </c>
      <c r="E62" s="262">
        <f>'Area(ha)-by-degradation-level'!W28</f>
        <v>0</v>
      </c>
      <c r="F62" s="262">
        <f>'Area(ha)-by-degradation-level'!AA28</f>
        <v>0</v>
      </c>
      <c r="G62" s="263">
        <f>'Area(ha)-by-degradation-level'!AE28</f>
        <v>0</v>
      </c>
      <c r="H62" s="263">
        <f>'Area(ha)-by-degradation-level'!AI28</f>
        <v>0</v>
      </c>
      <c r="I62" s="263">
        <f>'Area(ha)-by-degradation-level'!AM28</f>
        <v>0</v>
      </c>
      <c r="J62" s="169">
        <f>'Area(ha)-by-degradation-level'!AQ28</f>
        <v>0</v>
      </c>
      <c r="K62" s="263">
        <f>'Area(ha)-by-degradation-level'!AU28</f>
        <v>0</v>
      </c>
      <c r="L62" s="263">
        <f>'Area(ha)-by-degradation-level'!AY28</f>
        <v>0</v>
      </c>
      <c r="M62" s="303" t="e">
        <f t="shared" si="3"/>
        <v>#DIV/0!</v>
      </c>
      <c r="N62" s="206">
        <f>'Area(ha)-by-degradation-level'!P28</f>
        <v>0</v>
      </c>
      <c r="O62" s="206">
        <f>'Area(ha)-by-degradation-level'!T28</f>
        <v>0</v>
      </c>
      <c r="P62" s="262">
        <f>'Area(ha)-by-degradation-level'!X28</f>
        <v>0</v>
      </c>
      <c r="Q62" s="262">
        <f>'Area(ha)-by-degradation-level'!AB28</f>
        <v>0</v>
      </c>
      <c r="R62" s="263">
        <f>'Area(ha)-by-degradation-level'!AF28</f>
        <v>0</v>
      </c>
      <c r="S62" s="263">
        <f>'Area(ha)-by-degradation-level'!AJ28</f>
        <v>0</v>
      </c>
      <c r="T62" s="263">
        <f>'Area(ha)-by-degradation-level'!AN28</f>
        <v>0</v>
      </c>
      <c r="U62" s="169">
        <f>'Area(ha)-by-degradation-level'!AR28</f>
        <v>0</v>
      </c>
      <c r="V62" s="263">
        <f>'Area(ha)-by-degradation-level'!AV28</f>
        <v>0</v>
      </c>
      <c r="W62" s="263">
        <f>'Area(ha)-by-degradation-level'!AZ28</f>
        <v>0</v>
      </c>
      <c r="X62" s="303" t="e">
        <f t="shared" si="4"/>
        <v>#DIV/0!</v>
      </c>
      <c r="Y62" s="264">
        <f>'Area(ha)-by-degradation-level'!Q28</f>
        <v>0</v>
      </c>
      <c r="Z62" s="264">
        <f>'Area(ha)-by-degradation-level'!U28</f>
        <v>0</v>
      </c>
      <c r="AA62" s="264">
        <f>'Area(ha)-by-degradation-level'!Y28</f>
        <v>0</v>
      </c>
      <c r="AB62" s="264">
        <f>'Area(ha)-by-degradation-level'!AC28</f>
        <v>0</v>
      </c>
      <c r="AC62" s="264">
        <f>'Area(ha)-by-degradation-level'!AG28</f>
        <v>0</v>
      </c>
      <c r="AD62" s="264">
        <f>'Area(ha)-by-degradation-level'!AK28</f>
        <v>0</v>
      </c>
      <c r="AE62" s="264">
        <f>'Area(ha)-by-degradation-level'!AO28</f>
        <v>0</v>
      </c>
      <c r="AF62" s="264">
        <f>'Area(ha)-by-degradation-level'!AS28</f>
        <v>0</v>
      </c>
      <c r="AG62" s="264">
        <f>'Area(ha)-by-degradation-level'!AW28</f>
        <v>0</v>
      </c>
      <c r="AH62" s="304">
        <f>'Area(ha)-by-degradation-level'!BA28</f>
        <v>0</v>
      </c>
      <c r="AI62" s="303" t="e">
        <f t="shared" si="5"/>
        <v>#DIV/0!</v>
      </c>
      <c r="AJ62" s="173" t="b">
        <f t="shared" si="6"/>
        <v>0</v>
      </c>
      <c r="AK62" s="173" t="b">
        <f t="shared" si="7"/>
        <v>0</v>
      </c>
      <c r="AL62" s="173" t="b">
        <f t="shared" si="8"/>
        <v>0</v>
      </c>
      <c r="AM62" s="173" t="b">
        <f t="shared" si="9"/>
        <v>0</v>
      </c>
      <c r="AN62" s="173" t="b">
        <f t="shared" si="10"/>
        <v>0</v>
      </c>
      <c r="AO62" s="173" t="b">
        <f t="shared" si="11"/>
        <v>0</v>
      </c>
      <c r="AP62" s="173" t="b">
        <f t="shared" si="12"/>
        <v>0</v>
      </c>
      <c r="AQ62" s="173" t="b">
        <f t="shared" si="13"/>
        <v>0</v>
      </c>
      <c r="AR62" s="173" t="b">
        <f t="shared" si="14"/>
        <v>0</v>
      </c>
      <c r="AS62" s="173" t="b">
        <f t="shared" si="15"/>
        <v>0</v>
      </c>
      <c r="AT62" s="173" t="e">
        <f t="shared" si="16"/>
        <v>#DIV/0!</v>
      </c>
    </row>
    <row r="63" spans="1:46" x14ac:dyDescent="0.25">
      <c r="A63" s="13"/>
      <c r="B63" s="15" t="s">
        <v>163</v>
      </c>
      <c r="C63" s="206" t="e">
        <f>'Area(ha)-by-degradation-level'!O29</f>
        <v>#DIV/0!</v>
      </c>
      <c r="D63" s="206" t="e">
        <f>'Area(ha)-by-degradation-level'!S29</f>
        <v>#DIV/0!</v>
      </c>
      <c r="E63" s="262" t="e">
        <f>'Area(ha)-by-degradation-level'!W29</f>
        <v>#DIV/0!</v>
      </c>
      <c r="F63" s="262" t="e">
        <f>'Area(ha)-by-degradation-level'!AA29</f>
        <v>#DIV/0!</v>
      </c>
      <c r="G63" s="263" t="e">
        <f>'Area(ha)-by-degradation-level'!AE29</f>
        <v>#DIV/0!</v>
      </c>
      <c r="H63" s="263" t="e">
        <f>'Area(ha)-by-degradation-level'!AI29</f>
        <v>#DIV/0!</v>
      </c>
      <c r="I63" s="263" t="e">
        <f>'Area(ha)-by-degradation-level'!AM29</f>
        <v>#DIV/0!</v>
      </c>
      <c r="J63" s="169" t="e">
        <f>'Area(ha)-by-degradation-level'!AQ29</f>
        <v>#DIV/0!</v>
      </c>
      <c r="K63" s="263" t="e">
        <f>'Area(ha)-by-degradation-level'!AU29</f>
        <v>#DIV/0!</v>
      </c>
      <c r="L63" s="263" t="e">
        <f>'Area(ha)-by-degradation-level'!AY29</f>
        <v>#DIV/0!</v>
      </c>
      <c r="M63" s="303" t="e">
        <f>($C29/$M29)*C63+($D29/$M29)*D63+($E29/$M29)*E63+($F29/$M29)*F63+($G29/$M29)*G63+($H29/$M29)*H63+($I29/$M29)*I63+($J29/$M29)*J63+($K29/$M29)*K63+($L29/$M29)*L63</f>
        <v>#DIV/0!</v>
      </c>
      <c r="N63" s="206" t="e">
        <f>'Area(ha)-by-degradation-level'!P29</f>
        <v>#DIV/0!</v>
      </c>
      <c r="O63" s="206" t="e">
        <f>'Area(ha)-by-degradation-level'!T29</f>
        <v>#DIV/0!</v>
      </c>
      <c r="P63" s="262" t="e">
        <f>'Area(ha)-by-degradation-level'!X29</f>
        <v>#DIV/0!</v>
      </c>
      <c r="Q63" s="262" t="e">
        <f>'Area(ha)-by-degradation-level'!AB29</f>
        <v>#DIV/0!</v>
      </c>
      <c r="R63" s="263" t="e">
        <f>'Area(ha)-by-degradation-level'!AF29</f>
        <v>#DIV/0!</v>
      </c>
      <c r="S63" s="263" t="e">
        <f>'Area(ha)-by-degradation-level'!AJ29</f>
        <v>#DIV/0!</v>
      </c>
      <c r="T63" s="263" t="e">
        <f>'Area(ha)-by-degradation-level'!AN29</f>
        <v>#DIV/0!</v>
      </c>
      <c r="U63" s="169" t="e">
        <f>'Area(ha)-by-degradation-level'!AR29</f>
        <v>#DIV/0!</v>
      </c>
      <c r="V63" s="263" t="e">
        <f>'Area(ha)-by-degradation-level'!AV29</f>
        <v>#DIV/0!</v>
      </c>
      <c r="W63" s="263" t="e">
        <f>'Area(ha)-by-degradation-level'!AZ29</f>
        <v>#DIV/0!</v>
      </c>
      <c r="X63" s="303" t="e">
        <f t="shared" si="4"/>
        <v>#DIV/0!</v>
      </c>
      <c r="Y63" s="264" t="e">
        <f>'Area(ha)-by-degradation-level'!Q29</f>
        <v>#DIV/0!</v>
      </c>
      <c r="Z63" s="264" t="e">
        <f>'Area(ha)-by-degradation-level'!U29</f>
        <v>#DIV/0!</v>
      </c>
      <c r="AA63" s="264" t="e">
        <f>'Area(ha)-by-degradation-level'!Y29</f>
        <v>#DIV/0!</v>
      </c>
      <c r="AB63" s="264" t="e">
        <f>'Area(ha)-by-degradation-level'!AC29</f>
        <v>#DIV/0!</v>
      </c>
      <c r="AC63" s="264" t="e">
        <f>'Area(ha)-by-degradation-level'!AG29</f>
        <v>#DIV/0!</v>
      </c>
      <c r="AD63" s="264" t="e">
        <f>'Area(ha)-by-degradation-level'!AK29</f>
        <v>#DIV/0!</v>
      </c>
      <c r="AE63" s="264" t="e">
        <f>'Area(ha)-by-degradation-level'!AO29</f>
        <v>#DIV/0!</v>
      </c>
      <c r="AF63" s="264" t="e">
        <f>'Area(ha)-by-degradation-level'!AS29</f>
        <v>#DIV/0!</v>
      </c>
      <c r="AG63" s="264" t="e">
        <f>'Area(ha)-by-degradation-level'!AW29</f>
        <v>#DIV/0!</v>
      </c>
      <c r="AH63" s="304" t="e">
        <f>'Area(ha)-by-degradation-level'!BA29</f>
        <v>#DIV/0!</v>
      </c>
      <c r="AI63" s="303" t="e">
        <f t="shared" si="5"/>
        <v>#DIV/0!</v>
      </c>
      <c r="AJ63" s="173" t="e">
        <f t="shared" si="6"/>
        <v>#DIV/0!</v>
      </c>
      <c r="AK63" s="173" t="e">
        <f t="shared" si="7"/>
        <v>#DIV/0!</v>
      </c>
      <c r="AL63" s="173" t="e">
        <f t="shared" si="8"/>
        <v>#DIV/0!</v>
      </c>
      <c r="AM63" s="173" t="e">
        <f t="shared" si="9"/>
        <v>#DIV/0!</v>
      </c>
      <c r="AN63" s="173" t="e">
        <f t="shared" si="10"/>
        <v>#DIV/0!</v>
      </c>
      <c r="AO63" s="173" t="e">
        <f t="shared" si="11"/>
        <v>#DIV/0!</v>
      </c>
      <c r="AP63" s="173" t="e">
        <f t="shared" si="12"/>
        <v>#DIV/0!</v>
      </c>
      <c r="AQ63" s="173" t="e">
        <f t="shared" si="13"/>
        <v>#DIV/0!</v>
      </c>
      <c r="AR63" s="173" t="e">
        <f t="shared" si="14"/>
        <v>#DIV/0!</v>
      </c>
      <c r="AS63" s="173" t="e">
        <f t="shared" si="15"/>
        <v>#DIV/0!</v>
      </c>
      <c r="AT63" s="173" t="e">
        <f t="shared" si="16"/>
        <v>#DIV/0!</v>
      </c>
    </row>
    <row r="66" spans="1:46" ht="14.45" customHeight="1" x14ac:dyDescent="0.25">
      <c r="B66" s="756" t="s">
        <v>101</v>
      </c>
      <c r="C66" s="759" t="s">
        <v>214</v>
      </c>
      <c r="D66" s="759"/>
      <c r="E66" s="759"/>
      <c r="F66" s="759"/>
      <c r="G66" s="759"/>
      <c r="H66" s="759"/>
      <c r="I66" s="759"/>
      <c r="J66" s="759"/>
      <c r="K66" s="759"/>
      <c r="L66" s="759"/>
      <c r="M66" s="759"/>
      <c r="N66" s="759" t="s">
        <v>215</v>
      </c>
      <c r="O66" s="759"/>
      <c r="P66" s="759"/>
      <c r="Q66" s="759"/>
      <c r="R66" s="759"/>
      <c r="S66" s="759"/>
      <c r="T66" s="759"/>
      <c r="U66" s="759"/>
      <c r="V66" s="759"/>
      <c r="W66" s="759"/>
      <c r="X66" s="759"/>
      <c r="Y66" s="759" t="s">
        <v>216</v>
      </c>
      <c r="Z66" s="759"/>
      <c r="AA66" s="759"/>
      <c r="AB66" s="759"/>
      <c r="AC66" s="759"/>
      <c r="AD66" s="759"/>
      <c r="AE66" s="759"/>
      <c r="AF66" s="759"/>
      <c r="AG66" s="759"/>
      <c r="AH66" s="759"/>
      <c r="AI66" s="759"/>
      <c r="AJ66" s="759" t="s">
        <v>217</v>
      </c>
      <c r="AK66" s="759"/>
      <c r="AL66" s="759"/>
      <c r="AM66" s="759"/>
      <c r="AN66" s="759"/>
      <c r="AO66" s="759"/>
      <c r="AP66" s="759"/>
      <c r="AQ66" s="759"/>
      <c r="AR66" s="759"/>
      <c r="AS66" s="759"/>
      <c r="AT66" s="759"/>
    </row>
    <row r="67" spans="1:46" ht="45" x14ac:dyDescent="0.25">
      <c r="B67" s="756"/>
      <c r="C67" s="16" t="s">
        <v>24</v>
      </c>
      <c r="D67" s="16" t="s">
        <v>26</v>
      </c>
      <c r="E67" s="85" t="s">
        <v>28</v>
      </c>
      <c r="F67" s="85" t="s">
        <v>30</v>
      </c>
      <c r="G67" s="85" t="s">
        <v>210</v>
      </c>
      <c r="H67" s="85" t="s">
        <v>131</v>
      </c>
      <c r="I67" s="85" t="s">
        <v>211</v>
      </c>
      <c r="J67" s="399" t="s">
        <v>38</v>
      </c>
      <c r="K67" s="85" t="s">
        <v>212</v>
      </c>
      <c r="L67" s="85" t="s">
        <v>125</v>
      </c>
      <c r="M67" s="174" t="s">
        <v>213</v>
      </c>
      <c r="N67" s="16" t="s">
        <v>24</v>
      </c>
      <c r="O67" s="16" t="s">
        <v>26</v>
      </c>
      <c r="P67" s="85" t="s">
        <v>28</v>
      </c>
      <c r="Q67" s="85" t="s">
        <v>30</v>
      </c>
      <c r="R67" s="85" t="s">
        <v>210</v>
      </c>
      <c r="S67" s="85" t="s">
        <v>131</v>
      </c>
      <c r="T67" s="85" t="s">
        <v>211</v>
      </c>
      <c r="U67" s="399" t="s">
        <v>38</v>
      </c>
      <c r="V67" s="85" t="s">
        <v>212</v>
      </c>
      <c r="W67" s="85" t="s">
        <v>125</v>
      </c>
      <c r="X67" s="174" t="s">
        <v>213</v>
      </c>
      <c r="Y67" s="16" t="s">
        <v>24</v>
      </c>
      <c r="Z67" s="16" t="s">
        <v>26</v>
      </c>
      <c r="AA67" s="85" t="s">
        <v>28</v>
      </c>
      <c r="AB67" s="85" t="s">
        <v>30</v>
      </c>
      <c r="AC67" s="85" t="s">
        <v>210</v>
      </c>
      <c r="AD67" s="85" t="s">
        <v>131</v>
      </c>
      <c r="AE67" s="85" t="s">
        <v>211</v>
      </c>
      <c r="AF67" s="399" t="s">
        <v>38</v>
      </c>
      <c r="AG67" s="85" t="s">
        <v>212</v>
      </c>
      <c r="AH67" s="85" t="s">
        <v>125</v>
      </c>
      <c r="AI67" s="174" t="s">
        <v>120</v>
      </c>
      <c r="AJ67" s="16" t="s">
        <v>24</v>
      </c>
      <c r="AK67" s="16" t="s">
        <v>26</v>
      </c>
      <c r="AL67" s="85" t="s">
        <v>28</v>
      </c>
      <c r="AM67" s="85" t="s">
        <v>30</v>
      </c>
      <c r="AN67" s="85" t="s">
        <v>210</v>
      </c>
      <c r="AO67" s="85" t="s">
        <v>131</v>
      </c>
      <c r="AP67" s="85" t="s">
        <v>211</v>
      </c>
      <c r="AQ67" s="399" t="s">
        <v>38</v>
      </c>
      <c r="AR67" s="85" t="s">
        <v>212</v>
      </c>
      <c r="AS67" s="85" t="s">
        <v>125</v>
      </c>
      <c r="AT67" s="174" t="s">
        <v>120</v>
      </c>
    </row>
    <row r="68" spans="1:46" x14ac:dyDescent="0.25">
      <c r="A68" s="272">
        <v>1</v>
      </c>
      <c r="B68" s="272" t="s">
        <v>139</v>
      </c>
      <c r="C68" s="567"/>
      <c r="D68" s="567"/>
      <c r="E68" s="567"/>
      <c r="F68" s="567"/>
      <c r="G68" s="567"/>
      <c r="H68" s="567"/>
      <c r="I68" s="567"/>
      <c r="J68" s="567"/>
      <c r="K68" s="567"/>
      <c r="L68" s="567"/>
      <c r="M68" s="568" t="e">
        <f>($C5/$M5)*C68+($D5/$M5)*D68+($E5/$M5)*E68+($F5/$M5)*F68+($G5/$M5)*G68+($H5/$M5)*H68+($I5/$M5)*I68+($J5/$M5)*J68+($K5/$M5)*K68+($L5/$M5)*L68</f>
        <v>#DIV/0!</v>
      </c>
      <c r="N68" s="567"/>
      <c r="O68" s="567"/>
      <c r="P68" s="567"/>
      <c r="Q68" s="567"/>
      <c r="R68" s="567"/>
      <c r="S68" s="567"/>
      <c r="T68" s="567"/>
      <c r="U68" s="567"/>
      <c r="V68" s="567"/>
      <c r="W68" s="567"/>
      <c r="X68" s="568" t="e">
        <f>($C5/$M5)*N68+($D5/$M5)*O68+($E5/$M5)*P68+($F5/$M5)*Q68+($G5/$M5)*R68+($H5/$M5)*S68+($I5/$M5)*T68+($J5/$M5)*U68+($K5/$M5)*V68+($L5/$M5)*W68</f>
        <v>#DIV/0!</v>
      </c>
      <c r="Y68" s="567"/>
      <c r="Z68" s="567"/>
      <c r="AA68" s="567"/>
      <c r="AB68" s="567"/>
      <c r="AC68" s="567"/>
      <c r="AD68" s="567"/>
      <c r="AE68" s="567"/>
      <c r="AF68" s="567"/>
      <c r="AG68" s="567"/>
      <c r="AH68" s="567"/>
      <c r="AI68" s="568" t="e">
        <f>($C5/$M5)*Y68+($D5/$M5)*Z68+($E5/$M5)*AA68+($F5/$M5)*AB68+($G5/$M5)*AC68+($H5/$M5)*AD68+($I5/$M5)*AE68+($J5/$M5)*AF68+($K5/$M5)*AG68+($L5/$M5)*AH68</f>
        <v>#DIV/0!</v>
      </c>
      <c r="AJ68" s="404">
        <f>C68*C39+N39*N68+Y39*Y68</f>
        <v>0</v>
      </c>
      <c r="AK68" s="404">
        <f t="shared" ref="AK68:AT68" si="17">D68*D39+O39*O68+Z39*Z68</f>
        <v>0</v>
      </c>
      <c r="AL68" s="404">
        <f t="shared" si="17"/>
        <v>0</v>
      </c>
      <c r="AM68" s="404">
        <f t="shared" si="17"/>
        <v>0</v>
      </c>
      <c r="AN68" s="404">
        <f t="shared" si="17"/>
        <v>0</v>
      </c>
      <c r="AO68" s="404">
        <f t="shared" si="17"/>
        <v>0</v>
      </c>
      <c r="AP68" s="404">
        <f t="shared" si="17"/>
        <v>0</v>
      </c>
      <c r="AQ68" s="404">
        <f t="shared" si="17"/>
        <v>0</v>
      </c>
      <c r="AR68" s="404">
        <f t="shared" si="17"/>
        <v>0</v>
      </c>
      <c r="AS68" s="404">
        <f t="shared" si="17"/>
        <v>0</v>
      </c>
      <c r="AT68" s="404" t="e">
        <f t="shared" si="17"/>
        <v>#DIV/0!</v>
      </c>
    </row>
    <row r="69" spans="1:46" x14ac:dyDescent="0.25">
      <c r="A69" s="13">
        <v>2</v>
      </c>
      <c r="B69" s="13" t="s">
        <v>140</v>
      </c>
      <c r="C69" s="567"/>
      <c r="D69" s="567"/>
      <c r="E69" s="567"/>
      <c r="F69" s="567"/>
      <c r="G69" s="567"/>
      <c r="H69" s="567"/>
      <c r="I69" s="567"/>
      <c r="J69" s="567"/>
      <c r="K69" s="567"/>
      <c r="L69" s="567"/>
      <c r="M69" s="568" t="e">
        <f t="shared" ref="M69:M91" si="18">($C6/$M6)*C69+($D6/$M6)*D69+($E6/$M6)*E69+($F6/$M6)*F69+($G6/$M6)*G69+($H6/$M6)*H69+($I6/$M6)*I69+($J6/$M6)*J69+($K6/$M6)*K69+($L6/$M6)*L69</f>
        <v>#DIV/0!</v>
      </c>
      <c r="N69" s="567"/>
      <c r="O69" s="567"/>
      <c r="P69" s="567"/>
      <c r="Q69" s="567"/>
      <c r="R69" s="567"/>
      <c r="S69" s="567"/>
      <c r="T69" s="567"/>
      <c r="U69" s="567"/>
      <c r="V69" s="567"/>
      <c r="W69" s="567"/>
      <c r="X69" s="568" t="e">
        <f t="shared" ref="X69:X91" si="19">($C6/$M6)*N69+($D6/$M6)*O69+($E6/$M6)*P69+($F6/$M6)*Q69+($G6/$M6)*R69+($H6/$M6)*S69+($I6/$M6)*T69+($J6/$M6)*U69+($K6/$M6)*V69+($L6/$M6)*W69</f>
        <v>#DIV/0!</v>
      </c>
      <c r="Y69" s="567"/>
      <c r="Z69" s="567"/>
      <c r="AA69" s="567"/>
      <c r="AB69" s="567"/>
      <c r="AC69" s="567"/>
      <c r="AD69" s="567"/>
      <c r="AE69" s="567"/>
      <c r="AF69" s="567"/>
      <c r="AG69" s="567"/>
      <c r="AH69" s="567"/>
      <c r="AI69" s="568" t="e">
        <f t="shared" ref="AI69:AI91" si="20">($C6/$M6)*Y69+($D6/$M6)*Z69+($E6/$M6)*AA69+($F6/$M6)*AB69+($G6/$M6)*AC69+($H6/$M6)*AD69+($I6/$M6)*AE69+($J6/$M6)*AF69+($K6/$M6)*AG69+($L6/$M6)*AH69</f>
        <v>#DIV/0!</v>
      </c>
      <c r="AJ69" s="404">
        <f t="shared" ref="AJ69:AJ91" si="21">C69*C40+N40*N69+Y40*Y69</f>
        <v>0</v>
      </c>
      <c r="AK69" s="404">
        <f t="shared" ref="AK69:AK91" si="22">D69*D40+O40*O69+Z40*Z69</f>
        <v>0</v>
      </c>
      <c r="AL69" s="404">
        <f t="shared" ref="AL69:AL91" si="23">E69*E40+P40*P69+AA40*AA69</f>
        <v>0</v>
      </c>
      <c r="AM69" s="404">
        <f t="shared" ref="AM69:AM91" si="24">F69*F40+Q40*Q69+AB40*AB69</f>
        <v>0</v>
      </c>
      <c r="AN69" s="404">
        <f t="shared" ref="AN69:AN91" si="25">G69*G40+R40*R69+AC40*AC69</f>
        <v>0</v>
      </c>
      <c r="AO69" s="404">
        <f t="shared" ref="AO69:AO91" si="26">H69*H40+S40*S69+AD40*AD69</f>
        <v>0</v>
      </c>
      <c r="AP69" s="404">
        <f t="shared" ref="AP69:AP91" si="27">I69*I40+T40*T69+AE40*AE69</f>
        <v>0</v>
      </c>
      <c r="AQ69" s="404">
        <f t="shared" ref="AQ69:AQ91" si="28">J69*J40+U40*U69+AF40*AF69</f>
        <v>0</v>
      </c>
      <c r="AR69" s="404">
        <f t="shared" ref="AR69:AR91" si="29">K69*K40+V40*V69+AG40*AG69</f>
        <v>0</v>
      </c>
      <c r="AS69" s="404">
        <f t="shared" ref="AS69:AS91" si="30">L69*L40+W40*W69+AH40*AH69</f>
        <v>0</v>
      </c>
      <c r="AT69" s="404" t="e">
        <f t="shared" ref="AT69:AT91" si="31">M69*M40+X40*X69+AI40*AI69</f>
        <v>#DIV/0!</v>
      </c>
    </row>
    <row r="70" spans="1:46" x14ac:dyDescent="0.25">
      <c r="A70" s="13">
        <v>3</v>
      </c>
      <c r="B70" s="13" t="s">
        <v>141</v>
      </c>
      <c r="C70" s="567"/>
      <c r="D70" s="567"/>
      <c r="E70" s="567"/>
      <c r="F70" s="567"/>
      <c r="G70" s="567"/>
      <c r="H70" s="567"/>
      <c r="I70" s="567"/>
      <c r="J70" s="567"/>
      <c r="K70" s="567"/>
      <c r="L70" s="567"/>
      <c r="M70" s="568" t="e">
        <f t="shared" si="18"/>
        <v>#DIV/0!</v>
      </c>
      <c r="N70" s="567"/>
      <c r="O70" s="567"/>
      <c r="P70" s="567"/>
      <c r="Q70" s="567"/>
      <c r="R70" s="567"/>
      <c r="S70" s="567"/>
      <c r="T70" s="567"/>
      <c r="U70" s="567"/>
      <c r="V70" s="567"/>
      <c r="W70" s="567"/>
      <c r="X70" s="568" t="e">
        <f t="shared" si="19"/>
        <v>#DIV/0!</v>
      </c>
      <c r="Y70" s="567"/>
      <c r="Z70" s="567"/>
      <c r="AA70" s="567"/>
      <c r="AB70" s="567"/>
      <c r="AC70" s="567"/>
      <c r="AD70" s="567"/>
      <c r="AE70" s="567"/>
      <c r="AF70" s="567"/>
      <c r="AG70" s="567"/>
      <c r="AH70" s="567"/>
      <c r="AI70" s="568" t="e">
        <f t="shared" si="20"/>
        <v>#DIV/0!</v>
      </c>
      <c r="AJ70" s="404">
        <f t="shared" si="21"/>
        <v>0</v>
      </c>
      <c r="AK70" s="404">
        <f t="shared" si="22"/>
        <v>0</v>
      </c>
      <c r="AL70" s="404">
        <f t="shared" si="23"/>
        <v>0</v>
      </c>
      <c r="AM70" s="404">
        <f t="shared" si="24"/>
        <v>0</v>
      </c>
      <c r="AN70" s="404">
        <f t="shared" si="25"/>
        <v>0</v>
      </c>
      <c r="AO70" s="404">
        <f t="shared" si="26"/>
        <v>0</v>
      </c>
      <c r="AP70" s="404">
        <f t="shared" si="27"/>
        <v>0</v>
      </c>
      <c r="AQ70" s="404">
        <f t="shared" si="28"/>
        <v>0</v>
      </c>
      <c r="AR70" s="404">
        <f t="shared" si="29"/>
        <v>0</v>
      </c>
      <c r="AS70" s="404">
        <f t="shared" si="30"/>
        <v>0</v>
      </c>
      <c r="AT70" s="404" t="e">
        <f t="shared" si="31"/>
        <v>#DIV/0!</v>
      </c>
    </row>
    <row r="71" spans="1:46" x14ac:dyDescent="0.25">
      <c r="A71" s="13">
        <v>4</v>
      </c>
      <c r="B71" s="13" t="s">
        <v>142</v>
      </c>
      <c r="C71" s="567"/>
      <c r="D71" s="567"/>
      <c r="E71" s="567"/>
      <c r="F71" s="567"/>
      <c r="G71" s="567"/>
      <c r="H71" s="567"/>
      <c r="I71" s="567"/>
      <c r="J71" s="567"/>
      <c r="K71" s="567"/>
      <c r="L71" s="567"/>
      <c r="M71" s="568" t="e">
        <f t="shared" si="18"/>
        <v>#DIV/0!</v>
      </c>
      <c r="N71" s="567"/>
      <c r="O71" s="567"/>
      <c r="P71" s="567"/>
      <c r="Q71" s="567"/>
      <c r="R71" s="567"/>
      <c r="S71" s="567"/>
      <c r="T71" s="567"/>
      <c r="U71" s="567"/>
      <c r="V71" s="567"/>
      <c r="W71" s="567"/>
      <c r="X71" s="568" t="e">
        <f t="shared" si="19"/>
        <v>#DIV/0!</v>
      </c>
      <c r="Y71" s="567"/>
      <c r="Z71" s="567"/>
      <c r="AA71" s="567"/>
      <c r="AB71" s="567"/>
      <c r="AC71" s="567"/>
      <c r="AD71" s="567"/>
      <c r="AE71" s="567"/>
      <c r="AF71" s="567"/>
      <c r="AG71" s="567"/>
      <c r="AH71" s="567"/>
      <c r="AI71" s="568" t="e">
        <f t="shared" si="20"/>
        <v>#DIV/0!</v>
      </c>
      <c r="AJ71" s="404">
        <f t="shared" si="21"/>
        <v>0</v>
      </c>
      <c r="AK71" s="404">
        <f t="shared" si="22"/>
        <v>0</v>
      </c>
      <c r="AL71" s="404">
        <f t="shared" si="23"/>
        <v>0</v>
      </c>
      <c r="AM71" s="404">
        <f t="shared" si="24"/>
        <v>0</v>
      </c>
      <c r="AN71" s="404">
        <f t="shared" si="25"/>
        <v>0</v>
      </c>
      <c r="AO71" s="404">
        <f t="shared" si="26"/>
        <v>0</v>
      </c>
      <c r="AP71" s="404">
        <f t="shared" si="27"/>
        <v>0</v>
      </c>
      <c r="AQ71" s="404">
        <f t="shared" si="28"/>
        <v>0</v>
      </c>
      <c r="AR71" s="404">
        <f t="shared" si="29"/>
        <v>0</v>
      </c>
      <c r="AS71" s="404">
        <f t="shared" si="30"/>
        <v>0</v>
      </c>
      <c r="AT71" s="404" t="e">
        <f t="shared" si="31"/>
        <v>#DIV/0!</v>
      </c>
    </row>
    <row r="72" spans="1:46" x14ac:dyDescent="0.25">
      <c r="A72" s="13">
        <v>5</v>
      </c>
      <c r="B72" s="13" t="s">
        <v>143</v>
      </c>
      <c r="C72" s="567"/>
      <c r="D72" s="567"/>
      <c r="E72" s="567"/>
      <c r="F72" s="567"/>
      <c r="G72" s="567"/>
      <c r="H72" s="567"/>
      <c r="I72" s="567"/>
      <c r="J72" s="567"/>
      <c r="K72" s="567"/>
      <c r="L72" s="567"/>
      <c r="M72" s="568" t="e">
        <f t="shared" si="18"/>
        <v>#DIV/0!</v>
      </c>
      <c r="N72" s="567"/>
      <c r="O72" s="567"/>
      <c r="P72" s="567"/>
      <c r="Q72" s="567"/>
      <c r="R72" s="567"/>
      <c r="S72" s="567"/>
      <c r="T72" s="567"/>
      <c r="U72" s="567"/>
      <c r="V72" s="567"/>
      <c r="W72" s="567"/>
      <c r="X72" s="568" t="e">
        <f t="shared" si="19"/>
        <v>#DIV/0!</v>
      </c>
      <c r="Y72" s="567"/>
      <c r="Z72" s="567"/>
      <c r="AA72" s="567"/>
      <c r="AB72" s="567"/>
      <c r="AC72" s="567"/>
      <c r="AD72" s="567"/>
      <c r="AE72" s="567"/>
      <c r="AF72" s="567"/>
      <c r="AG72" s="567"/>
      <c r="AH72" s="567"/>
      <c r="AI72" s="568" t="e">
        <f t="shared" si="20"/>
        <v>#DIV/0!</v>
      </c>
      <c r="AJ72" s="404">
        <f t="shared" si="21"/>
        <v>0</v>
      </c>
      <c r="AK72" s="404">
        <f t="shared" si="22"/>
        <v>0</v>
      </c>
      <c r="AL72" s="404">
        <f t="shared" si="23"/>
        <v>0</v>
      </c>
      <c r="AM72" s="404">
        <f t="shared" si="24"/>
        <v>0</v>
      </c>
      <c r="AN72" s="404">
        <f t="shared" si="25"/>
        <v>0</v>
      </c>
      <c r="AO72" s="404">
        <f t="shared" si="26"/>
        <v>0</v>
      </c>
      <c r="AP72" s="404">
        <f t="shared" si="27"/>
        <v>0</v>
      </c>
      <c r="AQ72" s="404">
        <f t="shared" si="28"/>
        <v>0</v>
      </c>
      <c r="AR72" s="404">
        <f t="shared" si="29"/>
        <v>0</v>
      </c>
      <c r="AS72" s="404">
        <f t="shared" si="30"/>
        <v>0</v>
      </c>
      <c r="AT72" s="404" t="e">
        <f t="shared" si="31"/>
        <v>#DIV/0!</v>
      </c>
    </row>
    <row r="73" spans="1:46" x14ac:dyDescent="0.25">
      <c r="A73" s="13">
        <v>6</v>
      </c>
      <c r="B73" s="13" t="s">
        <v>144</v>
      </c>
      <c r="C73" s="567"/>
      <c r="D73" s="567"/>
      <c r="E73" s="567"/>
      <c r="F73" s="567"/>
      <c r="G73" s="567"/>
      <c r="H73" s="567"/>
      <c r="I73" s="567"/>
      <c r="J73" s="567"/>
      <c r="K73" s="567"/>
      <c r="L73" s="567"/>
      <c r="M73" s="568" t="e">
        <f t="shared" si="18"/>
        <v>#DIV/0!</v>
      </c>
      <c r="N73" s="567"/>
      <c r="O73" s="567"/>
      <c r="P73" s="567"/>
      <c r="Q73" s="567"/>
      <c r="R73" s="567"/>
      <c r="S73" s="567"/>
      <c r="T73" s="567"/>
      <c r="U73" s="567"/>
      <c r="V73" s="567"/>
      <c r="W73" s="567"/>
      <c r="X73" s="568" t="e">
        <f t="shared" si="19"/>
        <v>#DIV/0!</v>
      </c>
      <c r="Y73" s="567"/>
      <c r="Z73" s="567"/>
      <c r="AA73" s="567"/>
      <c r="AB73" s="567"/>
      <c r="AC73" s="567"/>
      <c r="AD73" s="567"/>
      <c r="AE73" s="567"/>
      <c r="AF73" s="567"/>
      <c r="AG73" s="567"/>
      <c r="AH73" s="567"/>
      <c r="AI73" s="568" t="e">
        <f t="shared" si="20"/>
        <v>#DIV/0!</v>
      </c>
      <c r="AJ73" s="404">
        <f t="shared" si="21"/>
        <v>0</v>
      </c>
      <c r="AK73" s="404">
        <f t="shared" si="22"/>
        <v>0</v>
      </c>
      <c r="AL73" s="404">
        <f t="shared" si="23"/>
        <v>0</v>
      </c>
      <c r="AM73" s="404">
        <f t="shared" si="24"/>
        <v>0</v>
      </c>
      <c r="AN73" s="404">
        <f t="shared" si="25"/>
        <v>0</v>
      </c>
      <c r="AO73" s="404">
        <f t="shared" si="26"/>
        <v>0</v>
      </c>
      <c r="AP73" s="404">
        <f t="shared" si="27"/>
        <v>0</v>
      </c>
      <c r="AQ73" s="404">
        <f t="shared" si="28"/>
        <v>0</v>
      </c>
      <c r="AR73" s="404">
        <f t="shared" si="29"/>
        <v>0</v>
      </c>
      <c r="AS73" s="404">
        <f t="shared" si="30"/>
        <v>0</v>
      </c>
      <c r="AT73" s="404" t="e">
        <f t="shared" si="31"/>
        <v>#DIV/0!</v>
      </c>
    </row>
    <row r="74" spans="1:46" x14ac:dyDescent="0.25">
      <c r="A74" s="13">
        <v>7</v>
      </c>
      <c r="B74" s="13" t="s">
        <v>145</v>
      </c>
      <c r="C74" s="567"/>
      <c r="D74" s="567"/>
      <c r="E74" s="567"/>
      <c r="F74" s="567"/>
      <c r="G74" s="567"/>
      <c r="H74" s="567"/>
      <c r="I74" s="567"/>
      <c r="J74" s="567"/>
      <c r="K74" s="567"/>
      <c r="L74" s="567"/>
      <c r="M74" s="568" t="e">
        <f t="shared" si="18"/>
        <v>#DIV/0!</v>
      </c>
      <c r="N74" s="567"/>
      <c r="O74" s="567"/>
      <c r="P74" s="567"/>
      <c r="Q74" s="567"/>
      <c r="R74" s="567"/>
      <c r="S74" s="567"/>
      <c r="T74" s="567"/>
      <c r="U74" s="567"/>
      <c r="V74" s="567"/>
      <c r="W74" s="567"/>
      <c r="X74" s="568" t="e">
        <f t="shared" si="19"/>
        <v>#DIV/0!</v>
      </c>
      <c r="Y74" s="567"/>
      <c r="Z74" s="567"/>
      <c r="AA74" s="567"/>
      <c r="AB74" s="567"/>
      <c r="AC74" s="567"/>
      <c r="AD74" s="567"/>
      <c r="AE74" s="567"/>
      <c r="AF74" s="567"/>
      <c r="AG74" s="567"/>
      <c r="AH74" s="567"/>
      <c r="AI74" s="568" t="e">
        <f t="shared" si="20"/>
        <v>#DIV/0!</v>
      </c>
      <c r="AJ74" s="404">
        <f t="shared" si="21"/>
        <v>0</v>
      </c>
      <c r="AK74" s="404">
        <f t="shared" si="22"/>
        <v>0</v>
      </c>
      <c r="AL74" s="404">
        <f t="shared" si="23"/>
        <v>0</v>
      </c>
      <c r="AM74" s="404">
        <f t="shared" si="24"/>
        <v>0</v>
      </c>
      <c r="AN74" s="404">
        <f t="shared" si="25"/>
        <v>0</v>
      </c>
      <c r="AO74" s="404">
        <f t="shared" si="26"/>
        <v>0</v>
      </c>
      <c r="AP74" s="404">
        <f t="shared" si="27"/>
        <v>0</v>
      </c>
      <c r="AQ74" s="404">
        <f t="shared" si="28"/>
        <v>0</v>
      </c>
      <c r="AR74" s="404">
        <f t="shared" si="29"/>
        <v>0</v>
      </c>
      <c r="AS74" s="404">
        <f t="shared" si="30"/>
        <v>0</v>
      </c>
      <c r="AT74" s="404" t="e">
        <f t="shared" si="31"/>
        <v>#DIV/0!</v>
      </c>
    </row>
    <row r="75" spans="1:46" x14ac:dyDescent="0.25">
      <c r="A75" s="13">
        <v>8</v>
      </c>
      <c r="B75" s="13" t="s">
        <v>146</v>
      </c>
      <c r="C75" s="567"/>
      <c r="D75" s="567"/>
      <c r="E75" s="567"/>
      <c r="F75" s="567"/>
      <c r="G75" s="567"/>
      <c r="H75" s="567"/>
      <c r="I75" s="567"/>
      <c r="J75" s="567"/>
      <c r="K75" s="567"/>
      <c r="L75" s="567"/>
      <c r="M75" s="568" t="e">
        <f t="shared" si="18"/>
        <v>#DIV/0!</v>
      </c>
      <c r="N75" s="567"/>
      <c r="O75" s="567"/>
      <c r="P75" s="567"/>
      <c r="Q75" s="567"/>
      <c r="R75" s="567"/>
      <c r="S75" s="567"/>
      <c r="T75" s="567"/>
      <c r="U75" s="567"/>
      <c r="V75" s="567"/>
      <c r="W75" s="567"/>
      <c r="X75" s="568" t="e">
        <f t="shared" si="19"/>
        <v>#DIV/0!</v>
      </c>
      <c r="Y75" s="567"/>
      <c r="Z75" s="567"/>
      <c r="AA75" s="567"/>
      <c r="AB75" s="567"/>
      <c r="AC75" s="567"/>
      <c r="AD75" s="567"/>
      <c r="AE75" s="567"/>
      <c r="AF75" s="567"/>
      <c r="AG75" s="567"/>
      <c r="AH75" s="567"/>
      <c r="AI75" s="568" t="e">
        <f t="shared" si="20"/>
        <v>#DIV/0!</v>
      </c>
      <c r="AJ75" s="404">
        <f t="shared" si="21"/>
        <v>0</v>
      </c>
      <c r="AK75" s="404">
        <f t="shared" si="22"/>
        <v>0</v>
      </c>
      <c r="AL75" s="404">
        <f t="shared" si="23"/>
        <v>0</v>
      </c>
      <c r="AM75" s="404">
        <f t="shared" si="24"/>
        <v>0</v>
      </c>
      <c r="AN75" s="404">
        <f t="shared" si="25"/>
        <v>0</v>
      </c>
      <c r="AO75" s="404">
        <f t="shared" si="26"/>
        <v>0</v>
      </c>
      <c r="AP75" s="404">
        <f t="shared" si="27"/>
        <v>0</v>
      </c>
      <c r="AQ75" s="404">
        <f t="shared" si="28"/>
        <v>0</v>
      </c>
      <c r="AR75" s="404">
        <f t="shared" si="29"/>
        <v>0</v>
      </c>
      <c r="AS75" s="404">
        <f t="shared" si="30"/>
        <v>0</v>
      </c>
      <c r="AT75" s="404" t="e">
        <f t="shared" si="31"/>
        <v>#DIV/0!</v>
      </c>
    </row>
    <row r="76" spans="1:46" x14ac:dyDescent="0.25">
      <c r="A76" s="13">
        <v>9</v>
      </c>
      <c r="B76" s="13" t="s">
        <v>147</v>
      </c>
      <c r="C76" s="567"/>
      <c r="D76" s="567"/>
      <c r="E76" s="567"/>
      <c r="F76" s="567"/>
      <c r="G76" s="567"/>
      <c r="H76" s="567"/>
      <c r="I76" s="567"/>
      <c r="J76" s="567"/>
      <c r="K76" s="567"/>
      <c r="L76" s="567"/>
      <c r="M76" s="568" t="e">
        <f t="shared" si="18"/>
        <v>#DIV/0!</v>
      </c>
      <c r="N76" s="567"/>
      <c r="O76" s="567"/>
      <c r="P76" s="567"/>
      <c r="Q76" s="567"/>
      <c r="R76" s="567"/>
      <c r="S76" s="567"/>
      <c r="T76" s="567"/>
      <c r="U76" s="567"/>
      <c r="V76" s="567"/>
      <c r="W76" s="567"/>
      <c r="X76" s="568" t="e">
        <f t="shared" si="19"/>
        <v>#DIV/0!</v>
      </c>
      <c r="Y76" s="567"/>
      <c r="Z76" s="567"/>
      <c r="AA76" s="567"/>
      <c r="AB76" s="567"/>
      <c r="AC76" s="567"/>
      <c r="AD76" s="567"/>
      <c r="AE76" s="567"/>
      <c r="AF76" s="567"/>
      <c r="AG76" s="567"/>
      <c r="AH76" s="567"/>
      <c r="AI76" s="568" t="e">
        <f t="shared" si="20"/>
        <v>#DIV/0!</v>
      </c>
      <c r="AJ76" s="404">
        <f t="shared" si="21"/>
        <v>0</v>
      </c>
      <c r="AK76" s="404">
        <f t="shared" si="22"/>
        <v>0</v>
      </c>
      <c r="AL76" s="404">
        <f t="shared" si="23"/>
        <v>0</v>
      </c>
      <c r="AM76" s="404">
        <f t="shared" si="24"/>
        <v>0</v>
      </c>
      <c r="AN76" s="404">
        <f t="shared" si="25"/>
        <v>0</v>
      </c>
      <c r="AO76" s="404">
        <f t="shared" si="26"/>
        <v>0</v>
      </c>
      <c r="AP76" s="404">
        <f t="shared" si="27"/>
        <v>0</v>
      </c>
      <c r="AQ76" s="404">
        <f t="shared" si="28"/>
        <v>0</v>
      </c>
      <c r="AR76" s="404">
        <f t="shared" si="29"/>
        <v>0</v>
      </c>
      <c r="AS76" s="404">
        <f t="shared" si="30"/>
        <v>0</v>
      </c>
      <c r="AT76" s="404" t="e">
        <f t="shared" si="31"/>
        <v>#DIV/0!</v>
      </c>
    </row>
    <row r="77" spans="1:46" x14ac:dyDescent="0.25">
      <c r="A77" s="13">
        <v>10</v>
      </c>
      <c r="B77" s="13" t="s">
        <v>148</v>
      </c>
      <c r="C77" s="567"/>
      <c r="D77" s="567"/>
      <c r="E77" s="567"/>
      <c r="F77" s="567"/>
      <c r="G77" s="567"/>
      <c r="H77" s="567"/>
      <c r="I77" s="567"/>
      <c r="J77" s="567"/>
      <c r="K77" s="567"/>
      <c r="L77" s="567"/>
      <c r="M77" s="568" t="e">
        <f t="shared" si="18"/>
        <v>#DIV/0!</v>
      </c>
      <c r="N77" s="567"/>
      <c r="O77" s="567"/>
      <c r="P77" s="567"/>
      <c r="Q77" s="567"/>
      <c r="R77" s="567"/>
      <c r="S77" s="567"/>
      <c r="T77" s="567"/>
      <c r="U77" s="567"/>
      <c r="V77" s="567"/>
      <c r="W77" s="567"/>
      <c r="X77" s="568" t="e">
        <f t="shared" si="19"/>
        <v>#DIV/0!</v>
      </c>
      <c r="Y77" s="567"/>
      <c r="Z77" s="567"/>
      <c r="AA77" s="567"/>
      <c r="AB77" s="567"/>
      <c r="AC77" s="567"/>
      <c r="AD77" s="567"/>
      <c r="AE77" s="567"/>
      <c r="AF77" s="567"/>
      <c r="AG77" s="567"/>
      <c r="AH77" s="567"/>
      <c r="AI77" s="568" t="e">
        <f t="shared" si="20"/>
        <v>#DIV/0!</v>
      </c>
      <c r="AJ77" s="404">
        <f t="shared" si="21"/>
        <v>0</v>
      </c>
      <c r="AK77" s="404">
        <f t="shared" si="22"/>
        <v>0</v>
      </c>
      <c r="AL77" s="404">
        <f t="shared" si="23"/>
        <v>0</v>
      </c>
      <c r="AM77" s="404">
        <f t="shared" si="24"/>
        <v>0</v>
      </c>
      <c r="AN77" s="404">
        <f t="shared" si="25"/>
        <v>0</v>
      </c>
      <c r="AO77" s="404">
        <f t="shared" si="26"/>
        <v>0</v>
      </c>
      <c r="AP77" s="404">
        <f t="shared" si="27"/>
        <v>0</v>
      </c>
      <c r="AQ77" s="404">
        <f t="shared" si="28"/>
        <v>0</v>
      </c>
      <c r="AR77" s="404">
        <f t="shared" si="29"/>
        <v>0</v>
      </c>
      <c r="AS77" s="404">
        <f t="shared" si="30"/>
        <v>0</v>
      </c>
      <c r="AT77" s="404" t="e">
        <f t="shared" si="31"/>
        <v>#DIV/0!</v>
      </c>
    </row>
    <row r="78" spans="1:46" x14ac:dyDescent="0.25">
      <c r="A78" s="13">
        <v>11</v>
      </c>
      <c r="B78" s="13" t="s">
        <v>149</v>
      </c>
      <c r="C78" s="567"/>
      <c r="D78" s="567"/>
      <c r="E78" s="567"/>
      <c r="F78" s="567"/>
      <c r="G78" s="567"/>
      <c r="H78" s="567"/>
      <c r="I78" s="567"/>
      <c r="J78" s="567"/>
      <c r="K78" s="567"/>
      <c r="L78" s="567"/>
      <c r="M78" s="568" t="e">
        <f t="shared" si="18"/>
        <v>#DIV/0!</v>
      </c>
      <c r="N78" s="567"/>
      <c r="O78" s="567"/>
      <c r="P78" s="567"/>
      <c r="Q78" s="567"/>
      <c r="R78" s="567"/>
      <c r="S78" s="567"/>
      <c r="T78" s="567"/>
      <c r="U78" s="567"/>
      <c r="V78" s="567"/>
      <c r="W78" s="567"/>
      <c r="X78" s="568" t="e">
        <f t="shared" si="19"/>
        <v>#DIV/0!</v>
      </c>
      <c r="Y78" s="567"/>
      <c r="Z78" s="567"/>
      <c r="AA78" s="567"/>
      <c r="AB78" s="567"/>
      <c r="AC78" s="567"/>
      <c r="AD78" s="567"/>
      <c r="AE78" s="567"/>
      <c r="AF78" s="567"/>
      <c r="AG78" s="567"/>
      <c r="AH78" s="567"/>
      <c r="AI78" s="568" t="e">
        <f t="shared" si="20"/>
        <v>#DIV/0!</v>
      </c>
      <c r="AJ78" s="404">
        <f t="shared" si="21"/>
        <v>0</v>
      </c>
      <c r="AK78" s="404">
        <f t="shared" si="22"/>
        <v>0</v>
      </c>
      <c r="AL78" s="404">
        <f t="shared" si="23"/>
        <v>0</v>
      </c>
      <c r="AM78" s="404">
        <f t="shared" si="24"/>
        <v>0</v>
      </c>
      <c r="AN78" s="404">
        <f t="shared" si="25"/>
        <v>0</v>
      </c>
      <c r="AO78" s="404">
        <f t="shared" si="26"/>
        <v>0</v>
      </c>
      <c r="AP78" s="404">
        <f t="shared" si="27"/>
        <v>0</v>
      </c>
      <c r="AQ78" s="404">
        <f t="shared" si="28"/>
        <v>0</v>
      </c>
      <c r="AR78" s="404">
        <f t="shared" si="29"/>
        <v>0</v>
      </c>
      <c r="AS78" s="404">
        <f t="shared" si="30"/>
        <v>0</v>
      </c>
      <c r="AT78" s="404" t="e">
        <f t="shared" si="31"/>
        <v>#DIV/0!</v>
      </c>
    </row>
    <row r="79" spans="1:46" x14ac:dyDescent="0.25">
      <c r="A79" s="13">
        <v>12</v>
      </c>
      <c r="B79" s="13" t="s">
        <v>150</v>
      </c>
      <c r="C79" s="567"/>
      <c r="D79" s="567"/>
      <c r="E79" s="567"/>
      <c r="F79" s="567"/>
      <c r="G79" s="567"/>
      <c r="H79" s="567"/>
      <c r="I79" s="567"/>
      <c r="J79" s="567"/>
      <c r="K79" s="567"/>
      <c r="L79" s="567"/>
      <c r="M79" s="568" t="e">
        <f t="shared" si="18"/>
        <v>#DIV/0!</v>
      </c>
      <c r="N79" s="567"/>
      <c r="O79" s="567"/>
      <c r="P79" s="567"/>
      <c r="Q79" s="567"/>
      <c r="R79" s="567"/>
      <c r="S79" s="567"/>
      <c r="T79" s="567"/>
      <c r="U79" s="567"/>
      <c r="V79" s="567"/>
      <c r="W79" s="567"/>
      <c r="X79" s="568" t="e">
        <f t="shared" si="19"/>
        <v>#DIV/0!</v>
      </c>
      <c r="Y79" s="567"/>
      <c r="Z79" s="567"/>
      <c r="AA79" s="567"/>
      <c r="AB79" s="567"/>
      <c r="AC79" s="567"/>
      <c r="AD79" s="567"/>
      <c r="AE79" s="567"/>
      <c r="AF79" s="567"/>
      <c r="AG79" s="567"/>
      <c r="AH79" s="567"/>
      <c r="AI79" s="568" t="e">
        <f t="shared" si="20"/>
        <v>#DIV/0!</v>
      </c>
      <c r="AJ79" s="404">
        <f t="shared" si="21"/>
        <v>0</v>
      </c>
      <c r="AK79" s="404">
        <f t="shared" si="22"/>
        <v>0</v>
      </c>
      <c r="AL79" s="404">
        <f t="shared" si="23"/>
        <v>0</v>
      </c>
      <c r="AM79" s="404">
        <f t="shared" si="24"/>
        <v>0</v>
      </c>
      <c r="AN79" s="404">
        <f t="shared" si="25"/>
        <v>0</v>
      </c>
      <c r="AO79" s="404">
        <f t="shared" si="26"/>
        <v>0</v>
      </c>
      <c r="AP79" s="404">
        <f t="shared" si="27"/>
        <v>0</v>
      </c>
      <c r="AQ79" s="404">
        <f t="shared" si="28"/>
        <v>0</v>
      </c>
      <c r="AR79" s="404">
        <f t="shared" si="29"/>
        <v>0</v>
      </c>
      <c r="AS79" s="404">
        <f t="shared" si="30"/>
        <v>0</v>
      </c>
      <c r="AT79" s="404" t="e">
        <f t="shared" si="31"/>
        <v>#DIV/0!</v>
      </c>
    </row>
    <row r="80" spans="1:46" x14ac:dyDescent="0.25">
      <c r="A80" s="13">
        <v>13</v>
      </c>
      <c r="B80" s="13" t="s">
        <v>151</v>
      </c>
      <c r="C80" s="567"/>
      <c r="D80" s="567"/>
      <c r="E80" s="567"/>
      <c r="F80" s="567"/>
      <c r="G80" s="567"/>
      <c r="H80" s="567"/>
      <c r="I80" s="567"/>
      <c r="J80" s="567"/>
      <c r="K80" s="567"/>
      <c r="L80" s="567"/>
      <c r="M80" s="568" t="e">
        <f t="shared" si="18"/>
        <v>#DIV/0!</v>
      </c>
      <c r="N80" s="567"/>
      <c r="O80" s="567"/>
      <c r="P80" s="567"/>
      <c r="Q80" s="567"/>
      <c r="R80" s="567"/>
      <c r="S80" s="567"/>
      <c r="T80" s="567"/>
      <c r="U80" s="567"/>
      <c r="V80" s="567"/>
      <c r="W80" s="567"/>
      <c r="X80" s="568" t="e">
        <f t="shared" si="19"/>
        <v>#DIV/0!</v>
      </c>
      <c r="Y80" s="567"/>
      <c r="Z80" s="567"/>
      <c r="AA80" s="567"/>
      <c r="AB80" s="567"/>
      <c r="AC80" s="567"/>
      <c r="AD80" s="567"/>
      <c r="AE80" s="567"/>
      <c r="AF80" s="567"/>
      <c r="AG80" s="567"/>
      <c r="AH80" s="567"/>
      <c r="AI80" s="568" t="e">
        <f t="shared" si="20"/>
        <v>#DIV/0!</v>
      </c>
      <c r="AJ80" s="404">
        <f t="shared" si="21"/>
        <v>0</v>
      </c>
      <c r="AK80" s="404">
        <f t="shared" si="22"/>
        <v>0</v>
      </c>
      <c r="AL80" s="404">
        <f t="shared" si="23"/>
        <v>0</v>
      </c>
      <c r="AM80" s="404">
        <f t="shared" si="24"/>
        <v>0</v>
      </c>
      <c r="AN80" s="404">
        <f t="shared" si="25"/>
        <v>0</v>
      </c>
      <c r="AO80" s="404">
        <f t="shared" si="26"/>
        <v>0</v>
      </c>
      <c r="AP80" s="404">
        <f t="shared" si="27"/>
        <v>0</v>
      </c>
      <c r="AQ80" s="404">
        <f t="shared" si="28"/>
        <v>0</v>
      </c>
      <c r="AR80" s="404">
        <f t="shared" si="29"/>
        <v>0</v>
      </c>
      <c r="AS80" s="404">
        <f t="shared" si="30"/>
        <v>0</v>
      </c>
      <c r="AT80" s="404" t="e">
        <f t="shared" si="31"/>
        <v>#DIV/0!</v>
      </c>
    </row>
    <row r="81" spans="1:46" x14ac:dyDescent="0.25">
      <c r="A81" s="13">
        <v>14</v>
      </c>
      <c r="B81" s="13" t="s">
        <v>152</v>
      </c>
      <c r="C81" s="567"/>
      <c r="D81" s="567"/>
      <c r="E81" s="567"/>
      <c r="F81" s="567"/>
      <c r="G81" s="567"/>
      <c r="H81" s="567"/>
      <c r="I81" s="567"/>
      <c r="J81" s="567"/>
      <c r="K81" s="567"/>
      <c r="L81" s="567"/>
      <c r="M81" s="568" t="e">
        <f t="shared" si="18"/>
        <v>#DIV/0!</v>
      </c>
      <c r="N81" s="567"/>
      <c r="O81" s="567"/>
      <c r="P81" s="567"/>
      <c r="Q81" s="567"/>
      <c r="R81" s="567"/>
      <c r="S81" s="567"/>
      <c r="T81" s="567"/>
      <c r="U81" s="567"/>
      <c r="V81" s="567"/>
      <c r="W81" s="567"/>
      <c r="X81" s="568" t="e">
        <f t="shared" si="19"/>
        <v>#DIV/0!</v>
      </c>
      <c r="Y81" s="567"/>
      <c r="Z81" s="567"/>
      <c r="AA81" s="567"/>
      <c r="AB81" s="567"/>
      <c r="AC81" s="567"/>
      <c r="AD81" s="567"/>
      <c r="AE81" s="567"/>
      <c r="AF81" s="567"/>
      <c r="AG81" s="567"/>
      <c r="AH81" s="567"/>
      <c r="AI81" s="568" t="e">
        <f t="shared" si="20"/>
        <v>#DIV/0!</v>
      </c>
      <c r="AJ81" s="404">
        <f t="shared" si="21"/>
        <v>0</v>
      </c>
      <c r="AK81" s="404">
        <f t="shared" si="22"/>
        <v>0</v>
      </c>
      <c r="AL81" s="404">
        <f t="shared" si="23"/>
        <v>0</v>
      </c>
      <c r="AM81" s="404">
        <f t="shared" si="24"/>
        <v>0</v>
      </c>
      <c r="AN81" s="404">
        <f t="shared" si="25"/>
        <v>0</v>
      </c>
      <c r="AO81" s="404">
        <f t="shared" si="26"/>
        <v>0</v>
      </c>
      <c r="AP81" s="404">
        <f t="shared" si="27"/>
        <v>0</v>
      </c>
      <c r="AQ81" s="404">
        <f t="shared" si="28"/>
        <v>0</v>
      </c>
      <c r="AR81" s="404">
        <f t="shared" si="29"/>
        <v>0</v>
      </c>
      <c r="AS81" s="404">
        <f t="shared" si="30"/>
        <v>0</v>
      </c>
      <c r="AT81" s="404" t="e">
        <f t="shared" si="31"/>
        <v>#DIV/0!</v>
      </c>
    </row>
    <row r="82" spans="1:46" x14ac:dyDescent="0.25">
      <c r="A82" s="13">
        <v>15</v>
      </c>
      <c r="B82" s="13" t="s">
        <v>153</v>
      </c>
      <c r="C82" s="567"/>
      <c r="D82" s="567"/>
      <c r="E82" s="567"/>
      <c r="F82" s="567"/>
      <c r="G82" s="567"/>
      <c r="H82" s="567"/>
      <c r="I82" s="567"/>
      <c r="J82" s="567"/>
      <c r="K82" s="567"/>
      <c r="L82" s="567"/>
      <c r="M82" s="568" t="e">
        <f t="shared" si="18"/>
        <v>#DIV/0!</v>
      </c>
      <c r="N82" s="567"/>
      <c r="O82" s="567"/>
      <c r="P82" s="567"/>
      <c r="Q82" s="567"/>
      <c r="R82" s="567"/>
      <c r="S82" s="567"/>
      <c r="T82" s="567"/>
      <c r="U82" s="567"/>
      <c r="V82" s="567"/>
      <c r="W82" s="567"/>
      <c r="X82" s="568" t="e">
        <f t="shared" si="19"/>
        <v>#DIV/0!</v>
      </c>
      <c r="Y82" s="567"/>
      <c r="Z82" s="567"/>
      <c r="AA82" s="567"/>
      <c r="AB82" s="567"/>
      <c r="AC82" s="567"/>
      <c r="AD82" s="567"/>
      <c r="AE82" s="567"/>
      <c r="AF82" s="567"/>
      <c r="AG82" s="567"/>
      <c r="AH82" s="567"/>
      <c r="AI82" s="568" t="e">
        <f t="shared" si="20"/>
        <v>#DIV/0!</v>
      </c>
      <c r="AJ82" s="404">
        <f t="shared" si="21"/>
        <v>0</v>
      </c>
      <c r="AK82" s="404">
        <f t="shared" si="22"/>
        <v>0</v>
      </c>
      <c r="AL82" s="404">
        <f t="shared" si="23"/>
        <v>0</v>
      </c>
      <c r="AM82" s="404">
        <f t="shared" si="24"/>
        <v>0</v>
      </c>
      <c r="AN82" s="404">
        <f t="shared" si="25"/>
        <v>0</v>
      </c>
      <c r="AO82" s="404">
        <f t="shared" si="26"/>
        <v>0</v>
      </c>
      <c r="AP82" s="404">
        <f t="shared" si="27"/>
        <v>0</v>
      </c>
      <c r="AQ82" s="404">
        <f t="shared" si="28"/>
        <v>0</v>
      </c>
      <c r="AR82" s="404">
        <f t="shared" si="29"/>
        <v>0</v>
      </c>
      <c r="AS82" s="404">
        <f t="shared" si="30"/>
        <v>0</v>
      </c>
      <c r="AT82" s="404" t="e">
        <f t="shared" si="31"/>
        <v>#DIV/0!</v>
      </c>
    </row>
    <row r="83" spans="1:46" x14ac:dyDescent="0.25">
      <c r="A83" s="13">
        <v>16</v>
      </c>
      <c r="B83" s="13" t="s">
        <v>154</v>
      </c>
      <c r="C83" s="567"/>
      <c r="D83" s="567"/>
      <c r="E83" s="567"/>
      <c r="F83" s="567"/>
      <c r="G83" s="567"/>
      <c r="H83" s="567"/>
      <c r="I83" s="567"/>
      <c r="J83" s="567"/>
      <c r="K83" s="567"/>
      <c r="L83" s="567"/>
      <c r="M83" s="568" t="e">
        <f t="shared" si="18"/>
        <v>#DIV/0!</v>
      </c>
      <c r="N83" s="567"/>
      <c r="O83" s="567"/>
      <c r="P83" s="567"/>
      <c r="Q83" s="567"/>
      <c r="R83" s="567"/>
      <c r="S83" s="567"/>
      <c r="T83" s="567"/>
      <c r="U83" s="567"/>
      <c r="V83" s="567"/>
      <c r="W83" s="567"/>
      <c r="X83" s="568" t="e">
        <f t="shared" si="19"/>
        <v>#DIV/0!</v>
      </c>
      <c r="Y83" s="567"/>
      <c r="Z83" s="567"/>
      <c r="AA83" s="567"/>
      <c r="AB83" s="567"/>
      <c r="AC83" s="567"/>
      <c r="AD83" s="567"/>
      <c r="AE83" s="567"/>
      <c r="AF83" s="567"/>
      <c r="AG83" s="567"/>
      <c r="AH83" s="567"/>
      <c r="AI83" s="568" t="e">
        <f t="shared" si="20"/>
        <v>#DIV/0!</v>
      </c>
      <c r="AJ83" s="404">
        <f t="shared" si="21"/>
        <v>0</v>
      </c>
      <c r="AK83" s="404">
        <f t="shared" si="22"/>
        <v>0</v>
      </c>
      <c r="AL83" s="404">
        <f t="shared" si="23"/>
        <v>0</v>
      </c>
      <c r="AM83" s="404">
        <f t="shared" si="24"/>
        <v>0</v>
      </c>
      <c r="AN83" s="404">
        <f t="shared" si="25"/>
        <v>0</v>
      </c>
      <c r="AO83" s="404">
        <f t="shared" si="26"/>
        <v>0</v>
      </c>
      <c r="AP83" s="404">
        <f t="shared" si="27"/>
        <v>0</v>
      </c>
      <c r="AQ83" s="404">
        <f t="shared" si="28"/>
        <v>0</v>
      </c>
      <c r="AR83" s="404">
        <f t="shared" si="29"/>
        <v>0</v>
      </c>
      <c r="AS83" s="404">
        <f t="shared" si="30"/>
        <v>0</v>
      </c>
      <c r="AT83" s="404" t="e">
        <f t="shared" si="31"/>
        <v>#DIV/0!</v>
      </c>
    </row>
    <row r="84" spans="1:46" x14ac:dyDescent="0.25">
      <c r="A84" s="13">
        <v>17</v>
      </c>
      <c r="B84" s="13" t="s">
        <v>155</v>
      </c>
      <c r="C84" s="567"/>
      <c r="D84" s="567"/>
      <c r="E84" s="567"/>
      <c r="F84" s="567"/>
      <c r="G84" s="567"/>
      <c r="H84" s="567"/>
      <c r="I84" s="567"/>
      <c r="J84" s="567"/>
      <c r="K84" s="567"/>
      <c r="L84" s="567"/>
      <c r="M84" s="568" t="e">
        <f t="shared" si="18"/>
        <v>#DIV/0!</v>
      </c>
      <c r="N84" s="567"/>
      <c r="O84" s="567"/>
      <c r="P84" s="567"/>
      <c r="Q84" s="567"/>
      <c r="R84" s="567"/>
      <c r="S84" s="567"/>
      <c r="T84" s="567"/>
      <c r="U84" s="567"/>
      <c r="V84" s="567"/>
      <c r="W84" s="567"/>
      <c r="X84" s="568" t="e">
        <f t="shared" si="19"/>
        <v>#DIV/0!</v>
      </c>
      <c r="Y84" s="567"/>
      <c r="Z84" s="567"/>
      <c r="AA84" s="567"/>
      <c r="AB84" s="567"/>
      <c r="AC84" s="567"/>
      <c r="AD84" s="567"/>
      <c r="AE84" s="567"/>
      <c r="AF84" s="567"/>
      <c r="AG84" s="567"/>
      <c r="AH84" s="567"/>
      <c r="AI84" s="568" t="e">
        <f t="shared" si="20"/>
        <v>#DIV/0!</v>
      </c>
      <c r="AJ84" s="404">
        <f t="shared" si="21"/>
        <v>0</v>
      </c>
      <c r="AK84" s="404">
        <f t="shared" si="22"/>
        <v>0</v>
      </c>
      <c r="AL84" s="404">
        <f t="shared" si="23"/>
        <v>0</v>
      </c>
      <c r="AM84" s="404">
        <f t="shared" si="24"/>
        <v>0</v>
      </c>
      <c r="AN84" s="404">
        <f t="shared" si="25"/>
        <v>0</v>
      </c>
      <c r="AO84" s="404">
        <f t="shared" si="26"/>
        <v>0</v>
      </c>
      <c r="AP84" s="404">
        <f t="shared" si="27"/>
        <v>0</v>
      </c>
      <c r="AQ84" s="404">
        <f t="shared" si="28"/>
        <v>0</v>
      </c>
      <c r="AR84" s="404">
        <f t="shared" si="29"/>
        <v>0</v>
      </c>
      <c r="AS84" s="404">
        <f t="shared" si="30"/>
        <v>0</v>
      </c>
      <c r="AT84" s="404" t="e">
        <f t="shared" si="31"/>
        <v>#DIV/0!</v>
      </c>
    </row>
    <row r="85" spans="1:46" x14ac:dyDescent="0.25">
      <c r="A85" s="13">
        <v>18</v>
      </c>
      <c r="B85" s="13" t="s">
        <v>156</v>
      </c>
      <c r="C85" s="567"/>
      <c r="D85" s="567"/>
      <c r="E85" s="567"/>
      <c r="F85" s="567"/>
      <c r="G85" s="567"/>
      <c r="H85" s="567"/>
      <c r="I85" s="567"/>
      <c r="J85" s="567"/>
      <c r="K85" s="567"/>
      <c r="L85" s="567"/>
      <c r="M85" s="568" t="e">
        <f t="shared" si="18"/>
        <v>#DIV/0!</v>
      </c>
      <c r="N85" s="567"/>
      <c r="O85" s="567"/>
      <c r="P85" s="567"/>
      <c r="Q85" s="567"/>
      <c r="R85" s="567"/>
      <c r="S85" s="567"/>
      <c r="T85" s="567"/>
      <c r="U85" s="567"/>
      <c r="V85" s="567"/>
      <c r="W85" s="567"/>
      <c r="X85" s="568" t="e">
        <f t="shared" si="19"/>
        <v>#DIV/0!</v>
      </c>
      <c r="Y85" s="567"/>
      <c r="Z85" s="567"/>
      <c r="AA85" s="567"/>
      <c r="AB85" s="567"/>
      <c r="AC85" s="567"/>
      <c r="AD85" s="567"/>
      <c r="AE85" s="567"/>
      <c r="AF85" s="567"/>
      <c r="AG85" s="567"/>
      <c r="AH85" s="567"/>
      <c r="AI85" s="568" t="e">
        <f t="shared" si="20"/>
        <v>#DIV/0!</v>
      </c>
      <c r="AJ85" s="404">
        <f t="shared" si="21"/>
        <v>0</v>
      </c>
      <c r="AK85" s="404">
        <f t="shared" si="22"/>
        <v>0</v>
      </c>
      <c r="AL85" s="404">
        <f t="shared" si="23"/>
        <v>0</v>
      </c>
      <c r="AM85" s="404">
        <f t="shared" si="24"/>
        <v>0</v>
      </c>
      <c r="AN85" s="404">
        <f t="shared" si="25"/>
        <v>0</v>
      </c>
      <c r="AO85" s="404">
        <f t="shared" si="26"/>
        <v>0</v>
      </c>
      <c r="AP85" s="404">
        <f t="shared" si="27"/>
        <v>0</v>
      </c>
      <c r="AQ85" s="404">
        <f t="shared" si="28"/>
        <v>0</v>
      </c>
      <c r="AR85" s="404">
        <f t="shared" si="29"/>
        <v>0</v>
      </c>
      <c r="AS85" s="404">
        <f t="shared" si="30"/>
        <v>0</v>
      </c>
      <c r="AT85" s="404" t="e">
        <f t="shared" si="31"/>
        <v>#DIV/0!</v>
      </c>
    </row>
    <row r="86" spans="1:46" x14ac:dyDescent="0.25">
      <c r="A86" s="13">
        <v>19</v>
      </c>
      <c r="B86" s="13" t="s">
        <v>157</v>
      </c>
      <c r="C86" s="567"/>
      <c r="D86" s="567"/>
      <c r="E86" s="567"/>
      <c r="F86" s="567"/>
      <c r="G86" s="567"/>
      <c r="H86" s="567"/>
      <c r="I86" s="567"/>
      <c r="J86" s="567"/>
      <c r="K86" s="567"/>
      <c r="L86" s="567"/>
      <c r="M86" s="568" t="e">
        <f t="shared" si="18"/>
        <v>#DIV/0!</v>
      </c>
      <c r="N86" s="567"/>
      <c r="O86" s="567"/>
      <c r="P86" s="567"/>
      <c r="Q86" s="567"/>
      <c r="R86" s="567"/>
      <c r="S86" s="567"/>
      <c r="T86" s="567"/>
      <c r="U86" s="567"/>
      <c r="V86" s="567"/>
      <c r="W86" s="567"/>
      <c r="X86" s="568" t="e">
        <f t="shared" si="19"/>
        <v>#DIV/0!</v>
      </c>
      <c r="Y86" s="567"/>
      <c r="Z86" s="567"/>
      <c r="AA86" s="567"/>
      <c r="AB86" s="567"/>
      <c r="AC86" s="567"/>
      <c r="AD86" s="567"/>
      <c r="AE86" s="567"/>
      <c r="AF86" s="567"/>
      <c r="AG86" s="567"/>
      <c r="AH86" s="567"/>
      <c r="AI86" s="568" t="e">
        <f t="shared" si="20"/>
        <v>#DIV/0!</v>
      </c>
      <c r="AJ86" s="404">
        <f t="shared" si="21"/>
        <v>0</v>
      </c>
      <c r="AK86" s="404">
        <f t="shared" si="22"/>
        <v>0</v>
      </c>
      <c r="AL86" s="404">
        <f t="shared" si="23"/>
        <v>0</v>
      </c>
      <c r="AM86" s="404">
        <f t="shared" si="24"/>
        <v>0</v>
      </c>
      <c r="AN86" s="404">
        <f t="shared" si="25"/>
        <v>0</v>
      </c>
      <c r="AO86" s="404">
        <f t="shared" si="26"/>
        <v>0</v>
      </c>
      <c r="AP86" s="404">
        <f t="shared" si="27"/>
        <v>0</v>
      </c>
      <c r="AQ86" s="404">
        <f t="shared" si="28"/>
        <v>0</v>
      </c>
      <c r="AR86" s="404">
        <f t="shared" si="29"/>
        <v>0</v>
      </c>
      <c r="AS86" s="404">
        <f t="shared" si="30"/>
        <v>0</v>
      </c>
      <c r="AT86" s="404" t="e">
        <f t="shared" si="31"/>
        <v>#DIV/0!</v>
      </c>
    </row>
    <row r="87" spans="1:46" x14ac:dyDescent="0.25">
      <c r="A87" s="13">
        <v>20</v>
      </c>
      <c r="B87" s="13" t="s">
        <v>158</v>
      </c>
      <c r="C87" s="567"/>
      <c r="D87" s="567"/>
      <c r="E87" s="567"/>
      <c r="F87" s="567"/>
      <c r="G87" s="567"/>
      <c r="H87" s="567"/>
      <c r="I87" s="567"/>
      <c r="J87" s="567"/>
      <c r="K87" s="567"/>
      <c r="L87" s="567"/>
      <c r="M87" s="568" t="e">
        <f t="shared" si="18"/>
        <v>#DIV/0!</v>
      </c>
      <c r="N87" s="567"/>
      <c r="O87" s="567"/>
      <c r="P87" s="567"/>
      <c r="Q87" s="567"/>
      <c r="R87" s="567"/>
      <c r="S87" s="567"/>
      <c r="T87" s="567"/>
      <c r="U87" s="567"/>
      <c r="V87" s="567"/>
      <c r="W87" s="567"/>
      <c r="X87" s="568" t="e">
        <f t="shared" si="19"/>
        <v>#DIV/0!</v>
      </c>
      <c r="Y87" s="567"/>
      <c r="Z87" s="567"/>
      <c r="AA87" s="567"/>
      <c r="AB87" s="567"/>
      <c r="AC87" s="567"/>
      <c r="AD87" s="567"/>
      <c r="AE87" s="567"/>
      <c r="AF87" s="567"/>
      <c r="AG87" s="567"/>
      <c r="AH87" s="567"/>
      <c r="AI87" s="568" t="e">
        <f t="shared" si="20"/>
        <v>#DIV/0!</v>
      </c>
      <c r="AJ87" s="404">
        <f t="shared" si="21"/>
        <v>0</v>
      </c>
      <c r="AK87" s="404">
        <f t="shared" si="22"/>
        <v>0</v>
      </c>
      <c r="AL87" s="404">
        <f t="shared" si="23"/>
        <v>0</v>
      </c>
      <c r="AM87" s="404">
        <f t="shared" si="24"/>
        <v>0</v>
      </c>
      <c r="AN87" s="404">
        <f t="shared" si="25"/>
        <v>0</v>
      </c>
      <c r="AO87" s="404">
        <f t="shared" si="26"/>
        <v>0</v>
      </c>
      <c r="AP87" s="404">
        <f t="shared" si="27"/>
        <v>0</v>
      </c>
      <c r="AQ87" s="404">
        <f t="shared" si="28"/>
        <v>0</v>
      </c>
      <c r="AR87" s="404">
        <f t="shared" si="29"/>
        <v>0</v>
      </c>
      <c r="AS87" s="404">
        <f t="shared" si="30"/>
        <v>0</v>
      </c>
      <c r="AT87" s="404" t="e">
        <f t="shared" si="31"/>
        <v>#DIV/0!</v>
      </c>
    </row>
    <row r="88" spans="1:46" x14ac:dyDescent="0.25">
      <c r="A88" s="13">
        <v>21</v>
      </c>
      <c r="B88" s="13" t="s">
        <v>159</v>
      </c>
      <c r="C88" s="567"/>
      <c r="D88" s="567"/>
      <c r="E88" s="567"/>
      <c r="F88" s="567"/>
      <c r="G88" s="567"/>
      <c r="H88" s="567"/>
      <c r="I88" s="567"/>
      <c r="J88" s="567"/>
      <c r="K88" s="567"/>
      <c r="L88" s="567"/>
      <c r="M88" s="568" t="e">
        <f t="shared" si="18"/>
        <v>#DIV/0!</v>
      </c>
      <c r="N88" s="567"/>
      <c r="O88" s="567"/>
      <c r="P88" s="567"/>
      <c r="Q88" s="567"/>
      <c r="R88" s="567"/>
      <c r="S88" s="567"/>
      <c r="T88" s="567"/>
      <c r="U88" s="567"/>
      <c r="V88" s="567"/>
      <c r="W88" s="567"/>
      <c r="X88" s="568" t="e">
        <f t="shared" si="19"/>
        <v>#DIV/0!</v>
      </c>
      <c r="Y88" s="567"/>
      <c r="Z88" s="567"/>
      <c r="AA88" s="567"/>
      <c r="AB88" s="567"/>
      <c r="AC88" s="567"/>
      <c r="AD88" s="567"/>
      <c r="AE88" s="567"/>
      <c r="AF88" s="567"/>
      <c r="AG88" s="567"/>
      <c r="AH88" s="567"/>
      <c r="AI88" s="568" t="e">
        <f t="shared" si="20"/>
        <v>#DIV/0!</v>
      </c>
      <c r="AJ88" s="404">
        <f t="shared" si="21"/>
        <v>0</v>
      </c>
      <c r="AK88" s="404">
        <f t="shared" si="22"/>
        <v>0</v>
      </c>
      <c r="AL88" s="404">
        <f t="shared" si="23"/>
        <v>0</v>
      </c>
      <c r="AM88" s="404">
        <f t="shared" si="24"/>
        <v>0</v>
      </c>
      <c r="AN88" s="404">
        <f t="shared" si="25"/>
        <v>0</v>
      </c>
      <c r="AO88" s="404">
        <f t="shared" si="26"/>
        <v>0</v>
      </c>
      <c r="AP88" s="404">
        <f t="shared" si="27"/>
        <v>0</v>
      </c>
      <c r="AQ88" s="404">
        <f t="shared" si="28"/>
        <v>0</v>
      </c>
      <c r="AR88" s="404">
        <f t="shared" si="29"/>
        <v>0</v>
      </c>
      <c r="AS88" s="404">
        <f t="shared" si="30"/>
        <v>0</v>
      </c>
      <c r="AT88" s="404" t="e">
        <f t="shared" si="31"/>
        <v>#DIV/0!</v>
      </c>
    </row>
    <row r="89" spans="1:46" x14ac:dyDescent="0.25">
      <c r="A89" s="13">
        <v>22</v>
      </c>
      <c r="B89" s="13" t="s">
        <v>160</v>
      </c>
      <c r="C89" s="567"/>
      <c r="D89" s="567"/>
      <c r="E89" s="567"/>
      <c r="F89" s="567"/>
      <c r="G89" s="567"/>
      <c r="H89" s="567"/>
      <c r="I89" s="567"/>
      <c r="J89" s="567"/>
      <c r="K89" s="567"/>
      <c r="L89" s="567"/>
      <c r="M89" s="568" t="e">
        <f t="shared" si="18"/>
        <v>#DIV/0!</v>
      </c>
      <c r="N89" s="567"/>
      <c r="O89" s="567"/>
      <c r="P89" s="567"/>
      <c r="Q89" s="567"/>
      <c r="R89" s="567"/>
      <c r="S89" s="567"/>
      <c r="T89" s="567"/>
      <c r="U89" s="567"/>
      <c r="V89" s="567"/>
      <c r="W89" s="567"/>
      <c r="X89" s="568" t="e">
        <f t="shared" si="19"/>
        <v>#DIV/0!</v>
      </c>
      <c r="Y89" s="567"/>
      <c r="Z89" s="567"/>
      <c r="AA89" s="567"/>
      <c r="AB89" s="567"/>
      <c r="AC89" s="567"/>
      <c r="AD89" s="567"/>
      <c r="AE89" s="567"/>
      <c r="AF89" s="567"/>
      <c r="AG89" s="567"/>
      <c r="AH89" s="567"/>
      <c r="AI89" s="568" t="e">
        <f t="shared" si="20"/>
        <v>#DIV/0!</v>
      </c>
      <c r="AJ89" s="404">
        <f t="shared" si="21"/>
        <v>0</v>
      </c>
      <c r="AK89" s="404">
        <f t="shared" si="22"/>
        <v>0</v>
      </c>
      <c r="AL89" s="404">
        <f t="shared" si="23"/>
        <v>0</v>
      </c>
      <c r="AM89" s="404">
        <f t="shared" si="24"/>
        <v>0</v>
      </c>
      <c r="AN89" s="404">
        <f t="shared" si="25"/>
        <v>0</v>
      </c>
      <c r="AO89" s="404">
        <f t="shared" si="26"/>
        <v>0</v>
      </c>
      <c r="AP89" s="404">
        <f t="shared" si="27"/>
        <v>0</v>
      </c>
      <c r="AQ89" s="404">
        <f t="shared" si="28"/>
        <v>0</v>
      </c>
      <c r="AR89" s="404">
        <f t="shared" si="29"/>
        <v>0</v>
      </c>
      <c r="AS89" s="404">
        <f t="shared" si="30"/>
        <v>0</v>
      </c>
      <c r="AT89" s="404" t="e">
        <f t="shared" si="31"/>
        <v>#DIV/0!</v>
      </c>
    </row>
    <row r="90" spans="1:46" x14ac:dyDescent="0.25">
      <c r="A90" s="13">
        <v>23</v>
      </c>
      <c r="B90" s="13" t="s">
        <v>161</v>
      </c>
      <c r="C90" s="567"/>
      <c r="D90" s="567"/>
      <c r="E90" s="567"/>
      <c r="F90" s="567"/>
      <c r="G90" s="567"/>
      <c r="H90" s="567"/>
      <c r="I90" s="567"/>
      <c r="J90" s="567"/>
      <c r="K90" s="567"/>
      <c r="L90" s="567"/>
      <c r="M90" s="568" t="e">
        <f t="shared" si="18"/>
        <v>#DIV/0!</v>
      </c>
      <c r="N90" s="567"/>
      <c r="O90" s="567"/>
      <c r="P90" s="567"/>
      <c r="Q90" s="567"/>
      <c r="R90" s="567"/>
      <c r="S90" s="567"/>
      <c r="T90" s="567"/>
      <c r="U90" s="567"/>
      <c r="V90" s="567"/>
      <c r="W90" s="567"/>
      <c r="X90" s="568" t="e">
        <f t="shared" si="19"/>
        <v>#DIV/0!</v>
      </c>
      <c r="Y90" s="567"/>
      <c r="Z90" s="567"/>
      <c r="AA90" s="567"/>
      <c r="AB90" s="567"/>
      <c r="AC90" s="567"/>
      <c r="AD90" s="567"/>
      <c r="AE90" s="567"/>
      <c r="AF90" s="567"/>
      <c r="AG90" s="567"/>
      <c r="AH90" s="567"/>
      <c r="AI90" s="568" t="e">
        <f t="shared" si="20"/>
        <v>#DIV/0!</v>
      </c>
      <c r="AJ90" s="404">
        <f t="shared" si="21"/>
        <v>0</v>
      </c>
      <c r="AK90" s="404">
        <f t="shared" si="22"/>
        <v>0</v>
      </c>
      <c r="AL90" s="404">
        <f t="shared" si="23"/>
        <v>0</v>
      </c>
      <c r="AM90" s="404">
        <f t="shared" si="24"/>
        <v>0</v>
      </c>
      <c r="AN90" s="404">
        <f t="shared" si="25"/>
        <v>0</v>
      </c>
      <c r="AO90" s="404">
        <f t="shared" si="26"/>
        <v>0</v>
      </c>
      <c r="AP90" s="404">
        <f t="shared" si="27"/>
        <v>0</v>
      </c>
      <c r="AQ90" s="404">
        <f t="shared" si="28"/>
        <v>0</v>
      </c>
      <c r="AR90" s="404">
        <f t="shared" si="29"/>
        <v>0</v>
      </c>
      <c r="AS90" s="404">
        <f t="shared" si="30"/>
        <v>0</v>
      </c>
      <c r="AT90" s="404" t="e">
        <f t="shared" si="31"/>
        <v>#DIV/0!</v>
      </c>
    </row>
    <row r="91" spans="1:46" x14ac:dyDescent="0.25">
      <c r="A91" s="13">
        <v>24</v>
      </c>
      <c r="B91" s="13" t="s">
        <v>162</v>
      </c>
      <c r="C91" s="567"/>
      <c r="D91" s="567"/>
      <c r="E91" s="567"/>
      <c r="F91" s="567"/>
      <c r="G91" s="567"/>
      <c r="H91" s="567"/>
      <c r="I91" s="567"/>
      <c r="J91" s="567"/>
      <c r="K91" s="567"/>
      <c r="L91" s="567"/>
      <c r="M91" s="568" t="e">
        <f t="shared" si="18"/>
        <v>#DIV/0!</v>
      </c>
      <c r="N91" s="567"/>
      <c r="O91" s="567"/>
      <c r="P91" s="567"/>
      <c r="Q91" s="567"/>
      <c r="R91" s="567"/>
      <c r="S91" s="567"/>
      <c r="T91" s="567"/>
      <c r="U91" s="567"/>
      <c r="V91" s="567"/>
      <c r="W91" s="567"/>
      <c r="X91" s="568" t="e">
        <f t="shared" si="19"/>
        <v>#DIV/0!</v>
      </c>
      <c r="Y91" s="567"/>
      <c r="Z91" s="567"/>
      <c r="AA91" s="567"/>
      <c r="AB91" s="567"/>
      <c r="AC91" s="567"/>
      <c r="AD91" s="567"/>
      <c r="AE91" s="567"/>
      <c r="AF91" s="567"/>
      <c r="AG91" s="567"/>
      <c r="AH91" s="567"/>
      <c r="AI91" s="568" t="e">
        <f t="shared" si="20"/>
        <v>#DIV/0!</v>
      </c>
      <c r="AJ91" s="404">
        <f t="shared" si="21"/>
        <v>0</v>
      </c>
      <c r="AK91" s="404">
        <f t="shared" si="22"/>
        <v>0</v>
      </c>
      <c r="AL91" s="404">
        <f t="shared" si="23"/>
        <v>0</v>
      </c>
      <c r="AM91" s="404">
        <f t="shared" si="24"/>
        <v>0</v>
      </c>
      <c r="AN91" s="404">
        <f t="shared" si="25"/>
        <v>0</v>
      </c>
      <c r="AO91" s="404">
        <f t="shared" si="26"/>
        <v>0</v>
      </c>
      <c r="AP91" s="404">
        <f t="shared" si="27"/>
        <v>0</v>
      </c>
      <c r="AQ91" s="404">
        <f t="shared" si="28"/>
        <v>0</v>
      </c>
      <c r="AR91" s="404">
        <f t="shared" si="29"/>
        <v>0</v>
      </c>
      <c r="AS91" s="404">
        <f t="shared" si="30"/>
        <v>0</v>
      </c>
      <c r="AT91" s="404" t="e">
        <f t="shared" si="31"/>
        <v>#DIV/0!</v>
      </c>
    </row>
    <row r="92" spans="1:46" x14ac:dyDescent="0.25">
      <c r="A92" s="13"/>
      <c r="B92" s="15" t="s">
        <v>163</v>
      </c>
      <c r="C92" s="495" t="e">
        <f>(C5/C$29)*C68+(C6/C$29)*C69+(C7/C$29)*C70+(C8/C$29)*C71+(C9/C$29)*C72+(C10/C$29)*C73+(C11/C$29)*C74+(C12/C$29)*C75+(C13/C$29)*C76+(C14/C$29)*C77+(C15/C$29)*C78+(C16/C$29)*C79+(C17/C$29)*C80+(C18/C$29)*C81+(C19/C$29)*C82+(C20/C$29)*C83+(C21/C$29)*C84+(C22/C$29)*C85+(C23/C$29)*C86+(C24/C$29)*C87+(C25/C$29)*C88+(C26/C$29)*C89+(C27/C$29)*C90+(C28/C$29)*C91</f>
        <v>#DIV/0!</v>
      </c>
      <c r="D92" s="495" t="e">
        <f t="shared" ref="D92:L92" si="32">(D5/D$29)*D68+(D6/D$29)*D69+(D7/D$29)*D70+(D8/D$29)*D71+(D9/D$29)*D72+(D10/D$29)*D73+(D11/D$29)*D74+(D12/D$29)*D75+(D13/D$29)*D76+(D14/D$29)*D77+(D15/D$29)*D78+(D16/D$29)*D79+(D17/D$29)*D80+(D18/D$29)*D81+(D19/D$29)*D82+(D20/D$29)*D83+(D21/D$29)*D84+(D22/D$29)*D85+(D23/D$29)*D86+(D24/D$29)*D87+(D25/D$29)*D88+(D26/D$29)*D89+(D27/D$29)*D90+(D28/D$29)*D91</f>
        <v>#DIV/0!</v>
      </c>
      <c r="E92" s="495" t="e">
        <f t="shared" si="32"/>
        <v>#DIV/0!</v>
      </c>
      <c r="F92" s="495" t="e">
        <f t="shared" si="32"/>
        <v>#DIV/0!</v>
      </c>
      <c r="G92" s="495" t="e">
        <f t="shared" si="32"/>
        <v>#DIV/0!</v>
      </c>
      <c r="H92" s="495" t="e">
        <f t="shared" si="32"/>
        <v>#DIV/0!</v>
      </c>
      <c r="I92" s="495" t="e">
        <f>(I5/I$29)*I68+(I6/I$29)*I69+(I7/I$29)*I70+(I8/I$29)*I71+(I9/I$29)*I72+(I10/I$29)*I73+(I11/I$29)*I74+(I12/I$29)*I75+(I13/I$29)*I76+(I14/I$29)*I77+(I15/I$29)*I78+(I16/I$29)*I79+(I17/I$29)*I80+(I18/I$29)*I81+(I19/I$29)*I82+(I20/I$29)*I83+(I21/I$29)*I84+(I22/I$29)*I85+(I23/I$29)*I86+(I24/I$29)*I87+(I25/I$29)*I88+(I26/I$29)*I89+(I27/I$29)*I90+(I28/I$29)*I91</f>
        <v>#DIV/0!</v>
      </c>
      <c r="J92" s="495" t="e">
        <f>(J5/J$29)*J68+(J6/J$29)*J69+(J7/J$29)*J70+(J8/J$29)*J71+(J9/J$29)*J72+(J10/J$29)*J73+(J11/J$29)*J74+(J12/J$29)*J75+(J13/J$29)*J76+(J14/J$29)*J77+(J15/J$29)*J78+(J16/J$29)*J79+(J17/J$29)*J80+(J18/J$29)*J81+(J19/J$29)*J82+(J20/J$29)*J83+(J21/J$29)*J84+(J22/J$29)*J85+(J23/J$29)*J86+(J24/J$29)*J87+(J25/J$29)*J88+(J26/J$29)*J89+(J27/J$29)*J90+(J28/J$29)*J91</f>
        <v>#DIV/0!</v>
      </c>
      <c r="K92" s="495" t="e">
        <f t="shared" si="32"/>
        <v>#DIV/0!</v>
      </c>
      <c r="L92" s="495" t="e">
        <f t="shared" si="32"/>
        <v>#DIV/0!</v>
      </c>
      <c r="M92" s="495" t="e">
        <f>(M5/M$29)*M68+(M6/M$29)*M69+(M7/M$29)*M70+(M8/M$29)*M71+(M9/M$29)*M72+(M10/M$29)*M73+(M11/M$29)*M74+(M12/M$29)*M75+(M13/M$29)*M76+(M14/M$29)*M77+(M15/M$29)*M78+(M16/M$29)*M79+(M17/M$29)*M80+(M18/M$29)*M81+(M19/M$29)*M82+(M20/M$29)*M83+(M21/M$29)*M84+(M22/M$29)*M85+(M23/M$29)*M86+(M24/M$29)*M87+(M25/M$29)*M88+(M26/M$29)*M89+(M27/M$29)*M90+(M28/M$29)*M91</f>
        <v>#DIV/0!</v>
      </c>
      <c r="N92" s="495" t="e">
        <f>(C5/C$29)*N68+(C6/C$29)*N69+(C7/C$29)*N70+(C8/C$29)*N71+(C9/C$29)*N72+(C10/C$29)*N73+(C11/C$29)*N74+(C12/C$29)*N75+(C13/C$29)*N76+(C14/C$29)*N77+(C15/C$29)*N78+(C16/C$29)*N79+(C17/C$29)*N80+(C18/C$29)*N81+(C19/C$29)*N82+(C20/C$29)*N83+(C21/C$29)*N84+(C22/C$29)*N85+(C23/C$29)*N86+(C24/C$29)*N87+(C25/C$29)*N88+(C26/C$29)*N89+(C27/C$29)*N90+(C28/C$29)*N91</f>
        <v>#DIV/0!</v>
      </c>
      <c r="O92" s="495" t="e">
        <f t="shared" ref="O92:X92" si="33">(D5/D$29)*O68+(D6/D$29)*O69+(D7/D$29)*O70+(D8/D$29)*O71+(D9/D$29)*O72+(D10/D$29)*O73+(D11/D$29)*O74+(D12/D$29)*O75+(D13/D$29)*O76+(D14/D$29)*O77+(D15/D$29)*O78+(D16/D$29)*O79+(D17/D$29)*O80+(D18/D$29)*O81+(D19/D$29)*O82+(D20/D$29)*O83+(D21/D$29)*O84+(D22/D$29)*O85+(D23/D$29)*O86+(D24/D$29)*O87+(D25/D$29)*O88+(D26/D$29)*O89+(D27/D$29)*O90+(D28/D$29)*O91</f>
        <v>#DIV/0!</v>
      </c>
      <c r="P92" s="495" t="e">
        <f t="shared" si="33"/>
        <v>#DIV/0!</v>
      </c>
      <c r="Q92" s="495" t="e">
        <f t="shared" si="33"/>
        <v>#DIV/0!</v>
      </c>
      <c r="R92" s="495" t="e">
        <f t="shared" si="33"/>
        <v>#DIV/0!</v>
      </c>
      <c r="S92" s="495" t="e">
        <f t="shared" si="33"/>
        <v>#DIV/0!</v>
      </c>
      <c r="T92" s="495" t="e">
        <f t="shared" si="33"/>
        <v>#DIV/0!</v>
      </c>
      <c r="U92" s="495" t="e">
        <f t="shared" si="33"/>
        <v>#DIV/0!</v>
      </c>
      <c r="V92" s="495" t="e">
        <f t="shared" si="33"/>
        <v>#DIV/0!</v>
      </c>
      <c r="W92" s="495" t="e">
        <f t="shared" si="33"/>
        <v>#DIV/0!</v>
      </c>
      <c r="X92" s="495" t="e">
        <f t="shared" si="33"/>
        <v>#DIV/0!</v>
      </c>
      <c r="Y92" s="495" t="e">
        <f>(C5/C$29)*Y68+(C6/C$29)*Y69+(C7/C$29)*Y70+(C8/C$29)*Y71+(C9/C$29)*Y72+(C10/C$29)*Y73+(C11/C$29)*Y74+(C12/C$29)*Y75+(C13/C$29)*Y76+(C14/C$29)*Y77+(C15/C$29)*Y78+(C16/C$29)*Y79+(C17/C$29)*Y80+(C18/C$29)*Y81+(C19/C$29)*Y82+(C20/C$29)*Y83+(C21/C$29)*Y84+(C22/C$29)*Y85+(C23/C$29)*Y86+(C24/C$29)*Y87+(C25/C$29)*Y88+(C26/C$29)*Y89+(C27/C$29)*Y90+(C28/C$29)*Y91</f>
        <v>#DIV/0!</v>
      </c>
      <c r="Z92" s="495" t="e">
        <f t="shared" ref="Z92:AH92" si="34">(D5/D$29)*Z68+(D6/D$29)*Z69+(D7/D$29)*Z70+(D8/D$29)*Z71+(D9/D$29)*Z72+(D10/D$29)*Z73+(D11/D$29)*Z74+(D12/D$29)*Z75+(D13/D$29)*Z76+(D14/D$29)*Z77+(D15/D$29)*Z78+(D16/D$29)*Z79+(D17/D$29)*Z80+(D18/D$29)*Z81+(D19/D$29)*Z82+(D20/D$29)*Z83+(D21/D$29)*Z84+(D22/D$29)*Z85+(D23/D$29)*Z86+(D24/D$29)*Z87+(D25/D$29)*Z88+(D26/D$29)*Z89+(D27/D$29)*Z90+(D28/D$29)*Z91</f>
        <v>#DIV/0!</v>
      </c>
      <c r="AA92" s="495" t="e">
        <f t="shared" si="34"/>
        <v>#DIV/0!</v>
      </c>
      <c r="AB92" s="495" t="e">
        <f t="shared" si="34"/>
        <v>#DIV/0!</v>
      </c>
      <c r="AC92" s="495" t="e">
        <f t="shared" si="34"/>
        <v>#DIV/0!</v>
      </c>
      <c r="AD92" s="495" t="e">
        <f t="shared" si="34"/>
        <v>#DIV/0!</v>
      </c>
      <c r="AE92" s="495" t="e">
        <f t="shared" si="34"/>
        <v>#DIV/0!</v>
      </c>
      <c r="AF92" s="495" t="e">
        <f t="shared" si="34"/>
        <v>#DIV/0!</v>
      </c>
      <c r="AG92" s="495" t="e">
        <f t="shared" si="34"/>
        <v>#DIV/0!</v>
      </c>
      <c r="AH92" s="495" t="e">
        <f t="shared" si="34"/>
        <v>#DIV/0!</v>
      </c>
      <c r="AI92" s="495" t="e">
        <f>(M5/M$29)*AI68+(M6/M$29)*AI69+(M7/M$29)*AI70+(M8/M$29)*AI71+(M9/M$29)*AI72+(M10/M$29)*AI73+(M11/M$29)*AI74+(M12/M$29)*AI75+(M13/M$29)*AI76+(M14/M$29)*AI77+(M15/M$29)*AI78+(M16/M$29)*AI79+(M17/M$29)*AI80+(M18/M$29)*AI81+(M19/M$29)*AI82+(M20/M$29)*AI83+(M21/M$29)*AI84+(M22/M$29)*AI85+(M23/M$29)*AI86+(M24/M$29)*AI87+(M25/M$29)*AI88+(M26/M$29)*AI89+(M27/M$29)*AI90+(M28/M$29)*AI91</f>
        <v>#DIV/0!</v>
      </c>
      <c r="AJ92" s="404" t="e">
        <f>C92*C63+N63*N92+Y63*Y92</f>
        <v>#DIV/0!</v>
      </c>
      <c r="AK92" s="404" t="e">
        <f t="shared" ref="AK92" si="35">D92*D63+O63*O92+Z63*Z92</f>
        <v>#DIV/0!</v>
      </c>
      <c r="AL92" s="404" t="e">
        <f t="shared" ref="AL92" si="36">E92*E63+P63*P92+AA63*AA92</f>
        <v>#DIV/0!</v>
      </c>
      <c r="AM92" s="404" t="e">
        <f t="shared" ref="AM92" si="37">F92*F63+Q63*Q92+AB63*AB92</f>
        <v>#DIV/0!</v>
      </c>
      <c r="AN92" s="404" t="e">
        <f t="shared" ref="AN92" si="38">G92*G63+R63*R92+AC63*AC92</f>
        <v>#DIV/0!</v>
      </c>
      <c r="AO92" s="404" t="e">
        <f t="shared" ref="AO92" si="39">H92*H63+S63*S92+AD63*AD92</f>
        <v>#DIV/0!</v>
      </c>
      <c r="AP92" s="404" t="e">
        <f t="shared" ref="AP92" si="40">I92*I63+T63*T92+AE63*AE92</f>
        <v>#DIV/0!</v>
      </c>
      <c r="AQ92" s="404" t="e">
        <f t="shared" ref="AQ92" si="41">J92*J63+U63*U92+AF63*AF92</f>
        <v>#DIV/0!</v>
      </c>
      <c r="AR92" s="404" t="e">
        <f t="shared" ref="AR92" si="42">K92*K63+V63*V92+AG63*AG92</f>
        <v>#DIV/0!</v>
      </c>
      <c r="AS92" s="404" t="e">
        <f t="shared" ref="AS92" si="43">L92*L63+W63*W92+AH63*AH92</f>
        <v>#DIV/0!</v>
      </c>
      <c r="AT92" s="404" t="e">
        <f>M92*M63+X63*X92+AI63*AI92</f>
        <v>#DIV/0!</v>
      </c>
    </row>
    <row r="96" spans="1:46" ht="14.45" customHeight="1" x14ac:dyDescent="0.25">
      <c r="B96" s="756" t="s">
        <v>101</v>
      </c>
      <c r="C96" s="759" t="s">
        <v>218</v>
      </c>
      <c r="D96" s="759"/>
      <c r="E96" s="759"/>
      <c r="F96" s="759"/>
      <c r="G96" s="759"/>
      <c r="H96" s="759"/>
      <c r="I96" s="759"/>
      <c r="J96" s="759"/>
      <c r="K96" s="759"/>
      <c r="L96" s="759"/>
      <c r="M96" s="759"/>
      <c r="N96" s="759" t="s">
        <v>219</v>
      </c>
      <c r="O96" s="759"/>
      <c r="P96" s="759"/>
      <c r="Q96" s="759"/>
      <c r="R96" s="759"/>
      <c r="S96" s="759"/>
      <c r="T96" s="759"/>
      <c r="U96" s="759"/>
      <c r="V96" s="759"/>
      <c r="W96" s="759"/>
      <c r="X96" s="759"/>
      <c r="Y96" s="759" t="s">
        <v>220</v>
      </c>
      <c r="Z96" s="759"/>
      <c r="AA96" s="759"/>
      <c r="AB96" s="759"/>
      <c r="AC96" s="759"/>
      <c r="AD96" s="759"/>
      <c r="AE96" s="759"/>
      <c r="AF96" s="759"/>
      <c r="AG96" s="759"/>
      <c r="AH96" s="759"/>
      <c r="AI96" s="759"/>
      <c r="AJ96" s="759" t="s">
        <v>221</v>
      </c>
      <c r="AK96" s="759"/>
      <c r="AL96" s="759"/>
      <c r="AM96" s="759"/>
      <c r="AN96" s="759"/>
      <c r="AO96" s="759"/>
      <c r="AP96" s="759"/>
      <c r="AQ96" s="759"/>
      <c r="AR96" s="759"/>
      <c r="AS96" s="759"/>
      <c r="AT96" s="759"/>
    </row>
    <row r="97" spans="1:46" ht="45" x14ac:dyDescent="0.25">
      <c r="B97" s="756"/>
      <c r="C97" s="16" t="s">
        <v>24</v>
      </c>
      <c r="D97" s="16" t="s">
        <v>26</v>
      </c>
      <c r="E97" s="85" t="s">
        <v>28</v>
      </c>
      <c r="F97" s="85" t="s">
        <v>30</v>
      </c>
      <c r="G97" s="85" t="s">
        <v>210</v>
      </c>
      <c r="H97" s="85" t="s">
        <v>131</v>
      </c>
      <c r="I97" s="85" t="s">
        <v>211</v>
      </c>
      <c r="J97" s="399" t="s">
        <v>38</v>
      </c>
      <c r="K97" s="85" t="s">
        <v>212</v>
      </c>
      <c r="L97" s="85" t="s">
        <v>125</v>
      </c>
      <c r="M97" s="174" t="s">
        <v>120</v>
      </c>
      <c r="N97" s="16" t="s">
        <v>24</v>
      </c>
      <c r="O97" s="16" t="s">
        <v>26</v>
      </c>
      <c r="P97" s="85" t="s">
        <v>28</v>
      </c>
      <c r="Q97" s="85" t="s">
        <v>30</v>
      </c>
      <c r="R97" s="85" t="s">
        <v>210</v>
      </c>
      <c r="S97" s="85" t="s">
        <v>131</v>
      </c>
      <c r="T97" s="85" t="s">
        <v>211</v>
      </c>
      <c r="U97" s="399" t="s">
        <v>38</v>
      </c>
      <c r="V97" s="85" t="s">
        <v>212</v>
      </c>
      <c r="W97" s="85" t="s">
        <v>125</v>
      </c>
      <c r="X97" s="174" t="s">
        <v>120</v>
      </c>
      <c r="Y97" s="16" t="s">
        <v>24</v>
      </c>
      <c r="Z97" s="16" t="s">
        <v>26</v>
      </c>
      <c r="AA97" s="85" t="s">
        <v>28</v>
      </c>
      <c r="AB97" s="85" t="s">
        <v>30</v>
      </c>
      <c r="AC97" s="85" t="s">
        <v>210</v>
      </c>
      <c r="AD97" s="85" t="s">
        <v>131</v>
      </c>
      <c r="AE97" s="85" t="s">
        <v>211</v>
      </c>
      <c r="AF97" s="399" t="s">
        <v>38</v>
      </c>
      <c r="AG97" s="85" t="s">
        <v>212</v>
      </c>
      <c r="AH97" s="85" t="s">
        <v>125</v>
      </c>
      <c r="AI97" s="174" t="s">
        <v>120</v>
      </c>
      <c r="AJ97" s="16" t="s">
        <v>24</v>
      </c>
      <c r="AK97" s="16" t="s">
        <v>26</v>
      </c>
      <c r="AL97" s="85" t="s">
        <v>28</v>
      </c>
      <c r="AM97" s="85" t="s">
        <v>30</v>
      </c>
      <c r="AN97" s="85" t="s">
        <v>210</v>
      </c>
      <c r="AO97" s="85" t="s">
        <v>131</v>
      </c>
      <c r="AP97" s="85" t="s">
        <v>211</v>
      </c>
      <c r="AQ97" s="399" t="s">
        <v>38</v>
      </c>
      <c r="AR97" s="85" t="s">
        <v>212</v>
      </c>
      <c r="AS97" s="85" t="s">
        <v>125</v>
      </c>
      <c r="AT97" s="174" t="s">
        <v>120</v>
      </c>
    </row>
    <row r="98" spans="1:46" x14ac:dyDescent="0.25">
      <c r="A98" s="272">
        <v>1</v>
      </c>
      <c r="B98" s="272" t="s">
        <v>139</v>
      </c>
      <c r="C98" s="97">
        <f>C68*C39*C5</f>
        <v>0</v>
      </c>
      <c r="D98" s="97">
        <f t="shared" ref="D98:L98" si="44">D68*D39*D5</f>
        <v>0</v>
      </c>
      <c r="E98" s="97">
        <f t="shared" si="44"/>
        <v>0</v>
      </c>
      <c r="F98" s="97">
        <f t="shared" si="44"/>
        <v>0</v>
      </c>
      <c r="G98" s="97">
        <f t="shared" si="44"/>
        <v>0</v>
      </c>
      <c r="H98" s="97">
        <f t="shared" si="44"/>
        <v>0</v>
      </c>
      <c r="I98" s="97">
        <f t="shared" si="44"/>
        <v>0</v>
      </c>
      <c r="J98" s="97">
        <f t="shared" si="44"/>
        <v>0</v>
      </c>
      <c r="K98" s="97">
        <f t="shared" si="44"/>
        <v>0</v>
      </c>
      <c r="L98" s="97">
        <f t="shared" si="44"/>
        <v>0</v>
      </c>
      <c r="M98" s="173">
        <f>SUM(C98:L98)</f>
        <v>0</v>
      </c>
      <c r="N98" s="97">
        <f>N68*N39*C5</f>
        <v>0</v>
      </c>
      <c r="O98" s="97">
        <f t="shared" ref="O98:W98" si="45">O68*O39*D5</f>
        <v>0</v>
      </c>
      <c r="P98" s="97">
        <f t="shared" si="45"/>
        <v>0</v>
      </c>
      <c r="Q98" s="97">
        <f t="shared" si="45"/>
        <v>0</v>
      </c>
      <c r="R98" s="97">
        <f t="shared" si="45"/>
        <v>0</v>
      </c>
      <c r="S98" s="97">
        <f t="shared" si="45"/>
        <v>0</v>
      </c>
      <c r="T98" s="97">
        <f t="shared" si="45"/>
        <v>0</v>
      </c>
      <c r="U98" s="97">
        <f t="shared" si="45"/>
        <v>0</v>
      </c>
      <c r="V98" s="97">
        <f t="shared" si="45"/>
        <v>0</v>
      </c>
      <c r="W98" s="97">
        <f t="shared" si="45"/>
        <v>0</v>
      </c>
      <c r="X98" s="173">
        <f>SUM(N98:W98)</f>
        <v>0</v>
      </c>
      <c r="Y98" s="97">
        <f>Y68*Y39*C5</f>
        <v>0</v>
      </c>
      <c r="Z98" s="97">
        <f t="shared" ref="Z98:AH98" si="46">Z68*Z39*D5</f>
        <v>0</v>
      </c>
      <c r="AA98" s="97">
        <f t="shared" si="46"/>
        <v>0</v>
      </c>
      <c r="AB98" s="97">
        <f t="shared" si="46"/>
        <v>0</v>
      </c>
      <c r="AC98" s="97">
        <f t="shared" si="46"/>
        <v>0</v>
      </c>
      <c r="AD98" s="97">
        <f t="shared" si="46"/>
        <v>0</v>
      </c>
      <c r="AE98" s="97">
        <f t="shared" si="46"/>
        <v>0</v>
      </c>
      <c r="AF98" s="97">
        <f t="shared" si="46"/>
        <v>0</v>
      </c>
      <c r="AG98" s="97">
        <f t="shared" si="46"/>
        <v>0</v>
      </c>
      <c r="AH98" s="97">
        <f t="shared" si="46"/>
        <v>0</v>
      </c>
      <c r="AI98" s="173">
        <f>SUM(Y98:AH98)</f>
        <v>0</v>
      </c>
      <c r="AJ98" s="173">
        <f>C98+N98+Y98</f>
        <v>0</v>
      </c>
      <c r="AK98" s="173">
        <f t="shared" ref="AK98:AS98" si="47">D98+O98+Z98</f>
        <v>0</v>
      </c>
      <c r="AL98" s="173">
        <f t="shared" si="47"/>
        <v>0</v>
      </c>
      <c r="AM98" s="173">
        <f t="shared" si="47"/>
        <v>0</v>
      </c>
      <c r="AN98" s="173">
        <f t="shared" si="47"/>
        <v>0</v>
      </c>
      <c r="AO98" s="173">
        <f t="shared" si="47"/>
        <v>0</v>
      </c>
      <c r="AP98" s="173">
        <f t="shared" si="47"/>
        <v>0</v>
      </c>
      <c r="AQ98" s="173">
        <f t="shared" si="47"/>
        <v>0</v>
      </c>
      <c r="AR98" s="173">
        <f t="shared" si="47"/>
        <v>0</v>
      </c>
      <c r="AS98" s="173">
        <f t="shared" si="47"/>
        <v>0</v>
      </c>
      <c r="AT98" s="173">
        <f>SUM(AJ98:AS98)</f>
        <v>0</v>
      </c>
    </row>
    <row r="99" spans="1:46" x14ac:dyDescent="0.25">
      <c r="A99" s="13">
        <v>2</v>
      </c>
      <c r="B99" s="13" t="s">
        <v>140</v>
      </c>
      <c r="C99" s="97">
        <f t="shared" ref="C99:L99" si="48">C69*C40*C6</f>
        <v>0</v>
      </c>
      <c r="D99" s="97">
        <f t="shared" si="48"/>
        <v>0</v>
      </c>
      <c r="E99" s="97">
        <f t="shared" si="48"/>
        <v>0</v>
      </c>
      <c r="F99" s="97">
        <f t="shared" si="48"/>
        <v>0</v>
      </c>
      <c r="G99" s="97">
        <f t="shared" si="48"/>
        <v>0</v>
      </c>
      <c r="H99" s="97">
        <f t="shared" si="48"/>
        <v>0</v>
      </c>
      <c r="I99" s="97">
        <f t="shared" si="48"/>
        <v>0</v>
      </c>
      <c r="J99" s="97">
        <f t="shared" si="48"/>
        <v>0</v>
      </c>
      <c r="K99" s="97">
        <f t="shared" si="48"/>
        <v>0</v>
      </c>
      <c r="L99" s="97">
        <f t="shared" si="48"/>
        <v>0</v>
      </c>
      <c r="M99" s="173">
        <f t="shared" ref="M99:M121" si="49">SUM(C99:L99)</f>
        <v>0</v>
      </c>
      <c r="N99" s="97">
        <f t="shared" ref="N99:N121" si="50">N69*N40*C6</f>
        <v>0</v>
      </c>
      <c r="O99" s="97">
        <f t="shared" ref="O99:O121" si="51">O69*O40*D6</f>
        <v>0</v>
      </c>
      <c r="P99" s="97">
        <f t="shared" ref="P99:P121" si="52">P69*P40*E6</f>
        <v>0</v>
      </c>
      <c r="Q99" s="97">
        <f t="shared" ref="Q99:Q121" si="53">Q69*Q40*F6</f>
        <v>0</v>
      </c>
      <c r="R99" s="97">
        <f t="shared" ref="R99:R121" si="54">R69*R40*G6</f>
        <v>0</v>
      </c>
      <c r="S99" s="97">
        <f t="shared" ref="S99:S121" si="55">S69*S40*H6</f>
        <v>0</v>
      </c>
      <c r="T99" s="97">
        <f t="shared" ref="T99:T121" si="56">T69*T40*I6</f>
        <v>0</v>
      </c>
      <c r="U99" s="97">
        <f t="shared" ref="U99:U121" si="57">U69*U40*J6</f>
        <v>0</v>
      </c>
      <c r="V99" s="97">
        <f t="shared" ref="V99:V121" si="58">V69*V40*K6</f>
        <v>0</v>
      </c>
      <c r="W99" s="97">
        <f t="shared" ref="W99:W121" si="59">W69*W40*L6</f>
        <v>0</v>
      </c>
      <c r="X99" s="173">
        <f t="shared" ref="X99:X121" si="60">SUM(N99:W99)</f>
        <v>0</v>
      </c>
      <c r="Y99" s="97">
        <f t="shared" ref="Y99:Y121" si="61">Y69*Y40*C6</f>
        <v>0</v>
      </c>
      <c r="Z99" s="97">
        <f t="shared" ref="Z99:Z121" si="62">Z69*Z40*D6</f>
        <v>0</v>
      </c>
      <c r="AA99" s="97">
        <f t="shared" ref="AA99:AA121" si="63">AA69*AA40*E6</f>
        <v>0</v>
      </c>
      <c r="AB99" s="97">
        <f t="shared" ref="AB99:AB121" si="64">AB69*AB40*F6</f>
        <v>0</v>
      </c>
      <c r="AC99" s="97">
        <f t="shared" ref="AC99:AC121" si="65">AC69*AC40*G6</f>
        <v>0</v>
      </c>
      <c r="AD99" s="97">
        <f t="shared" ref="AD99:AD121" si="66">AD69*AD40*H6</f>
        <v>0</v>
      </c>
      <c r="AE99" s="97">
        <f t="shared" ref="AE99:AE121" si="67">AE69*AE40*I6</f>
        <v>0</v>
      </c>
      <c r="AF99" s="97">
        <f t="shared" ref="AF99:AF121" si="68">AF69*AF40*J6</f>
        <v>0</v>
      </c>
      <c r="AG99" s="97">
        <f t="shared" ref="AG99:AG121" si="69">AG69*AG40*K6</f>
        <v>0</v>
      </c>
      <c r="AH99" s="97">
        <f t="shared" ref="AH99:AH121" si="70">AH69*AH40*L6</f>
        <v>0</v>
      </c>
      <c r="AI99" s="173">
        <f t="shared" ref="AI99:AI121" si="71">SUM(Y99:AH99)</f>
        <v>0</v>
      </c>
      <c r="AJ99" s="173">
        <f t="shared" ref="AJ99:AJ121" si="72">C99+N99+Y99</f>
        <v>0</v>
      </c>
      <c r="AK99" s="173">
        <f t="shared" ref="AK99:AK122" si="73">D99+O99+Z99</f>
        <v>0</v>
      </c>
      <c r="AL99" s="173">
        <f t="shared" ref="AL99:AL122" si="74">E99+P99+AA99</f>
        <v>0</v>
      </c>
      <c r="AM99" s="173">
        <f t="shared" ref="AM99:AM122" si="75">F99+Q99+AB99</f>
        <v>0</v>
      </c>
      <c r="AN99" s="173">
        <f t="shared" ref="AN99:AN122" si="76">G99+R99+AC99</f>
        <v>0</v>
      </c>
      <c r="AO99" s="173">
        <f t="shared" ref="AO99:AO122" si="77">H99+S99+AD99</f>
        <v>0</v>
      </c>
      <c r="AP99" s="173">
        <f t="shared" ref="AP99:AP122" si="78">I99+T99+AE99</f>
        <v>0</v>
      </c>
      <c r="AQ99" s="173">
        <f t="shared" ref="AQ99:AQ122" si="79">J99+U99+AF99</f>
        <v>0</v>
      </c>
      <c r="AR99" s="173">
        <f t="shared" ref="AR99:AR122" si="80">K99+V99+AG99</f>
        <v>0</v>
      </c>
      <c r="AS99" s="173">
        <f t="shared" ref="AS99:AS122" si="81">L99+W99+AH99</f>
        <v>0</v>
      </c>
      <c r="AT99" s="173">
        <f t="shared" ref="AT99:AT121" si="82">SUM(AJ99:AS99)</f>
        <v>0</v>
      </c>
    </row>
    <row r="100" spans="1:46" x14ac:dyDescent="0.25">
      <c r="A100" s="13">
        <v>3</v>
      </c>
      <c r="B100" s="13" t="s">
        <v>141</v>
      </c>
      <c r="C100" s="97">
        <f t="shared" ref="C100:L100" si="83">C70*C41*C7</f>
        <v>0</v>
      </c>
      <c r="D100" s="97">
        <f t="shared" si="83"/>
        <v>0</v>
      </c>
      <c r="E100" s="97">
        <f t="shared" si="83"/>
        <v>0</v>
      </c>
      <c r="F100" s="97">
        <f t="shared" si="83"/>
        <v>0</v>
      </c>
      <c r="G100" s="97">
        <f t="shared" si="83"/>
        <v>0</v>
      </c>
      <c r="H100" s="97">
        <f t="shared" si="83"/>
        <v>0</v>
      </c>
      <c r="I100" s="97">
        <f t="shared" si="83"/>
        <v>0</v>
      </c>
      <c r="J100" s="97">
        <f t="shared" si="83"/>
        <v>0</v>
      </c>
      <c r="K100" s="97">
        <f t="shared" si="83"/>
        <v>0</v>
      </c>
      <c r="L100" s="97">
        <f t="shared" si="83"/>
        <v>0</v>
      </c>
      <c r="M100" s="173">
        <f t="shared" si="49"/>
        <v>0</v>
      </c>
      <c r="N100" s="97">
        <f t="shared" si="50"/>
        <v>0</v>
      </c>
      <c r="O100" s="97">
        <f t="shared" si="51"/>
        <v>0</v>
      </c>
      <c r="P100" s="97">
        <f t="shared" si="52"/>
        <v>0</v>
      </c>
      <c r="Q100" s="97">
        <f t="shared" si="53"/>
        <v>0</v>
      </c>
      <c r="R100" s="97">
        <f t="shared" si="54"/>
        <v>0</v>
      </c>
      <c r="S100" s="97">
        <f t="shared" si="55"/>
        <v>0</v>
      </c>
      <c r="T100" s="97">
        <f t="shared" si="56"/>
        <v>0</v>
      </c>
      <c r="U100" s="97">
        <f t="shared" si="57"/>
        <v>0</v>
      </c>
      <c r="V100" s="97">
        <f t="shared" si="58"/>
        <v>0</v>
      </c>
      <c r="W100" s="97">
        <f t="shared" si="59"/>
        <v>0</v>
      </c>
      <c r="X100" s="173">
        <f t="shared" si="60"/>
        <v>0</v>
      </c>
      <c r="Y100" s="97">
        <f t="shared" si="61"/>
        <v>0</v>
      </c>
      <c r="Z100" s="97">
        <f t="shared" si="62"/>
        <v>0</v>
      </c>
      <c r="AA100" s="97">
        <f t="shared" si="63"/>
        <v>0</v>
      </c>
      <c r="AB100" s="97">
        <f t="shared" si="64"/>
        <v>0</v>
      </c>
      <c r="AC100" s="97">
        <f t="shared" si="65"/>
        <v>0</v>
      </c>
      <c r="AD100" s="97">
        <f t="shared" si="66"/>
        <v>0</v>
      </c>
      <c r="AE100" s="97">
        <f t="shared" si="67"/>
        <v>0</v>
      </c>
      <c r="AF100" s="97">
        <f t="shared" si="68"/>
        <v>0</v>
      </c>
      <c r="AG100" s="97">
        <f t="shared" si="69"/>
        <v>0</v>
      </c>
      <c r="AH100" s="97">
        <f t="shared" si="70"/>
        <v>0</v>
      </c>
      <c r="AI100" s="173">
        <f t="shared" si="71"/>
        <v>0</v>
      </c>
      <c r="AJ100" s="173">
        <f t="shared" si="72"/>
        <v>0</v>
      </c>
      <c r="AK100" s="173">
        <f t="shared" si="73"/>
        <v>0</v>
      </c>
      <c r="AL100" s="173">
        <f t="shared" si="74"/>
        <v>0</v>
      </c>
      <c r="AM100" s="173">
        <f t="shared" si="75"/>
        <v>0</v>
      </c>
      <c r="AN100" s="173">
        <f t="shared" si="76"/>
        <v>0</v>
      </c>
      <c r="AO100" s="173">
        <f t="shared" si="77"/>
        <v>0</v>
      </c>
      <c r="AP100" s="173">
        <f t="shared" si="78"/>
        <v>0</v>
      </c>
      <c r="AQ100" s="173">
        <f t="shared" si="79"/>
        <v>0</v>
      </c>
      <c r="AR100" s="173">
        <f t="shared" si="80"/>
        <v>0</v>
      </c>
      <c r="AS100" s="173">
        <f t="shared" si="81"/>
        <v>0</v>
      </c>
      <c r="AT100" s="173">
        <f t="shared" si="82"/>
        <v>0</v>
      </c>
    </row>
    <row r="101" spans="1:46" x14ac:dyDescent="0.25">
      <c r="A101" s="13">
        <v>4</v>
      </c>
      <c r="B101" s="13" t="s">
        <v>142</v>
      </c>
      <c r="C101" s="97">
        <f t="shared" ref="C101:L101" si="84">C71*C42*C8</f>
        <v>0</v>
      </c>
      <c r="D101" s="97">
        <f t="shared" si="84"/>
        <v>0</v>
      </c>
      <c r="E101" s="97">
        <f t="shared" si="84"/>
        <v>0</v>
      </c>
      <c r="F101" s="97">
        <f t="shared" si="84"/>
        <v>0</v>
      </c>
      <c r="G101" s="97">
        <f t="shared" si="84"/>
        <v>0</v>
      </c>
      <c r="H101" s="97">
        <f t="shared" si="84"/>
        <v>0</v>
      </c>
      <c r="I101" s="97">
        <f t="shared" si="84"/>
        <v>0</v>
      </c>
      <c r="J101" s="97">
        <f t="shared" si="84"/>
        <v>0</v>
      </c>
      <c r="K101" s="97">
        <f t="shared" si="84"/>
        <v>0</v>
      </c>
      <c r="L101" s="97">
        <f t="shared" si="84"/>
        <v>0</v>
      </c>
      <c r="M101" s="173">
        <f t="shared" si="49"/>
        <v>0</v>
      </c>
      <c r="N101" s="97">
        <f t="shared" si="50"/>
        <v>0</v>
      </c>
      <c r="O101" s="97">
        <f t="shared" si="51"/>
        <v>0</v>
      </c>
      <c r="P101" s="97">
        <f t="shared" si="52"/>
        <v>0</v>
      </c>
      <c r="Q101" s="97">
        <f t="shared" si="53"/>
        <v>0</v>
      </c>
      <c r="R101" s="97">
        <f t="shared" si="54"/>
        <v>0</v>
      </c>
      <c r="S101" s="97">
        <f t="shared" si="55"/>
        <v>0</v>
      </c>
      <c r="T101" s="97">
        <f t="shared" si="56"/>
        <v>0</v>
      </c>
      <c r="U101" s="97">
        <f t="shared" si="57"/>
        <v>0</v>
      </c>
      <c r="V101" s="97">
        <f t="shared" si="58"/>
        <v>0</v>
      </c>
      <c r="W101" s="97">
        <f t="shared" si="59"/>
        <v>0</v>
      </c>
      <c r="X101" s="173">
        <f t="shared" si="60"/>
        <v>0</v>
      </c>
      <c r="Y101" s="97">
        <f t="shared" si="61"/>
        <v>0</v>
      </c>
      <c r="Z101" s="97">
        <f t="shared" si="62"/>
        <v>0</v>
      </c>
      <c r="AA101" s="97">
        <f t="shared" si="63"/>
        <v>0</v>
      </c>
      <c r="AB101" s="97">
        <f t="shared" si="64"/>
        <v>0</v>
      </c>
      <c r="AC101" s="97">
        <f t="shared" si="65"/>
        <v>0</v>
      </c>
      <c r="AD101" s="97">
        <f t="shared" si="66"/>
        <v>0</v>
      </c>
      <c r="AE101" s="97">
        <f t="shared" si="67"/>
        <v>0</v>
      </c>
      <c r="AF101" s="97">
        <f t="shared" si="68"/>
        <v>0</v>
      </c>
      <c r="AG101" s="97">
        <f t="shared" si="69"/>
        <v>0</v>
      </c>
      <c r="AH101" s="97">
        <f t="shared" si="70"/>
        <v>0</v>
      </c>
      <c r="AI101" s="173">
        <f t="shared" si="71"/>
        <v>0</v>
      </c>
      <c r="AJ101" s="173">
        <f t="shared" si="72"/>
        <v>0</v>
      </c>
      <c r="AK101" s="173">
        <f t="shared" si="73"/>
        <v>0</v>
      </c>
      <c r="AL101" s="173">
        <f t="shared" si="74"/>
        <v>0</v>
      </c>
      <c r="AM101" s="173">
        <f t="shared" si="75"/>
        <v>0</v>
      </c>
      <c r="AN101" s="173">
        <f t="shared" si="76"/>
        <v>0</v>
      </c>
      <c r="AO101" s="173">
        <f t="shared" si="77"/>
        <v>0</v>
      </c>
      <c r="AP101" s="173">
        <f t="shared" si="78"/>
        <v>0</v>
      </c>
      <c r="AQ101" s="173">
        <f t="shared" si="79"/>
        <v>0</v>
      </c>
      <c r="AR101" s="173">
        <f t="shared" si="80"/>
        <v>0</v>
      </c>
      <c r="AS101" s="173">
        <f t="shared" si="81"/>
        <v>0</v>
      </c>
      <c r="AT101" s="173">
        <f t="shared" si="82"/>
        <v>0</v>
      </c>
    </row>
    <row r="102" spans="1:46" x14ac:dyDescent="0.25">
      <c r="A102" s="13">
        <v>5</v>
      </c>
      <c r="B102" s="13" t="s">
        <v>143</v>
      </c>
      <c r="C102" s="97">
        <f t="shared" ref="C102:L102" si="85">C72*C43*C9</f>
        <v>0</v>
      </c>
      <c r="D102" s="97">
        <f t="shared" si="85"/>
        <v>0</v>
      </c>
      <c r="E102" s="97">
        <f t="shared" si="85"/>
        <v>0</v>
      </c>
      <c r="F102" s="97">
        <f t="shared" si="85"/>
        <v>0</v>
      </c>
      <c r="G102" s="97">
        <f t="shared" si="85"/>
        <v>0</v>
      </c>
      <c r="H102" s="97">
        <f t="shared" si="85"/>
        <v>0</v>
      </c>
      <c r="I102" s="97">
        <f t="shared" si="85"/>
        <v>0</v>
      </c>
      <c r="J102" s="97">
        <f t="shared" si="85"/>
        <v>0</v>
      </c>
      <c r="K102" s="97">
        <f t="shared" si="85"/>
        <v>0</v>
      </c>
      <c r="L102" s="97">
        <f t="shared" si="85"/>
        <v>0</v>
      </c>
      <c r="M102" s="173">
        <f t="shared" si="49"/>
        <v>0</v>
      </c>
      <c r="N102" s="97">
        <f t="shared" si="50"/>
        <v>0</v>
      </c>
      <c r="O102" s="97">
        <f t="shared" si="51"/>
        <v>0</v>
      </c>
      <c r="P102" s="97">
        <f t="shared" si="52"/>
        <v>0</v>
      </c>
      <c r="Q102" s="97">
        <f t="shared" si="53"/>
        <v>0</v>
      </c>
      <c r="R102" s="97">
        <f t="shared" si="54"/>
        <v>0</v>
      </c>
      <c r="S102" s="97">
        <f t="shared" si="55"/>
        <v>0</v>
      </c>
      <c r="T102" s="97">
        <f t="shared" si="56"/>
        <v>0</v>
      </c>
      <c r="U102" s="97">
        <f t="shared" si="57"/>
        <v>0</v>
      </c>
      <c r="V102" s="97">
        <f t="shared" si="58"/>
        <v>0</v>
      </c>
      <c r="W102" s="97">
        <f t="shared" si="59"/>
        <v>0</v>
      </c>
      <c r="X102" s="173">
        <f t="shared" si="60"/>
        <v>0</v>
      </c>
      <c r="Y102" s="97">
        <f t="shared" si="61"/>
        <v>0</v>
      </c>
      <c r="Z102" s="97">
        <f t="shared" si="62"/>
        <v>0</v>
      </c>
      <c r="AA102" s="97">
        <f t="shared" si="63"/>
        <v>0</v>
      </c>
      <c r="AB102" s="97">
        <f t="shared" si="64"/>
        <v>0</v>
      </c>
      <c r="AC102" s="97">
        <f t="shared" si="65"/>
        <v>0</v>
      </c>
      <c r="AD102" s="97">
        <f t="shared" si="66"/>
        <v>0</v>
      </c>
      <c r="AE102" s="97">
        <f t="shared" si="67"/>
        <v>0</v>
      </c>
      <c r="AF102" s="97">
        <f t="shared" si="68"/>
        <v>0</v>
      </c>
      <c r="AG102" s="97">
        <f t="shared" si="69"/>
        <v>0</v>
      </c>
      <c r="AH102" s="97">
        <f t="shared" si="70"/>
        <v>0</v>
      </c>
      <c r="AI102" s="173">
        <f t="shared" si="71"/>
        <v>0</v>
      </c>
      <c r="AJ102" s="173">
        <f t="shared" si="72"/>
        <v>0</v>
      </c>
      <c r="AK102" s="173">
        <f t="shared" si="73"/>
        <v>0</v>
      </c>
      <c r="AL102" s="173">
        <f t="shared" si="74"/>
        <v>0</v>
      </c>
      <c r="AM102" s="173">
        <f t="shared" si="75"/>
        <v>0</v>
      </c>
      <c r="AN102" s="173">
        <f t="shared" si="76"/>
        <v>0</v>
      </c>
      <c r="AO102" s="173">
        <f t="shared" si="77"/>
        <v>0</v>
      </c>
      <c r="AP102" s="173">
        <f t="shared" si="78"/>
        <v>0</v>
      </c>
      <c r="AQ102" s="173">
        <f t="shared" si="79"/>
        <v>0</v>
      </c>
      <c r="AR102" s="173">
        <f t="shared" si="80"/>
        <v>0</v>
      </c>
      <c r="AS102" s="173">
        <f t="shared" si="81"/>
        <v>0</v>
      </c>
      <c r="AT102" s="173">
        <f t="shared" si="82"/>
        <v>0</v>
      </c>
    </row>
    <row r="103" spans="1:46" x14ac:dyDescent="0.25">
      <c r="A103" s="13">
        <v>6</v>
      </c>
      <c r="B103" s="13" t="s">
        <v>144</v>
      </c>
      <c r="C103" s="97">
        <f t="shared" ref="C103:L103" si="86">C73*C44*C10</f>
        <v>0</v>
      </c>
      <c r="D103" s="97">
        <f t="shared" si="86"/>
        <v>0</v>
      </c>
      <c r="E103" s="97">
        <f t="shared" si="86"/>
        <v>0</v>
      </c>
      <c r="F103" s="97">
        <f t="shared" si="86"/>
        <v>0</v>
      </c>
      <c r="G103" s="97">
        <f t="shared" si="86"/>
        <v>0</v>
      </c>
      <c r="H103" s="97">
        <f t="shared" si="86"/>
        <v>0</v>
      </c>
      <c r="I103" s="97">
        <f t="shared" si="86"/>
        <v>0</v>
      </c>
      <c r="J103" s="97">
        <f t="shared" si="86"/>
        <v>0</v>
      </c>
      <c r="K103" s="97">
        <f t="shared" si="86"/>
        <v>0</v>
      </c>
      <c r="L103" s="97">
        <f t="shared" si="86"/>
        <v>0</v>
      </c>
      <c r="M103" s="173">
        <f t="shared" si="49"/>
        <v>0</v>
      </c>
      <c r="N103" s="97">
        <f t="shared" si="50"/>
        <v>0</v>
      </c>
      <c r="O103" s="97">
        <f t="shared" si="51"/>
        <v>0</v>
      </c>
      <c r="P103" s="97">
        <f t="shared" si="52"/>
        <v>0</v>
      </c>
      <c r="Q103" s="97">
        <f t="shared" si="53"/>
        <v>0</v>
      </c>
      <c r="R103" s="97">
        <f t="shared" si="54"/>
        <v>0</v>
      </c>
      <c r="S103" s="97">
        <f t="shared" si="55"/>
        <v>0</v>
      </c>
      <c r="T103" s="97">
        <f t="shared" si="56"/>
        <v>0</v>
      </c>
      <c r="U103" s="97">
        <f t="shared" si="57"/>
        <v>0</v>
      </c>
      <c r="V103" s="97">
        <f t="shared" si="58"/>
        <v>0</v>
      </c>
      <c r="W103" s="97">
        <f t="shared" si="59"/>
        <v>0</v>
      </c>
      <c r="X103" s="173">
        <f t="shared" si="60"/>
        <v>0</v>
      </c>
      <c r="Y103" s="97">
        <f t="shared" si="61"/>
        <v>0</v>
      </c>
      <c r="Z103" s="97">
        <f t="shared" si="62"/>
        <v>0</v>
      </c>
      <c r="AA103" s="97">
        <f t="shared" si="63"/>
        <v>0</v>
      </c>
      <c r="AB103" s="97">
        <f t="shared" si="64"/>
        <v>0</v>
      </c>
      <c r="AC103" s="97">
        <f t="shared" si="65"/>
        <v>0</v>
      </c>
      <c r="AD103" s="97">
        <f t="shared" si="66"/>
        <v>0</v>
      </c>
      <c r="AE103" s="97">
        <f t="shared" si="67"/>
        <v>0</v>
      </c>
      <c r="AF103" s="97">
        <f t="shared" si="68"/>
        <v>0</v>
      </c>
      <c r="AG103" s="97">
        <f t="shared" si="69"/>
        <v>0</v>
      </c>
      <c r="AH103" s="97">
        <f t="shared" si="70"/>
        <v>0</v>
      </c>
      <c r="AI103" s="173">
        <f t="shared" si="71"/>
        <v>0</v>
      </c>
      <c r="AJ103" s="173">
        <f t="shared" si="72"/>
        <v>0</v>
      </c>
      <c r="AK103" s="173">
        <f t="shared" si="73"/>
        <v>0</v>
      </c>
      <c r="AL103" s="173">
        <f t="shared" si="74"/>
        <v>0</v>
      </c>
      <c r="AM103" s="173">
        <f t="shared" si="75"/>
        <v>0</v>
      </c>
      <c r="AN103" s="173">
        <f t="shared" si="76"/>
        <v>0</v>
      </c>
      <c r="AO103" s="173">
        <f t="shared" si="77"/>
        <v>0</v>
      </c>
      <c r="AP103" s="173">
        <f t="shared" si="78"/>
        <v>0</v>
      </c>
      <c r="AQ103" s="173">
        <f t="shared" si="79"/>
        <v>0</v>
      </c>
      <c r="AR103" s="173">
        <f t="shared" si="80"/>
        <v>0</v>
      </c>
      <c r="AS103" s="173">
        <f t="shared" si="81"/>
        <v>0</v>
      </c>
      <c r="AT103" s="173">
        <f t="shared" si="82"/>
        <v>0</v>
      </c>
    </row>
    <row r="104" spans="1:46" x14ac:dyDescent="0.25">
      <c r="A104" s="13">
        <v>7</v>
      </c>
      <c r="B104" s="13" t="s">
        <v>145</v>
      </c>
      <c r="C104" s="97">
        <f t="shared" ref="C104:L104" si="87">C74*C45*C11</f>
        <v>0</v>
      </c>
      <c r="D104" s="97">
        <f t="shared" si="87"/>
        <v>0</v>
      </c>
      <c r="E104" s="97">
        <f t="shared" si="87"/>
        <v>0</v>
      </c>
      <c r="F104" s="97">
        <f t="shared" si="87"/>
        <v>0</v>
      </c>
      <c r="G104" s="97">
        <f t="shared" si="87"/>
        <v>0</v>
      </c>
      <c r="H104" s="97">
        <f t="shared" si="87"/>
        <v>0</v>
      </c>
      <c r="I104" s="97">
        <f t="shared" si="87"/>
        <v>0</v>
      </c>
      <c r="J104" s="97">
        <f t="shared" si="87"/>
        <v>0</v>
      </c>
      <c r="K104" s="97">
        <f t="shared" si="87"/>
        <v>0</v>
      </c>
      <c r="L104" s="97">
        <f t="shared" si="87"/>
        <v>0</v>
      </c>
      <c r="M104" s="173">
        <f t="shared" si="49"/>
        <v>0</v>
      </c>
      <c r="N104" s="97">
        <f t="shared" si="50"/>
        <v>0</v>
      </c>
      <c r="O104" s="97">
        <f t="shared" si="51"/>
        <v>0</v>
      </c>
      <c r="P104" s="97">
        <f t="shared" si="52"/>
        <v>0</v>
      </c>
      <c r="Q104" s="97">
        <f t="shared" si="53"/>
        <v>0</v>
      </c>
      <c r="R104" s="97">
        <f t="shared" si="54"/>
        <v>0</v>
      </c>
      <c r="S104" s="97">
        <f t="shared" si="55"/>
        <v>0</v>
      </c>
      <c r="T104" s="97">
        <f t="shared" si="56"/>
        <v>0</v>
      </c>
      <c r="U104" s="97">
        <f t="shared" si="57"/>
        <v>0</v>
      </c>
      <c r="V104" s="97">
        <f t="shared" si="58"/>
        <v>0</v>
      </c>
      <c r="W104" s="97">
        <f t="shared" si="59"/>
        <v>0</v>
      </c>
      <c r="X104" s="173">
        <f t="shared" si="60"/>
        <v>0</v>
      </c>
      <c r="Y104" s="97">
        <f t="shared" si="61"/>
        <v>0</v>
      </c>
      <c r="Z104" s="97">
        <f t="shared" si="62"/>
        <v>0</v>
      </c>
      <c r="AA104" s="97">
        <f t="shared" si="63"/>
        <v>0</v>
      </c>
      <c r="AB104" s="97">
        <f t="shared" si="64"/>
        <v>0</v>
      </c>
      <c r="AC104" s="97">
        <f t="shared" si="65"/>
        <v>0</v>
      </c>
      <c r="AD104" s="97">
        <f t="shared" si="66"/>
        <v>0</v>
      </c>
      <c r="AE104" s="97">
        <f t="shared" si="67"/>
        <v>0</v>
      </c>
      <c r="AF104" s="97">
        <f t="shared" si="68"/>
        <v>0</v>
      </c>
      <c r="AG104" s="97">
        <f t="shared" si="69"/>
        <v>0</v>
      </c>
      <c r="AH104" s="97">
        <f t="shared" si="70"/>
        <v>0</v>
      </c>
      <c r="AI104" s="173">
        <f t="shared" si="71"/>
        <v>0</v>
      </c>
      <c r="AJ104" s="173">
        <f t="shared" si="72"/>
        <v>0</v>
      </c>
      <c r="AK104" s="173">
        <f t="shared" si="73"/>
        <v>0</v>
      </c>
      <c r="AL104" s="173">
        <f t="shared" si="74"/>
        <v>0</v>
      </c>
      <c r="AM104" s="173">
        <f t="shared" si="75"/>
        <v>0</v>
      </c>
      <c r="AN104" s="173">
        <f t="shared" si="76"/>
        <v>0</v>
      </c>
      <c r="AO104" s="173">
        <f t="shared" si="77"/>
        <v>0</v>
      </c>
      <c r="AP104" s="173">
        <f t="shared" si="78"/>
        <v>0</v>
      </c>
      <c r="AQ104" s="173">
        <f t="shared" si="79"/>
        <v>0</v>
      </c>
      <c r="AR104" s="173">
        <f t="shared" si="80"/>
        <v>0</v>
      </c>
      <c r="AS104" s="173">
        <f t="shared" si="81"/>
        <v>0</v>
      </c>
      <c r="AT104" s="173">
        <f t="shared" si="82"/>
        <v>0</v>
      </c>
    </row>
    <row r="105" spans="1:46" x14ac:dyDescent="0.25">
      <c r="A105" s="13">
        <v>8</v>
      </c>
      <c r="B105" s="13" t="s">
        <v>146</v>
      </c>
      <c r="C105" s="97">
        <f t="shared" ref="C105:L105" si="88">C75*C46*C12</f>
        <v>0</v>
      </c>
      <c r="D105" s="97">
        <f t="shared" si="88"/>
        <v>0</v>
      </c>
      <c r="E105" s="97">
        <f t="shared" si="88"/>
        <v>0</v>
      </c>
      <c r="F105" s="97">
        <f t="shared" si="88"/>
        <v>0</v>
      </c>
      <c r="G105" s="97">
        <f t="shared" si="88"/>
        <v>0</v>
      </c>
      <c r="H105" s="97">
        <f t="shared" si="88"/>
        <v>0</v>
      </c>
      <c r="I105" s="97">
        <f t="shared" si="88"/>
        <v>0</v>
      </c>
      <c r="J105" s="97">
        <f t="shared" si="88"/>
        <v>0</v>
      </c>
      <c r="K105" s="97">
        <f t="shared" si="88"/>
        <v>0</v>
      </c>
      <c r="L105" s="97">
        <f t="shared" si="88"/>
        <v>0</v>
      </c>
      <c r="M105" s="173">
        <f t="shared" si="49"/>
        <v>0</v>
      </c>
      <c r="N105" s="97">
        <f t="shared" si="50"/>
        <v>0</v>
      </c>
      <c r="O105" s="97">
        <f t="shared" si="51"/>
        <v>0</v>
      </c>
      <c r="P105" s="97">
        <f t="shared" si="52"/>
        <v>0</v>
      </c>
      <c r="Q105" s="97">
        <f t="shared" si="53"/>
        <v>0</v>
      </c>
      <c r="R105" s="97">
        <f t="shared" si="54"/>
        <v>0</v>
      </c>
      <c r="S105" s="97">
        <f t="shared" si="55"/>
        <v>0</v>
      </c>
      <c r="T105" s="97">
        <f t="shared" si="56"/>
        <v>0</v>
      </c>
      <c r="U105" s="97">
        <f t="shared" si="57"/>
        <v>0</v>
      </c>
      <c r="V105" s="97">
        <f t="shared" si="58"/>
        <v>0</v>
      </c>
      <c r="W105" s="97">
        <f t="shared" si="59"/>
        <v>0</v>
      </c>
      <c r="X105" s="173">
        <f t="shared" si="60"/>
        <v>0</v>
      </c>
      <c r="Y105" s="97">
        <f t="shared" si="61"/>
        <v>0</v>
      </c>
      <c r="Z105" s="97">
        <f t="shared" si="62"/>
        <v>0</v>
      </c>
      <c r="AA105" s="97">
        <f t="shared" si="63"/>
        <v>0</v>
      </c>
      <c r="AB105" s="97">
        <f t="shared" si="64"/>
        <v>0</v>
      </c>
      <c r="AC105" s="97">
        <f t="shared" si="65"/>
        <v>0</v>
      </c>
      <c r="AD105" s="97">
        <f t="shared" si="66"/>
        <v>0</v>
      </c>
      <c r="AE105" s="97">
        <f t="shared" si="67"/>
        <v>0</v>
      </c>
      <c r="AF105" s="97">
        <f t="shared" si="68"/>
        <v>0</v>
      </c>
      <c r="AG105" s="97">
        <f t="shared" si="69"/>
        <v>0</v>
      </c>
      <c r="AH105" s="97">
        <f t="shared" si="70"/>
        <v>0</v>
      </c>
      <c r="AI105" s="173">
        <f t="shared" si="71"/>
        <v>0</v>
      </c>
      <c r="AJ105" s="173">
        <f t="shared" si="72"/>
        <v>0</v>
      </c>
      <c r="AK105" s="173">
        <f t="shared" si="73"/>
        <v>0</v>
      </c>
      <c r="AL105" s="173">
        <f t="shared" si="74"/>
        <v>0</v>
      </c>
      <c r="AM105" s="173">
        <f t="shared" si="75"/>
        <v>0</v>
      </c>
      <c r="AN105" s="173">
        <f t="shared" si="76"/>
        <v>0</v>
      </c>
      <c r="AO105" s="173">
        <f t="shared" si="77"/>
        <v>0</v>
      </c>
      <c r="AP105" s="173">
        <f t="shared" si="78"/>
        <v>0</v>
      </c>
      <c r="AQ105" s="173">
        <f t="shared" si="79"/>
        <v>0</v>
      </c>
      <c r="AR105" s="173">
        <f t="shared" si="80"/>
        <v>0</v>
      </c>
      <c r="AS105" s="173">
        <f t="shared" si="81"/>
        <v>0</v>
      </c>
      <c r="AT105" s="173">
        <f t="shared" si="82"/>
        <v>0</v>
      </c>
    </row>
    <row r="106" spans="1:46" x14ac:dyDescent="0.25">
      <c r="A106" s="13">
        <v>9</v>
      </c>
      <c r="B106" s="13" t="s">
        <v>147</v>
      </c>
      <c r="C106" s="97">
        <f t="shared" ref="C106:L106" si="89">C76*C47*C13</f>
        <v>0</v>
      </c>
      <c r="D106" s="97">
        <f t="shared" si="89"/>
        <v>0</v>
      </c>
      <c r="E106" s="97">
        <f t="shared" si="89"/>
        <v>0</v>
      </c>
      <c r="F106" s="97">
        <f t="shared" si="89"/>
        <v>0</v>
      </c>
      <c r="G106" s="97">
        <f t="shared" si="89"/>
        <v>0</v>
      </c>
      <c r="H106" s="97">
        <f t="shared" si="89"/>
        <v>0</v>
      </c>
      <c r="I106" s="97">
        <f t="shared" si="89"/>
        <v>0</v>
      </c>
      <c r="J106" s="97">
        <f t="shared" si="89"/>
        <v>0</v>
      </c>
      <c r="K106" s="97">
        <f t="shared" si="89"/>
        <v>0</v>
      </c>
      <c r="L106" s="97">
        <f t="shared" si="89"/>
        <v>0</v>
      </c>
      <c r="M106" s="173">
        <f t="shared" si="49"/>
        <v>0</v>
      </c>
      <c r="N106" s="97">
        <f t="shared" si="50"/>
        <v>0</v>
      </c>
      <c r="O106" s="97">
        <f t="shared" si="51"/>
        <v>0</v>
      </c>
      <c r="P106" s="97">
        <f t="shared" si="52"/>
        <v>0</v>
      </c>
      <c r="Q106" s="97">
        <f t="shared" si="53"/>
        <v>0</v>
      </c>
      <c r="R106" s="97">
        <f t="shared" si="54"/>
        <v>0</v>
      </c>
      <c r="S106" s="97">
        <f t="shared" si="55"/>
        <v>0</v>
      </c>
      <c r="T106" s="97">
        <f t="shared" si="56"/>
        <v>0</v>
      </c>
      <c r="U106" s="97">
        <f t="shared" si="57"/>
        <v>0</v>
      </c>
      <c r="V106" s="97">
        <f t="shared" si="58"/>
        <v>0</v>
      </c>
      <c r="W106" s="97">
        <f t="shared" si="59"/>
        <v>0</v>
      </c>
      <c r="X106" s="173">
        <f t="shared" si="60"/>
        <v>0</v>
      </c>
      <c r="Y106" s="97">
        <f t="shared" si="61"/>
        <v>0</v>
      </c>
      <c r="Z106" s="97">
        <f t="shared" si="62"/>
        <v>0</v>
      </c>
      <c r="AA106" s="97">
        <f t="shared" si="63"/>
        <v>0</v>
      </c>
      <c r="AB106" s="97">
        <f t="shared" si="64"/>
        <v>0</v>
      </c>
      <c r="AC106" s="97">
        <f t="shared" si="65"/>
        <v>0</v>
      </c>
      <c r="AD106" s="97">
        <f t="shared" si="66"/>
        <v>0</v>
      </c>
      <c r="AE106" s="97">
        <f t="shared" si="67"/>
        <v>0</v>
      </c>
      <c r="AF106" s="97">
        <f t="shared" si="68"/>
        <v>0</v>
      </c>
      <c r="AG106" s="97">
        <f t="shared" si="69"/>
        <v>0</v>
      </c>
      <c r="AH106" s="97">
        <f t="shared" si="70"/>
        <v>0</v>
      </c>
      <c r="AI106" s="173">
        <f t="shared" si="71"/>
        <v>0</v>
      </c>
      <c r="AJ106" s="173">
        <f t="shared" si="72"/>
        <v>0</v>
      </c>
      <c r="AK106" s="173">
        <f t="shared" si="73"/>
        <v>0</v>
      </c>
      <c r="AL106" s="173">
        <f t="shared" si="74"/>
        <v>0</v>
      </c>
      <c r="AM106" s="173">
        <f t="shared" si="75"/>
        <v>0</v>
      </c>
      <c r="AN106" s="173">
        <f t="shared" si="76"/>
        <v>0</v>
      </c>
      <c r="AO106" s="173">
        <f t="shared" si="77"/>
        <v>0</v>
      </c>
      <c r="AP106" s="173">
        <f t="shared" si="78"/>
        <v>0</v>
      </c>
      <c r="AQ106" s="173">
        <f t="shared" si="79"/>
        <v>0</v>
      </c>
      <c r="AR106" s="173">
        <f t="shared" si="80"/>
        <v>0</v>
      </c>
      <c r="AS106" s="173">
        <f t="shared" si="81"/>
        <v>0</v>
      </c>
      <c r="AT106" s="173">
        <f t="shared" si="82"/>
        <v>0</v>
      </c>
    </row>
    <row r="107" spans="1:46" x14ac:dyDescent="0.25">
      <c r="A107" s="13">
        <v>10</v>
      </c>
      <c r="B107" s="13" t="s">
        <v>148</v>
      </c>
      <c r="C107" s="97">
        <f t="shared" ref="C107:L107" si="90">C77*C48*C14</f>
        <v>0</v>
      </c>
      <c r="D107" s="97">
        <f t="shared" si="90"/>
        <v>0</v>
      </c>
      <c r="E107" s="97">
        <f t="shared" si="90"/>
        <v>0</v>
      </c>
      <c r="F107" s="97">
        <f t="shared" si="90"/>
        <v>0</v>
      </c>
      <c r="G107" s="97">
        <f t="shared" si="90"/>
        <v>0</v>
      </c>
      <c r="H107" s="97">
        <f t="shared" si="90"/>
        <v>0</v>
      </c>
      <c r="I107" s="97">
        <f t="shared" si="90"/>
        <v>0</v>
      </c>
      <c r="J107" s="97">
        <f t="shared" si="90"/>
        <v>0</v>
      </c>
      <c r="K107" s="97">
        <f t="shared" si="90"/>
        <v>0</v>
      </c>
      <c r="L107" s="97">
        <f t="shared" si="90"/>
        <v>0</v>
      </c>
      <c r="M107" s="173">
        <f t="shared" si="49"/>
        <v>0</v>
      </c>
      <c r="N107" s="97">
        <f t="shared" si="50"/>
        <v>0</v>
      </c>
      <c r="O107" s="97">
        <f t="shared" si="51"/>
        <v>0</v>
      </c>
      <c r="P107" s="97">
        <f t="shared" si="52"/>
        <v>0</v>
      </c>
      <c r="Q107" s="97">
        <f t="shared" si="53"/>
        <v>0</v>
      </c>
      <c r="R107" s="97">
        <f t="shared" si="54"/>
        <v>0</v>
      </c>
      <c r="S107" s="97">
        <f t="shared" si="55"/>
        <v>0</v>
      </c>
      <c r="T107" s="97">
        <f t="shared" si="56"/>
        <v>0</v>
      </c>
      <c r="U107" s="97">
        <f t="shared" si="57"/>
        <v>0</v>
      </c>
      <c r="V107" s="97">
        <f t="shared" si="58"/>
        <v>0</v>
      </c>
      <c r="W107" s="97">
        <f t="shared" si="59"/>
        <v>0</v>
      </c>
      <c r="X107" s="173">
        <f t="shared" si="60"/>
        <v>0</v>
      </c>
      <c r="Y107" s="97">
        <f t="shared" si="61"/>
        <v>0</v>
      </c>
      <c r="Z107" s="97">
        <f t="shared" si="62"/>
        <v>0</v>
      </c>
      <c r="AA107" s="97">
        <f t="shared" si="63"/>
        <v>0</v>
      </c>
      <c r="AB107" s="97">
        <f t="shared" si="64"/>
        <v>0</v>
      </c>
      <c r="AC107" s="97">
        <f t="shared" si="65"/>
        <v>0</v>
      </c>
      <c r="AD107" s="97">
        <f t="shared" si="66"/>
        <v>0</v>
      </c>
      <c r="AE107" s="97">
        <f t="shared" si="67"/>
        <v>0</v>
      </c>
      <c r="AF107" s="97">
        <f t="shared" si="68"/>
        <v>0</v>
      </c>
      <c r="AG107" s="97">
        <f t="shared" si="69"/>
        <v>0</v>
      </c>
      <c r="AH107" s="97">
        <f t="shared" si="70"/>
        <v>0</v>
      </c>
      <c r="AI107" s="173">
        <f t="shared" si="71"/>
        <v>0</v>
      </c>
      <c r="AJ107" s="173">
        <f t="shared" si="72"/>
        <v>0</v>
      </c>
      <c r="AK107" s="173">
        <f t="shared" si="73"/>
        <v>0</v>
      </c>
      <c r="AL107" s="173">
        <f t="shared" si="74"/>
        <v>0</v>
      </c>
      <c r="AM107" s="173">
        <f t="shared" si="75"/>
        <v>0</v>
      </c>
      <c r="AN107" s="173">
        <f t="shared" si="76"/>
        <v>0</v>
      </c>
      <c r="AO107" s="173">
        <f t="shared" si="77"/>
        <v>0</v>
      </c>
      <c r="AP107" s="173">
        <f t="shared" si="78"/>
        <v>0</v>
      </c>
      <c r="AQ107" s="173">
        <f t="shared" si="79"/>
        <v>0</v>
      </c>
      <c r="AR107" s="173">
        <f t="shared" si="80"/>
        <v>0</v>
      </c>
      <c r="AS107" s="173">
        <f t="shared" si="81"/>
        <v>0</v>
      </c>
      <c r="AT107" s="173">
        <f t="shared" si="82"/>
        <v>0</v>
      </c>
    </row>
    <row r="108" spans="1:46" x14ac:dyDescent="0.25">
      <c r="A108" s="13">
        <v>11</v>
      </c>
      <c r="B108" s="13" t="s">
        <v>149</v>
      </c>
      <c r="C108" s="97">
        <f t="shared" ref="C108:L108" si="91">C78*C49*C15</f>
        <v>0</v>
      </c>
      <c r="D108" s="97">
        <f t="shared" si="91"/>
        <v>0</v>
      </c>
      <c r="E108" s="97">
        <f t="shared" si="91"/>
        <v>0</v>
      </c>
      <c r="F108" s="97">
        <f t="shared" si="91"/>
        <v>0</v>
      </c>
      <c r="G108" s="97">
        <f t="shared" si="91"/>
        <v>0</v>
      </c>
      <c r="H108" s="97">
        <f t="shared" si="91"/>
        <v>0</v>
      </c>
      <c r="I108" s="97">
        <f t="shared" si="91"/>
        <v>0</v>
      </c>
      <c r="J108" s="97">
        <f t="shared" si="91"/>
        <v>0</v>
      </c>
      <c r="K108" s="97">
        <f t="shared" si="91"/>
        <v>0</v>
      </c>
      <c r="L108" s="97">
        <f t="shared" si="91"/>
        <v>0</v>
      </c>
      <c r="M108" s="173">
        <f t="shared" si="49"/>
        <v>0</v>
      </c>
      <c r="N108" s="97">
        <f t="shared" si="50"/>
        <v>0</v>
      </c>
      <c r="O108" s="97">
        <f t="shared" si="51"/>
        <v>0</v>
      </c>
      <c r="P108" s="97">
        <f t="shared" si="52"/>
        <v>0</v>
      </c>
      <c r="Q108" s="97">
        <f t="shared" si="53"/>
        <v>0</v>
      </c>
      <c r="R108" s="97">
        <f t="shared" si="54"/>
        <v>0</v>
      </c>
      <c r="S108" s="97">
        <f t="shared" si="55"/>
        <v>0</v>
      </c>
      <c r="T108" s="97">
        <f t="shared" si="56"/>
        <v>0</v>
      </c>
      <c r="U108" s="97">
        <f t="shared" si="57"/>
        <v>0</v>
      </c>
      <c r="V108" s="97">
        <f t="shared" si="58"/>
        <v>0</v>
      </c>
      <c r="W108" s="97">
        <f t="shared" si="59"/>
        <v>0</v>
      </c>
      <c r="X108" s="173">
        <f t="shared" si="60"/>
        <v>0</v>
      </c>
      <c r="Y108" s="97">
        <f t="shared" si="61"/>
        <v>0</v>
      </c>
      <c r="Z108" s="97">
        <f t="shared" si="62"/>
        <v>0</v>
      </c>
      <c r="AA108" s="97">
        <f t="shared" si="63"/>
        <v>0</v>
      </c>
      <c r="AB108" s="97">
        <f t="shared" si="64"/>
        <v>0</v>
      </c>
      <c r="AC108" s="97">
        <f t="shared" si="65"/>
        <v>0</v>
      </c>
      <c r="AD108" s="97">
        <f t="shared" si="66"/>
        <v>0</v>
      </c>
      <c r="AE108" s="97">
        <f t="shared" si="67"/>
        <v>0</v>
      </c>
      <c r="AF108" s="97">
        <f t="shared" si="68"/>
        <v>0</v>
      </c>
      <c r="AG108" s="97">
        <f t="shared" si="69"/>
        <v>0</v>
      </c>
      <c r="AH108" s="97">
        <f t="shared" si="70"/>
        <v>0</v>
      </c>
      <c r="AI108" s="173">
        <f t="shared" si="71"/>
        <v>0</v>
      </c>
      <c r="AJ108" s="173">
        <f t="shared" si="72"/>
        <v>0</v>
      </c>
      <c r="AK108" s="173">
        <f t="shared" si="73"/>
        <v>0</v>
      </c>
      <c r="AL108" s="173">
        <f t="shared" si="74"/>
        <v>0</v>
      </c>
      <c r="AM108" s="173">
        <f t="shared" si="75"/>
        <v>0</v>
      </c>
      <c r="AN108" s="173">
        <f t="shared" si="76"/>
        <v>0</v>
      </c>
      <c r="AO108" s="173">
        <f t="shared" si="77"/>
        <v>0</v>
      </c>
      <c r="AP108" s="173">
        <f t="shared" si="78"/>
        <v>0</v>
      </c>
      <c r="AQ108" s="173">
        <f t="shared" si="79"/>
        <v>0</v>
      </c>
      <c r="AR108" s="173">
        <f t="shared" si="80"/>
        <v>0</v>
      </c>
      <c r="AS108" s="173">
        <f t="shared" si="81"/>
        <v>0</v>
      </c>
      <c r="AT108" s="173">
        <f t="shared" si="82"/>
        <v>0</v>
      </c>
    </row>
    <row r="109" spans="1:46" x14ac:dyDescent="0.25">
      <c r="A109" s="13">
        <v>12</v>
      </c>
      <c r="B109" s="13" t="s">
        <v>150</v>
      </c>
      <c r="C109" s="97">
        <f t="shared" ref="C109:L109" si="92">C79*C50*C16</f>
        <v>0</v>
      </c>
      <c r="D109" s="97">
        <f t="shared" si="92"/>
        <v>0</v>
      </c>
      <c r="E109" s="97">
        <f t="shared" si="92"/>
        <v>0</v>
      </c>
      <c r="F109" s="97">
        <f t="shared" si="92"/>
        <v>0</v>
      </c>
      <c r="G109" s="97">
        <f t="shared" si="92"/>
        <v>0</v>
      </c>
      <c r="H109" s="97">
        <f t="shared" si="92"/>
        <v>0</v>
      </c>
      <c r="I109" s="97">
        <f t="shared" si="92"/>
        <v>0</v>
      </c>
      <c r="J109" s="97">
        <f t="shared" si="92"/>
        <v>0</v>
      </c>
      <c r="K109" s="97">
        <f t="shared" si="92"/>
        <v>0</v>
      </c>
      <c r="L109" s="97">
        <f t="shared" si="92"/>
        <v>0</v>
      </c>
      <c r="M109" s="173">
        <f t="shared" si="49"/>
        <v>0</v>
      </c>
      <c r="N109" s="97">
        <f t="shared" si="50"/>
        <v>0</v>
      </c>
      <c r="O109" s="97">
        <f t="shared" si="51"/>
        <v>0</v>
      </c>
      <c r="P109" s="97">
        <f t="shared" si="52"/>
        <v>0</v>
      </c>
      <c r="Q109" s="97">
        <f t="shared" si="53"/>
        <v>0</v>
      </c>
      <c r="R109" s="97">
        <f t="shared" si="54"/>
        <v>0</v>
      </c>
      <c r="S109" s="97">
        <f t="shared" si="55"/>
        <v>0</v>
      </c>
      <c r="T109" s="97">
        <f t="shared" si="56"/>
        <v>0</v>
      </c>
      <c r="U109" s="97">
        <f t="shared" si="57"/>
        <v>0</v>
      </c>
      <c r="V109" s="97">
        <f t="shared" si="58"/>
        <v>0</v>
      </c>
      <c r="W109" s="97">
        <f t="shared" si="59"/>
        <v>0</v>
      </c>
      <c r="X109" s="173">
        <f t="shared" si="60"/>
        <v>0</v>
      </c>
      <c r="Y109" s="97">
        <f t="shared" si="61"/>
        <v>0</v>
      </c>
      <c r="Z109" s="97">
        <f t="shared" si="62"/>
        <v>0</v>
      </c>
      <c r="AA109" s="97">
        <f t="shared" si="63"/>
        <v>0</v>
      </c>
      <c r="AB109" s="97">
        <f t="shared" si="64"/>
        <v>0</v>
      </c>
      <c r="AC109" s="97">
        <f t="shared" si="65"/>
        <v>0</v>
      </c>
      <c r="AD109" s="97">
        <f t="shared" si="66"/>
        <v>0</v>
      </c>
      <c r="AE109" s="97">
        <f t="shared" si="67"/>
        <v>0</v>
      </c>
      <c r="AF109" s="97">
        <f t="shared" si="68"/>
        <v>0</v>
      </c>
      <c r="AG109" s="97">
        <f t="shared" si="69"/>
        <v>0</v>
      </c>
      <c r="AH109" s="97">
        <f t="shared" si="70"/>
        <v>0</v>
      </c>
      <c r="AI109" s="173">
        <f t="shared" si="71"/>
        <v>0</v>
      </c>
      <c r="AJ109" s="173">
        <f t="shared" si="72"/>
        <v>0</v>
      </c>
      <c r="AK109" s="173">
        <f t="shared" si="73"/>
        <v>0</v>
      </c>
      <c r="AL109" s="173">
        <f t="shared" si="74"/>
        <v>0</v>
      </c>
      <c r="AM109" s="173">
        <f t="shared" si="75"/>
        <v>0</v>
      </c>
      <c r="AN109" s="173">
        <f t="shared" si="76"/>
        <v>0</v>
      </c>
      <c r="AO109" s="173">
        <f t="shared" si="77"/>
        <v>0</v>
      </c>
      <c r="AP109" s="173">
        <f t="shared" si="78"/>
        <v>0</v>
      </c>
      <c r="AQ109" s="173">
        <f t="shared" si="79"/>
        <v>0</v>
      </c>
      <c r="AR109" s="173">
        <f t="shared" si="80"/>
        <v>0</v>
      </c>
      <c r="AS109" s="173">
        <f t="shared" si="81"/>
        <v>0</v>
      </c>
      <c r="AT109" s="173">
        <f t="shared" si="82"/>
        <v>0</v>
      </c>
    </row>
    <row r="110" spans="1:46" x14ac:dyDescent="0.25">
      <c r="A110" s="13">
        <v>13</v>
      </c>
      <c r="B110" s="13" t="s">
        <v>151</v>
      </c>
      <c r="C110" s="97">
        <f t="shared" ref="C110:L110" si="93">C80*C51*C17</f>
        <v>0</v>
      </c>
      <c r="D110" s="97">
        <f t="shared" si="93"/>
        <v>0</v>
      </c>
      <c r="E110" s="97">
        <f t="shared" si="93"/>
        <v>0</v>
      </c>
      <c r="F110" s="97">
        <f t="shared" si="93"/>
        <v>0</v>
      </c>
      <c r="G110" s="97">
        <f t="shared" si="93"/>
        <v>0</v>
      </c>
      <c r="H110" s="97">
        <f t="shared" si="93"/>
        <v>0</v>
      </c>
      <c r="I110" s="97">
        <f t="shared" si="93"/>
        <v>0</v>
      </c>
      <c r="J110" s="97">
        <f t="shared" si="93"/>
        <v>0</v>
      </c>
      <c r="K110" s="97">
        <f t="shared" si="93"/>
        <v>0</v>
      </c>
      <c r="L110" s="97">
        <f t="shared" si="93"/>
        <v>0</v>
      </c>
      <c r="M110" s="173">
        <f t="shared" si="49"/>
        <v>0</v>
      </c>
      <c r="N110" s="97">
        <f t="shared" si="50"/>
        <v>0</v>
      </c>
      <c r="O110" s="97">
        <f t="shared" si="51"/>
        <v>0</v>
      </c>
      <c r="P110" s="97">
        <f t="shared" si="52"/>
        <v>0</v>
      </c>
      <c r="Q110" s="97">
        <f t="shared" si="53"/>
        <v>0</v>
      </c>
      <c r="R110" s="97">
        <f t="shared" si="54"/>
        <v>0</v>
      </c>
      <c r="S110" s="97">
        <f t="shared" si="55"/>
        <v>0</v>
      </c>
      <c r="T110" s="97">
        <f t="shared" si="56"/>
        <v>0</v>
      </c>
      <c r="U110" s="97">
        <f t="shared" si="57"/>
        <v>0</v>
      </c>
      <c r="V110" s="97">
        <f t="shared" si="58"/>
        <v>0</v>
      </c>
      <c r="W110" s="97">
        <f t="shared" si="59"/>
        <v>0</v>
      </c>
      <c r="X110" s="173">
        <f t="shared" si="60"/>
        <v>0</v>
      </c>
      <c r="Y110" s="97">
        <f t="shared" si="61"/>
        <v>0</v>
      </c>
      <c r="Z110" s="97">
        <f t="shared" si="62"/>
        <v>0</v>
      </c>
      <c r="AA110" s="97">
        <f t="shared" si="63"/>
        <v>0</v>
      </c>
      <c r="AB110" s="97">
        <f t="shared" si="64"/>
        <v>0</v>
      </c>
      <c r="AC110" s="97">
        <f t="shared" si="65"/>
        <v>0</v>
      </c>
      <c r="AD110" s="97">
        <f t="shared" si="66"/>
        <v>0</v>
      </c>
      <c r="AE110" s="97">
        <f t="shared" si="67"/>
        <v>0</v>
      </c>
      <c r="AF110" s="97">
        <f t="shared" si="68"/>
        <v>0</v>
      </c>
      <c r="AG110" s="97">
        <f t="shared" si="69"/>
        <v>0</v>
      </c>
      <c r="AH110" s="97">
        <f t="shared" si="70"/>
        <v>0</v>
      </c>
      <c r="AI110" s="173">
        <f t="shared" si="71"/>
        <v>0</v>
      </c>
      <c r="AJ110" s="173">
        <f t="shared" si="72"/>
        <v>0</v>
      </c>
      <c r="AK110" s="173">
        <f t="shared" si="73"/>
        <v>0</v>
      </c>
      <c r="AL110" s="173">
        <f t="shared" si="74"/>
        <v>0</v>
      </c>
      <c r="AM110" s="173">
        <f t="shared" si="75"/>
        <v>0</v>
      </c>
      <c r="AN110" s="173">
        <f t="shared" si="76"/>
        <v>0</v>
      </c>
      <c r="AO110" s="173">
        <f t="shared" si="77"/>
        <v>0</v>
      </c>
      <c r="AP110" s="173">
        <f t="shared" si="78"/>
        <v>0</v>
      </c>
      <c r="AQ110" s="173">
        <f t="shared" si="79"/>
        <v>0</v>
      </c>
      <c r="AR110" s="173">
        <f t="shared" si="80"/>
        <v>0</v>
      </c>
      <c r="AS110" s="173">
        <f t="shared" si="81"/>
        <v>0</v>
      </c>
      <c r="AT110" s="173">
        <f t="shared" si="82"/>
        <v>0</v>
      </c>
    </row>
    <row r="111" spans="1:46" x14ac:dyDescent="0.25">
      <c r="A111" s="13">
        <v>14</v>
      </c>
      <c r="B111" s="13" t="s">
        <v>152</v>
      </c>
      <c r="C111" s="97">
        <f t="shared" ref="C111:L111" si="94">C81*C52*C18</f>
        <v>0</v>
      </c>
      <c r="D111" s="97">
        <f t="shared" si="94"/>
        <v>0</v>
      </c>
      <c r="E111" s="97">
        <f t="shared" si="94"/>
        <v>0</v>
      </c>
      <c r="F111" s="97">
        <f t="shared" si="94"/>
        <v>0</v>
      </c>
      <c r="G111" s="97">
        <f t="shared" si="94"/>
        <v>0</v>
      </c>
      <c r="H111" s="97">
        <f t="shared" si="94"/>
        <v>0</v>
      </c>
      <c r="I111" s="97">
        <f t="shared" si="94"/>
        <v>0</v>
      </c>
      <c r="J111" s="97">
        <f t="shared" si="94"/>
        <v>0</v>
      </c>
      <c r="K111" s="97">
        <f t="shared" si="94"/>
        <v>0</v>
      </c>
      <c r="L111" s="97">
        <f t="shared" si="94"/>
        <v>0</v>
      </c>
      <c r="M111" s="173">
        <f t="shared" si="49"/>
        <v>0</v>
      </c>
      <c r="N111" s="97">
        <f t="shared" si="50"/>
        <v>0</v>
      </c>
      <c r="O111" s="97">
        <f t="shared" si="51"/>
        <v>0</v>
      </c>
      <c r="P111" s="97">
        <f t="shared" si="52"/>
        <v>0</v>
      </c>
      <c r="Q111" s="97">
        <f t="shared" si="53"/>
        <v>0</v>
      </c>
      <c r="R111" s="97">
        <f t="shared" si="54"/>
        <v>0</v>
      </c>
      <c r="S111" s="97">
        <f t="shared" si="55"/>
        <v>0</v>
      </c>
      <c r="T111" s="97">
        <f t="shared" si="56"/>
        <v>0</v>
      </c>
      <c r="U111" s="97">
        <f t="shared" si="57"/>
        <v>0</v>
      </c>
      <c r="V111" s="97">
        <f t="shared" si="58"/>
        <v>0</v>
      </c>
      <c r="W111" s="97">
        <f t="shared" si="59"/>
        <v>0</v>
      </c>
      <c r="X111" s="173">
        <f t="shared" si="60"/>
        <v>0</v>
      </c>
      <c r="Y111" s="97">
        <f t="shared" si="61"/>
        <v>0</v>
      </c>
      <c r="Z111" s="97">
        <f t="shared" si="62"/>
        <v>0</v>
      </c>
      <c r="AA111" s="97">
        <f t="shared" si="63"/>
        <v>0</v>
      </c>
      <c r="AB111" s="97">
        <f t="shared" si="64"/>
        <v>0</v>
      </c>
      <c r="AC111" s="97">
        <f t="shared" si="65"/>
        <v>0</v>
      </c>
      <c r="AD111" s="97">
        <f t="shared" si="66"/>
        <v>0</v>
      </c>
      <c r="AE111" s="97">
        <f t="shared" si="67"/>
        <v>0</v>
      </c>
      <c r="AF111" s="97">
        <f t="shared" si="68"/>
        <v>0</v>
      </c>
      <c r="AG111" s="97">
        <f t="shared" si="69"/>
        <v>0</v>
      </c>
      <c r="AH111" s="97">
        <f t="shared" si="70"/>
        <v>0</v>
      </c>
      <c r="AI111" s="173">
        <f t="shared" si="71"/>
        <v>0</v>
      </c>
      <c r="AJ111" s="173">
        <f t="shared" si="72"/>
        <v>0</v>
      </c>
      <c r="AK111" s="173">
        <f t="shared" si="73"/>
        <v>0</v>
      </c>
      <c r="AL111" s="173">
        <f t="shared" si="74"/>
        <v>0</v>
      </c>
      <c r="AM111" s="173">
        <f t="shared" si="75"/>
        <v>0</v>
      </c>
      <c r="AN111" s="173">
        <f t="shared" si="76"/>
        <v>0</v>
      </c>
      <c r="AO111" s="173">
        <f t="shared" si="77"/>
        <v>0</v>
      </c>
      <c r="AP111" s="173">
        <f t="shared" si="78"/>
        <v>0</v>
      </c>
      <c r="AQ111" s="173">
        <f t="shared" si="79"/>
        <v>0</v>
      </c>
      <c r="AR111" s="173">
        <f t="shared" si="80"/>
        <v>0</v>
      </c>
      <c r="AS111" s="173">
        <f t="shared" si="81"/>
        <v>0</v>
      </c>
      <c r="AT111" s="173">
        <f t="shared" si="82"/>
        <v>0</v>
      </c>
    </row>
    <row r="112" spans="1:46" x14ac:dyDescent="0.25">
      <c r="A112" s="13">
        <v>15</v>
      </c>
      <c r="B112" s="13" t="s">
        <v>153</v>
      </c>
      <c r="C112" s="97">
        <f t="shared" ref="C112:L112" si="95">C82*C53*C19</f>
        <v>0</v>
      </c>
      <c r="D112" s="97">
        <f t="shared" si="95"/>
        <v>0</v>
      </c>
      <c r="E112" s="97">
        <f t="shared" si="95"/>
        <v>0</v>
      </c>
      <c r="F112" s="97">
        <f t="shared" si="95"/>
        <v>0</v>
      </c>
      <c r="G112" s="97">
        <f t="shared" si="95"/>
        <v>0</v>
      </c>
      <c r="H112" s="97">
        <f t="shared" si="95"/>
        <v>0</v>
      </c>
      <c r="I112" s="97">
        <f t="shared" si="95"/>
        <v>0</v>
      </c>
      <c r="J112" s="97">
        <f t="shared" si="95"/>
        <v>0</v>
      </c>
      <c r="K112" s="97">
        <f t="shared" si="95"/>
        <v>0</v>
      </c>
      <c r="L112" s="97">
        <f t="shared" si="95"/>
        <v>0</v>
      </c>
      <c r="M112" s="173">
        <f t="shared" si="49"/>
        <v>0</v>
      </c>
      <c r="N112" s="97">
        <f t="shared" si="50"/>
        <v>0</v>
      </c>
      <c r="O112" s="97">
        <f t="shared" si="51"/>
        <v>0</v>
      </c>
      <c r="P112" s="97">
        <f t="shared" si="52"/>
        <v>0</v>
      </c>
      <c r="Q112" s="97">
        <f t="shared" si="53"/>
        <v>0</v>
      </c>
      <c r="R112" s="97">
        <f t="shared" si="54"/>
        <v>0</v>
      </c>
      <c r="S112" s="97">
        <f t="shared" si="55"/>
        <v>0</v>
      </c>
      <c r="T112" s="97">
        <f t="shared" si="56"/>
        <v>0</v>
      </c>
      <c r="U112" s="97">
        <f t="shared" si="57"/>
        <v>0</v>
      </c>
      <c r="V112" s="97">
        <f t="shared" si="58"/>
        <v>0</v>
      </c>
      <c r="W112" s="97">
        <f t="shared" si="59"/>
        <v>0</v>
      </c>
      <c r="X112" s="173">
        <f t="shared" si="60"/>
        <v>0</v>
      </c>
      <c r="Y112" s="97">
        <f t="shared" si="61"/>
        <v>0</v>
      </c>
      <c r="Z112" s="97">
        <f t="shared" si="62"/>
        <v>0</v>
      </c>
      <c r="AA112" s="97">
        <f t="shared" si="63"/>
        <v>0</v>
      </c>
      <c r="AB112" s="97">
        <f t="shared" si="64"/>
        <v>0</v>
      </c>
      <c r="AC112" s="97">
        <f t="shared" si="65"/>
        <v>0</v>
      </c>
      <c r="AD112" s="97">
        <f t="shared" si="66"/>
        <v>0</v>
      </c>
      <c r="AE112" s="97">
        <f t="shared" si="67"/>
        <v>0</v>
      </c>
      <c r="AF112" s="97">
        <f t="shared" si="68"/>
        <v>0</v>
      </c>
      <c r="AG112" s="97">
        <f t="shared" si="69"/>
        <v>0</v>
      </c>
      <c r="AH112" s="97">
        <f t="shared" si="70"/>
        <v>0</v>
      </c>
      <c r="AI112" s="173">
        <f t="shared" si="71"/>
        <v>0</v>
      </c>
      <c r="AJ112" s="173">
        <f t="shared" si="72"/>
        <v>0</v>
      </c>
      <c r="AK112" s="173">
        <f t="shared" si="73"/>
        <v>0</v>
      </c>
      <c r="AL112" s="173">
        <f t="shared" si="74"/>
        <v>0</v>
      </c>
      <c r="AM112" s="173">
        <f t="shared" si="75"/>
        <v>0</v>
      </c>
      <c r="AN112" s="173">
        <f t="shared" si="76"/>
        <v>0</v>
      </c>
      <c r="AO112" s="173">
        <f t="shared" si="77"/>
        <v>0</v>
      </c>
      <c r="AP112" s="173">
        <f t="shared" si="78"/>
        <v>0</v>
      </c>
      <c r="AQ112" s="173">
        <f t="shared" si="79"/>
        <v>0</v>
      </c>
      <c r="AR112" s="173">
        <f t="shared" si="80"/>
        <v>0</v>
      </c>
      <c r="AS112" s="173">
        <f t="shared" si="81"/>
        <v>0</v>
      </c>
      <c r="AT112" s="173">
        <f t="shared" si="82"/>
        <v>0</v>
      </c>
    </row>
    <row r="113" spans="1:46" x14ac:dyDescent="0.25">
      <c r="A113" s="13">
        <v>16</v>
      </c>
      <c r="B113" s="13" t="s">
        <v>154</v>
      </c>
      <c r="C113" s="97">
        <f t="shared" ref="C113:L113" si="96">C83*C54*C20</f>
        <v>0</v>
      </c>
      <c r="D113" s="97">
        <f t="shared" si="96"/>
        <v>0</v>
      </c>
      <c r="E113" s="97">
        <f t="shared" si="96"/>
        <v>0</v>
      </c>
      <c r="F113" s="97">
        <f t="shared" si="96"/>
        <v>0</v>
      </c>
      <c r="G113" s="97">
        <f t="shared" si="96"/>
        <v>0</v>
      </c>
      <c r="H113" s="97">
        <f t="shared" si="96"/>
        <v>0</v>
      </c>
      <c r="I113" s="97">
        <f t="shared" si="96"/>
        <v>0</v>
      </c>
      <c r="J113" s="97">
        <f t="shared" si="96"/>
        <v>0</v>
      </c>
      <c r="K113" s="97">
        <f t="shared" si="96"/>
        <v>0</v>
      </c>
      <c r="L113" s="97">
        <f t="shared" si="96"/>
        <v>0</v>
      </c>
      <c r="M113" s="173">
        <f t="shared" si="49"/>
        <v>0</v>
      </c>
      <c r="N113" s="97">
        <f t="shared" si="50"/>
        <v>0</v>
      </c>
      <c r="O113" s="97">
        <f t="shared" si="51"/>
        <v>0</v>
      </c>
      <c r="P113" s="97">
        <f t="shared" si="52"/>
        <v>0</v>
      </c>
      <c r="Q113" s="97">
        <f t="shared" si="53"/>
        <v>0</v>
      </c>
      <c r="R113" s="97">
        <f t="shared" si="54"/>
        <v>0</v>
      </c>
      <c r="S113" s="97">
        <f t="shared" si="55"/>
        <v>0</v>
      </c>
      <c r="T113" s="97">
        <f t="shared" si="56"/>
        <v>0</v>
      </c>
      <c r="U113" s="97">
        <f t="shared" si="57"/>
        <v>0</v>
      </c>
      <c r="V113" s="97">
        <f t="shared" si="58"/>
        <v>0</v>
      </c>
      <c r="W113" s="97">
        <f t="shared" si="59"/>
        <v>0</v>
      </c>
      <c r="X113" s="173">
        <f t="shared" si="60"/>
        <v>0</v>
      </c>
      <c r="Y113" s="97">
        <f t="shared" si="61"/>
        <v>0</v>
      </c>
      <c r="Z113" s="97">
        <f t="shared" si="62"/>
        <v>0</v>
      </c>
      <c r="AA113" s="97">
        <f t="shared" si="63"/>
        <v>0</v>
      </c>
      <c r="AB113" s="97">
        <f t="shared" si="64"/>
        <v>0</v>
      </c>
      <c r="AC113" s="97">
        <f t="shared" si="65"/>
        <v>0</v>
      </c>
      <c r="AD113" s="97">
        <f t="shared" si="66"/>
        <v>0</v>
      </c>
      <c r="AE113" s="97">
        <f t="shared" si="67"/>
        <v>0</v>
      </c>
      <c r="AF113" s="97">
        <f t="shared" si="68"/>
        <v>0</v>
      </c>
      <c r="AG113" s="97">
        <f t="shared" si="69"/>
        <v>0</v>
      </c>
      <c r="AH113" s="97">
        <f t="shared" si="70"/>
        <v>0</v>
      </c>
      <c r="AI113" s="173">
        <f t="shared" si="71"/>
        <v>0</v>
      </c>
      <c r="AJ113" s="173">
        <f t="shared" si="72"/>
        <v>0</v>
      </c>
      <c r="AK113" s="173">
        <f t="shared" si="73"/>
        <v>0</v>
      </c>
      <c r="AL113" s="173">
        <f t="shared" si="74"/>
        <v>0</v>
      </c>
      <c r="AM113" s="173">
        <f t="shared" si="75"/>
        <v>0</v>
      </c>
      <c r="AN113" s="173">
        <f t="shared" si="76"/>
        <v>0</v>
      </c>
      <c r="AO113" s="173">
        <f t="shared" si="77"/>
        <v>0</v>
      </c>
      <c r="AP113" s="173">
        <f t="shared" si="78"/>
        <v>0</v>
      </c>
      <c r="AQ113" s="173">
        <f t="shared" si="79"/>
        <v>0</v>
      </c>
      <c r="AR113" s="173">
        <f t="shared" si="80"/>
        <v>0</v>
      </c>
      <c r="AS113" s="173">
        <f t="shared" si="81"/>
        <v>0</v>
      </c>
      <c r="AT113" s="173">
        <f t="shared" si="82"/>
        <v>0</v>
      </c>
    </row>
    <row r="114" spans="1:46" x14ac:dyDescent="0.25">
      <c r="A114" s="13">
        <v>17</v>
      </c>
      <c r="B114" s="13" t="s">
        <v>155</v>
      </c>
      <c r="C114" s="97">
        <f t="shared" ref="C114:L114" si="97">C84*C55*C21</f>
        <v>0</v>
      </c>
      <c r="D114" s="97">
        <f t="shared" si="97"/>
        <v>0</v>
      </c>
      <c r="E114" s="97">
        <f t="shared" si="97"/>
        <v>0</v>
      </c>
      <c r="F114" s="97">
        <f t="shared" si="97"/>
        <v>0</v>
      </c>
      <c r="G114" s="97">
        <f t="shared" si="97"/>
        <v>0</v>
      </c>
      <c r="H114" s="97">
        <f t="shared" si="97"/>
        <v>0</v>
      </c>
      <c r="I114" s="97">
        <f t="shared" si="97"/>
        <v>0</v>
      </c>
      <c r="J114" s="97">
        <f t="shared" si="97"/>
        <v>0</v>
      </c>
      <c r="K114" s="97">
        <f t="shared" si="97"/>
        <v>0</v>
      </c>
      <c r="L114" s="97">
        <f t="shared" si="97"/>
        <v>0</v>
      </c>
      <c r="M114" s="173">
        <f t="shared" si="49"/>
        <v>0</v>
      </c>
      <c r="N114" s="97">
        <f t="shared" si="50"/>
        <v>0</v>
      </c>
      <c r="O114" s="97">
        <f t="shared" si="51"/>
        <v>0</v>
      </c>
      <c r="P114" s="97">
        <f t="shared" si="52"/>
        <v>0</v>
      </c>
      <c r="Q114" s="97">
        <f t="shared" si="53"/>
        <v>0</v>
      </c>
      <c r="R114" s="97">
        <f t="shared" si="54"/>
        <v>0</v>
      </c>
      <c r="S114" s="97">
        <f t="shared" si="55"/>
        <v>0</v>
      </c>
      <c r="T114" s="97">
        <f t="shared" si="56"/>
        <v>0</v>
      </c>
      <c r="U114" s="97">
        <f t="shared" si="57"/>
        <v>0</v>
      </c>
      <c r="V114" s="97">
        <f t="shared" si="58"/>
        <v>0</v>
      </c>
      <c r="W114" s="97">
        <f t="shared" si="59"/>
        <v>0</v>
      </c>
      <c r="X114" s="173">
        <f t="shared" si="60"/>
        <v>0</v>
      </c>
      <c r="Y114" s="97">
        <f t="shared" si="61"/>
        <v>0</v>
      </c>
      <c r="Z114" s="97">
        <f t="shared" si="62"/>
        <v>0</v>
      </c>
      <c r="AA114" s="97">
        <f t="shared" si="63"/>
        <v>0</v>
      </c>
      <c r="AB114" s="97">
        <f t="shared" si="64"/>
        <v>0</v>
      </c>
      <c r="AC114" s="97">
        <f t="shared" si="65"/>
        <v>0</v>
      </c>
      <c r="AD114" s="97">
        <f t="shared" si="66"/>
        <v>0</v>
      </c>
      <c r="AE114" s="97">
        <f t="shared" si="67"/>
        <v>0</v>
      </c>
      <c r="AF114" s="97">
        <f t="shared" si="68"/>
        <v>0</v>
      </c>
      <c r="AG114" s="97">
        <f t="shared" si="69"/>
        <v>0</v>
      </c>
      <c r="AH114" s="97">
        <f t="shared" si="70"/>
        <v>0</v>
      </c>
      <c r="AI114" s="173">
        <f t="shared" si="71"/>
        <v>0</v>
      </c>
      <c r="AJ114" s="173">
        <f t="shared" si="72"/>
        <v>0</v>
      </c>
      <c r="AK114" s="173">
        <f t="shared" si="73"/>
        <v>0</v>
      </c>
      <c r="AL114" s="173">
        <f t="shared" si="74"/>
        <v>0</v>
      </c>
      <c r="AM114" s="173">
        <f t="shared" si="75"/>
        <v>0</v>
      </c>
      <c r="AN114" s="173">
        <f t="shared" si="76"/>
        <v>0</v>
      </c>
      <c r="AO114" s="173">
        <f t="shared" si="77"/>
        <v>0</v>
      </c>
      <c r="AP114" s="173">
        <f t="shared" si="78"/>
        <v>0</v>
      </c>
      <c r="AQ114" s="173">
        <f t="shared" si="79"/>
        <v>0</v>
      </c>
      <c r="AR114" s="173">
        <f t="shared" si="80"/>
        <v>0</v>
      </c>
      <c r="AS114" s="173">
        <f t="shared" si="81"/>
        <v>0</v>
      </c>
      <c r="AT114" s="173">
        <f t="shared" si="82"/>
        <v>0</v>
      </c>
    </row>
    <row r="115" spans="1:46" x14ac:dyDescent="0.25">
      <c r="A115" s="13">
        <v>18</v>
      </c>
      <c r="B115" s="13" t="s">
        <v>156</v>
      </c>
      <c r="C115" s="97">
        <f t="shared" ref="C115:L115" si="98">C85*C56*C22</f>
        <v>0</v>
      </c>
      <c r="D115" s="97">
        <f t="shared" si="98"/>
        <v>0</v>
      </c>
      <c r="E115" s="97">
        <f t="shared" si="98"/>
        <v>0</v>
      </c>
      <c r="F115" s="97">
        <f t="shared" si="98"/>
        <v>0</v>
      </c>
      <c r="G115" s="97">
        <f t="shared" si="98"/>
        <v>0</v>
      </c>
      <c r="H115" s="97">
        <f t="shared" si="98"/>
        <v>0</v>
      </c>
      <c r="I115" s="97">
        <f t="shared" si="98"/>
        <v>0</v>
      </c>
      <c r="J115" s="97">
        <f t="shared" si="98"/>
        <v>0</v>
      </c>
      <c r="K115" s="97">
        <f t="shared" si="98"/>
        <v>0</v>
      </c>
      <c r="L115" s="97">
        <f t="shared" si="98"/>
        <v>0</v>
      </c>
      <c r="M115" s="173">
        <f t="shared" si="49"/>
        <v>0</v>
      </c>
      <c r="N115" s="97">
        <f t="shared" si="50"/>
        <v>0</v>
      </c>
      <c r="O115" s="97">
        <f t="shared" si="51"/>
        <v>0</v>
      </c>
      <c r="P115" s="97">
        <f t="shared" si="52"/>
        <v>0</v>
      </c>
      <c r="Q115" s="97">
        <f t="shared" si="53"/>
        <v>0</v>
      </c>
      <c r="R115" s="97">
        <f t="shared" si="54"/>
        <v>0</v>
      </c>
      <c r="S115" s="97">
        <f t="shared" si="55"/>
        <v>0</v>
      </c>
      <c r="T115" s="97">
        <f t="shared" si="56"/>
        <v>0</v>
      </c>
      <c r="U115" s="97">
        <f t="shared" si="57"/>
        <v>0</v>
      </c>
      <c r="V115" s="97">
        <f t="shared" si="58"/>
        <v>0</v>
      </c>
      <c r="W115" s="97">
        <f t="shared" si="59"/>
        <v>0</v>
      </c>
      <c r="X115" s="173">
        <f t="shared" si="60"/>
        <v>0</v>
      </c>
      <c r="Y115" s="97">
        <f t="shared" si="61"/>
        <v>0</v>
      </c>
      <c r="Z115" s="97">
        <f t="shared" si="62"/>
        <v>0</v>
      </c>
      <c r="AA115" s="97">
        <f t="shared" si="63"/>
        <v>0</v>
      </c>
      <c r="AB115" s="97">
        <f t="shared" si="64"/>
        <v>0</v>
      </c>
      <c r="AC115" s="97">
        <f t="shared" si="65"/>
        <v>0</v>
      </c>
      <c r="AD115" s="97">
        <f t="shared" si="66"/>
        <v>0</v>
      </c>
      <c r="AE115" s="97">
        <f t="shared" si="67"/>
        <v>0</v>
      </c>
      <c r="AF115" s="97">
        <f t="shared" si="68"/>
        <v>0</v>
      </c>
      <c r="AG115" s="97">
        <f t="shared" si="69"/>
        <v>0</v>
      </c>
      <c r="AH115" s="97">
        <f t="shared" si="70"/>
        <v>0</v>
      </c>
      <c r="AI115" s="173">
        <f t="shared" si="71"/>
        <v>0</v>
      </c>
      <c r="AJ115" s="173">
        <f t="shared" si="72"/>
        <v>0</v>
      </c>
      <c r="AK115" s="173">
        <f t="shared" si="73"/>
        <v>0</v>
      </c>
      <c r="AL115" s="173">
        <f t="shared" si="74"/>
        <v>0</v>
      </c>
      <c r="AM115" s="173">
        <f t="shared" si="75"/>
        <v>0</v>
      </c>
      <c r="AN115" s="173">
        <f t="shared" si="76"/>
        <v>0</v>
      </c>
      <c r="AO115" s="173">
        <f t="shared" si="77"/>
        <v>0</v>
      </c>
      <c r="AP115" s="173">
        <f t="shared" si="78"/>
        <v>0</v>
      </c>
      <c r="AQ115" s="173">
        <f t="shared" si="79"/>
        <v>0</v>
      </c>
      <c r="AR115" s="173">
        <f t="shared" si="80"/>
        <v>0</v>
      </c>
      <c r="AS115" s="173">
        <f t="shared" si="81"/>
        <v>0</v>
      </c>
      <c r="AT115" s="173">
        <f t="shared" si="82"/>
        <v>0</v>
      </c>
    </row>
    <row r="116" spans="1:46" x14ac:dyDescent="0.25">
      <c r="A116" s="13">
        <v>19</v>
      </c>
      <c r="B116" s="13" t="s">
        <v>157</v>
      </c>
      <c r="C116" s="97">
        <f t="shared" ref="C116:L116" si="99">C86*C57*C23</f>
        <v>0</v>
      </c>
      <c r="D116" s="97">
        <f t="shared" si="99"/>
        <v>0</v>
      </c>
      <c r="E116" s="97">
        <f t="shared" si="99"/>
        <v>0</v>
      </c>
      <c r="F116" s="97">
        <f t="shared" si="99"/>
        <v>0</v>
      </c>
      <c r="G116" s="97">
        <f t="shared" si="99"/>
        <v>0</v>
      </c>
      <c r="H116" s="97">
        <f t="shared" si="99"/>
        <v>0</v>
      </c>
      <c r="I116" s="97">
        <f t="shared" si="99"/>
        <v>0</v>
      </c>
      <c r="J116" s="97">
        <f t="shared" si="99"/>
        <v>0</v>
      </c>
      <c r="K116" s="97">
        <f t="shared" si="99"/>
        <v>0</v>
      </c>
      <c r="L116" s="97">
        <f t="shared" si="99"/>
        <v>0</v>
      </c>
      <c r="M116" s="173">
        <f t="shared" si="49"/>
        <v>0</v>
      </c>
      <c r="N116" s="97">
        <f t="shared" si="50"/>
        <v>0</v>
      </c>
      <c r="O116" s="97">
        <f t="shared" si="51"/>
        <v>0</v>
      </c>
      <c r="P116" s="97">
        <f t="shared" si="52"/>
        <v>0</v>
      </c>
      <c r="Q116" s="97">
        <f t="shared" si="53"/>
        <v>0</v>
      </c>
      <c r="R116" s="97">
        <f t="shared" si="54"/>
        <v>0</v>
      </c>
      <c r="S116" s="97">
        <f t="shared" si="55"/>
        <v>0</v>
      </c>
      <c r="T116" s="97">
        <f t="shared" si="56"/>
        <v>0</v>
      </c>
      <c r="U116" s="97">
        <f t="shared" si="57"/>
        <v>0</v>
      </c>
      <c r="V116" s="97">
        <f t="shared" si="58"/>
        <v>0</v>
      </c>
      <c r="W116" s="97">
        <f t="shared" si="59"/>
        <v>0</v>
      </c>
      <c r="X116" s="173">
        <f t="shared" si="60"/>
        <v>0</v>
      </c>
      <c r="Y116" s="97">
        <f t="shared" si="61"/>
        <v>0</v>
      </c>
      <c r="Z116" s="97">
        <f t="shared" si="62"/>
        <v>0</v>
      </c>
      <c r="AA116" s="97">
        <f t="shared" si="63"/>
        <v>0</v>
      </c>
      <c r="AB116" s="97">
        <f t="shared" si="64"/>
        <v>0</v>
      </c>
      <c r="AC116" s="97">
        <f t="shared" si="65"/>
        <v>0</v>
      </c>
      <c r="AD116" s="97">
        <f t="shared" si="66"/>
        <v>0</v>
      </c>
      <c r="AE116" s="97">
        <f t="shared" si="67"/>
        <v>0</v>
      </c>
      <c r="AF116" s="97">
        <f t="shared" si="68"/>
        <v>0</v>
      </c>
      <c r="AG116" s="97">
        <f t="shared" si="69"/>
        <v>0</v>
      </c>
      <c r="AH116" s="97">
        <f t="shared" si="70"/>
        <v>0</v>
      </c>
      <c r="AI116" s="173">
        <f t="shared" si="71"/>
        <v>0</v>
      </c>
      <c r="AJ116" s="173">
        <f t="shared" si="72"/>
        <v>0</v>
      </c>
      <c r="AK116" s="173">
        <f t="shared" si="73"/>
        <v>0</v>
      </c>
      <c r="AL116" s="173">
        <f t="shared" si="74"/>
        <v>0</v>
      </c>
      <c r="AM116" s="173">
        <f t="shared" si="75"/>
        <v>0</v>
      </c>
      <c r="AN116" s="173">
        <f t="shared" si="76"/>
        <v>0</v>
      </c>
      <c r="AO116" s="173">
        <f t="shared" si="77"/>
        <v>0</v>
      </c>
      <c r="AP116" s="173">
        <f t="shared" si="78"/>
        <v>0</v>
      </c>
      <c r="AQ116" s="173">
        <f t="shared" si="79"/>
        <v>0</v>
      </c>
      <c r="AR116" s="173">
        <f t="shared" si="80"/>
        <v>0</v>
      </c>
      <c r="AS116" s="173">
        <f t="shared" si="81"/>
        <v>0</v>
      </c>
      <c r="AT116" s="173">
        <f t="shared" si="82"/>
        <v>0</v>
      </c>
    </row>
    <row r="117" spans="1:46" x14ac:dyDescent="0.25">
      <c r="A117" s="13">
        <v>20</v>
      </c>
      <c r="B117" s="13" t="s">
        <v>158</v>
      </c>
      <c r="C117" s="97">
        <f t="shared" ref="C117:L117" si="100">C87*C58*C24</f>
        <v>0</v>
      </c>
      <c r="D117" s="97">
        <f t="shared" si="100"/>
        <v>0</v>
      </c>
      <c r="E117" s="97">
        <f t="shared" si="100"/>
        <v>0</v>
      </c>
      <c r="F117" s="97">
        <f t="shared" si="100"/>
        <v>0</v>
      </c>
      <c r="G117" s="97">
        <f t="shared" si="100"/>
        <v>0</v>
      </c>
      <c r="H117" s="97">
        <f t="shared" si="100"/>
        <v>0</v>
      </c>
      <c r="I117" s="97">
        <f t="shared" si="100"/>
        <v>0</v>
      </c>
      <c r="J117" s="97">
        <f t="shared" si="100"/>
        <v>0</v>
      </c>
      <c r="K117" s="97">
        <f t="shared" si="100"/>
        <v>0</v>
      </c>
      <c r="L117" s="97">
        <f t="shared" si="100"/>
        <v>0</v>
      </c>
      <c r="M117" s="173">
        <f t="shared" si="49"/>
        <v>0</v>
      </c>
      <c r="N117" s="97">
        <f t="shared" si="50"/>
        <v>0</v>
      </c>
      <c r="O117" s="97">
        <f t="shared" si="51"/>
        <v>0</v>
      </c>
      <c r="P117" s="97">
        <f t="shared" si="52"/>
        <v>0</v>
      </c>
      <c r="Q117" s="97">
        <f t="shared" si="53"/>
        <v>0</v>
      </c>
      <c r="R117" s="97">
        <f t="shared" si="54"/>
        <v>0</v>
      </c>
      <c r="S117" s="97">
        <f t="shared" si="55"/>
        <v>0</v>
      </c>
      <c r="T117" s="97">
        <f t="shared" si="56"/>
        <v>0</v>
      </c>
      <c r="U117" s="97">
        <f t="shared" si="57"/>
        <v>0</v>
      </c>
      <c r="V117" s="97">
        <f t="shared" si="58"/>
        <v>0</v>
      </c>
      <c r="W117" s="97">
        <f t="shared" si="59"/>
        <v>0</v>
      </c>
      <c r="X117" s="173">
        <f t="shared" si="60"/>
        <v>0</v>
      </c>
      <c r="Y117" s="97">
        <f t="shared" si="61"/>
        <v>0</v>
      </c>
      <c r="Z117" s="97">
        <f t="shared" si="62"/>
        <v>0</v>
      </c>
      <c r="AA117" s="97">
        <f t="shared" si="63"/>
        <v>0</v>
      </c>
      <c r="AB117" s="97">
        <f t="shared" si="64"/>
        <v>0</v>
      </c>
      <c r="AC117" s="97">
        <f t="shared" si="65"/>
        <v>0</v>
      </c>
      <c r="AD117" s="97">
        <f t="shared" si="66"/>
        <v>0</v>
      </c>
      <c r="AE117" s="97">
        <f t="shared" si="67"/>
        <v>0</v>
      </c>
      <c r="AF117" s="97">
        <f t="shared" si="68"/>
        <v>0</v>
      </c>
      <c r="AG117" s="97">
        <f t="shared" si="69"/>
        <v>0</v>
      </c>
      <c r="AH117" s="97">
        <f t="shared" si="70"/>
        <v>0</v>
      </c>
      <c r="AI117" s="173">
        <f t="shared" si="71"/>
        <v>0</v>
      </c>
      <c r="AJ117" s="173">
        <f t="shared" si="72"/>
        <v>0</v>
      </c>
      <c r="AK117" s="173">
        <f t="shared" si="73"/>
        <v>0</v>
      </c>
      <c r="AL117" s="173">
        <f t="shared" si="74"/>
        <v>0</v>
      </c>
      <c r="AM117" s="173">
        <f t="shared" si="75"/>
        <v>0</v>
      </c>
      <c r="AN117" s="173">
        <f t="shared" si="76"/>
        <v>0</v>
      </c>
      <c r="AO117" s="173">
        <f t="shared" si="77"/>
        <v>0</v>
      </c>
      <c r="AP117" s="173">
        <f t="shared" si="78"/>
        <v>0</v>
      </c>
      <c r="AQ117" s="173">
        <f t="shared" si="79"/>
        <v>0</v>
      </c>
      <c r="AR117" s="173">
        <f t="shared" si="80"/>
        <v>0</v>
      </c>
      <c r="AS117" s="173">
        <f t="shared" si="81"/>
        <v>0</v>
      </c>
      <c r="AT117" s="173">
        <f t="shared" si="82"/>
        <v>0</v>
      </c>
    </row>
    <row r="118" spans="1:46" x14ac:dyDescent="0.25">
      <c r="A118" s="13">
        <v>21</v>
      </c>
      <c r="B118" s="13" t="s">
        <v>159</v>
      </c>
      <c r="C118" s="97">
        <f t="shared" ref="C118:L118" si="101">C88*C59*C25</f>
        <v>0</v>
      </c>
      <c r="D118" s="97">
        <f t="shared" si="101"/>
        <v>0</v>
      </c>
      <c r="E118" s="97">
        <f t="shared" si="101"/>
        <v>0</v>
      </c>
      <c r="F118" s="97">
        <f t="shared" si="101"/>
        <v>0</v>
      </c>
      <c r="G118" s="97">
        <f t="shared" si="101"/>
        <v>0</v>
      </c>
      <c r="H118" s="97">
        <f t="shared" si="101"/>
        <v>0</v>
      </c>
      <c r="I118" s="97">
        <f t="shared" si="101"/>
        <v>0</v>
      </c>
      <c r="J118" s="97">
        <f t="shared" si="101"/>
        <v>0</v>
      </c>
      <c r="K118" s="97">
        <f t="shared" si="101"/>
        <v>0</v>
      </c>
      <c r="L118" s="97">
        <f t="shared" si="101"/>
        <v>0</v>
      </c>
      <c r="M118" s="173">
        <f t="shared" si="49"/>
        <v>0</v>
      </c>
      <c r="N118" s="97">
        <f t="shared" si="50"/>
        <v>0</v>
      </c>
      <c r="O118" s="97">
        <f t="shared" si="51"/>
        <v>0</v>
      </c>
      <c r="P118" s="97">
        <f t="shared" si="52"/>
        <v>0</v>
      </c>
      <c r="Q118" s="97">
        <f t="shared" si="53"/>
        <v>0</v>
      </c>
      <c r="R118" s="97">
        <f t="shared" si="54"/>
        <v>0</v>
      </c>
      <c r="S118" s="97">
        <f t="shared" si="55"/>
        <v>0</v>
      </c>
      <c r="T118" s="97">
        <f t="shared" si="56"/>
        <v>0</v>
      </c>
      <c r="U118" s="97">
        <f t="shared" si="57"/>
        <v>0</v>
      </c>
      <c r="V118" s="97">
        <f t="shared" si="58"/>
        <v>0</v>
      </c>
      <c r="W118" s="97">
        <f t="shared" si="59"/>
        <v>0</v>
      </c>
      <c r="X118" s="173">
        <f t="shared" si="60"/>
        <v>0</v>
      </c>
      <c r="Y118" s="97">
        <f t="shared" si="61"/>
        <v>0</v>
      </c>
      <c r="Z118" s="97">
        <f t="shared" si="62"/>
        <v>0</v>
      </c>
      <c r="AA118" s="97">
        <f t="shared" si="63"/>
        <v>0</v>
      </c>
      <c r="AB118" s="97">
        <f t="shared" si="64"/>
        <v>0</v>
      </c>
      <c r="AC118" s="97">
        <f t="shared" si="65"/>
        <v>0</v>
      </c>
      <c r="AD118" s="97">
        <f t="shared" si="66"/>
        <v>0</v>
      </c>
      <c r="AE118" s="97">
        <f t="shared" si="67"/>
        <v>0</v>
      </c>
      <c r="AF118" s="97">
        <f t="shared" si="68"/>
        <v>0</v>
      </c>
      <c r="AG118" s="97">
        <f t="shared" si="69"/>
        <v>0</v>
      </c>
      <c r="AH118" s="97">
        <f t="shared" si="70"/>
        <v>0</v>
      </c>
      <c r="AI118" s="173">
        <f t="shared" si="71"/>
        <v>0</v>
      </c>
      <c r="AJ118" s="173">
        <f t="shared" si="72"/>
        <v>0</v>
      </c>
      <c r="AK118" s="173">
        <f t="shared" si="73"/>
        <v>0</v>
      </c>
      <c r="AL118" s="173">
        <f t="shared" si="74"/>
        <v>0</v>
      </c>
      <c r="AM118" s="173">
        <f t="shared" si="75"/>
        <v>0</v>
      </c>
      <c r="AN118" s="173">
        <f t="shared" si="76"/>
        <v>0</v>
      </c>
      <c r="AO118" s="173">
        <f t="shared" si="77"/>
        <v>0</v>
      </c>
      <c r="AP118" s="173">
        <f t="shared" si="78"/>
        <v>0</v>
      </c>
      <c r="AQ118" s="173">
        <f t="shared" si="79"/>
        <v>0</v>
      </c>
      <c r="AR118" s="173">
        <f t="shared" si="80"/>
        <v>0</v>
      </c>
      <c r="AS118" s="173">
        <f t="shared" si="81"/>
        <v>0</v>
      </c>
      <c r="AT118" s="173">
        <f t="shared" si="82"/>
        <v>0</v>
      </c>
    </row>
    <row r="119" spans="1:46" x14ac:dyDescent="0.25">
      <c r="A119" s="13">
        <v>22</v>
      </c>
      <c r="B119" s="13" t="s">
        <v>160</v>
      </c>
      <c r="C119" s="97">
        <f t="shared" ref="C119:L119" si="102">C89*C60*C26</f>
        <v>0</v>
      </c>
      <c r="D119" s="97">
        <f t="shared" si="102"/>
        <v>0</v>
      </c>
      <c r="E119" s="97">
        <f t="shared" si="102"/>
        <v>0</v>
      </c>
      <c r="F119" s="97">
        <f t="shared" si="102"/>
        <v>0</v>
      </c>
      <c r="G119" s="97">
        <f t="shared" si="102"/>
        <v>0</v>
      </c>
      <c r="H119" s="97">
        <f t="shared" si="102"/>
        <v>0</v>
      </c>
      <c r="I119" s="97">
        <f t="shared" si="102"/>
        <v>0</v>
      </c>
      <c r="J119" s="97">
        <f t="shared" si="102"/>
        <v>0</v>
      </c>
      <c r="K119" s="97">
        <f t="shared" si="102"/>
        <v>0</v>
      </c>
      <c r="L119" s="97">
        <f t="shared" si="102"/>
        <v>0</v>
      </c>
      <c r="M119" s="173">
        <f t="shared" si="49"/>
        <v>0</v>
      </c>
      <c r="N119" s="97">
        <f t="shared" si="50"/>
        <v>0</v>
      </c>
      <c r="O119" s="97">
        <f t="shared" si="51"/>
        <v>0</v>
      </c>
      <c r="P119" s="97">
        <f t="shared" si="52"/>
        <v>0</v>
      </c>
      <c r="Q119" s="97">
        <f t="shared" si="53"/>
        <v>0</v>
      </c>
      <c r="R119" s="97">
        <f t="shared" si="54"/>
        <v>0</v>
      </c>
      <c r="S119" s="97">
        <f t="shared" si="55"/>
        <v>0</v>
      </c>
      <c r="T119" s="97">
        <f t="shared" si="56"/>
        <v>0</v>
      </c>
      <c r="U119" s="97">
        <f t="shared" si="57"/>
        <v>0</v>
      </c>
      <c r="V119" s="97">
        <f t="shared" si="58"/>
        <v>0</v>
      </c>
      <c r="W119" s="97">
        <f t="shared" si="59"/>
        <v>0</v>
      </c>
      <c r="X119" s="173">
        <f t="shared" si="60"/>
        <v>0</v>
      </c>
      <c r="Y119" s="97">
        <f t="shared" si="61"/>
        <v>0</v>
      </c>
      <c r="Z119" s="97">
        <f t="shared" si="62"/>
        <v>0</v>
      </c>
      <c r="AA119" s="97">
        <f t="shared" si="63"/>
        <v>0</v>
      </c>
      <c r="AB119" s="97">
        <f t="shared" si="64"/>
        <v>0</v>
      </c>
      <c r="AC119" s="97">
        <f t="shared" si="65"/>
        <v>0</v>
      </c>
      <c r="AD119" s="97">
        <f t="shared" si="66"/>
        <v>0</v>
      </c>
      <c r="AE119" s="97">
        <f t="shared" si="67"/>
        <v>0</v>
      </c>
      <c r="AF119" s="97">
        <f t="shared" si="68"/>
        <v>0</v>
      </c>
      <c r="AG119" s="97">
        <f t="shared" si="69"/>
        <v>0</v>
      </c>
      <c r="AH119" s="97">
        <f t="shared" si="70"/>
        <v>0</v>
      </c>
      <c r="AI119" s="173">
        <f t="shared" si="71"/>
        <v>0</v>
      </c>
      <c r="AJ119" s="173">
        <f t="shared" si="72"/>
        <v>0</v>
      </c>
      <c r="AK119" s="173">
        <f t="shared" si="73"/>
        <v>0</v>
      </c>
      <c r="AL119" s="173">
        <f t="shared" si="74"/>
        <v>0</v>
      </c>
      <c r="AM119" s="173">
        <f t="shared" si="75"/>
        <v>0</v>
      </c>
      <c r="AN119" s="173">
        <f t="shared" si="76"/>
        <v>0</v>
      </c>
      <c r="AO119" s="173">
        <f t="shared" si="77"/>
        <v>0</v>
      </c>
      <c r="AP119" s="173">
        <f t="shared" si="78"/>
        <v>0</v>
      </c>
      <c r="AQ119" s="173">
        <f t="shared" si="79"/>
        <v>0</v>
      </c>
      <c r="AR119" s="173">
        <f t="shared" si="80"/>
        <v>0</v>
      </c>
      <c r="AS119" s="173">
        <f t="shared" si="81"/>
        <v>0</v>
      </c>
      <c r="AT119" s="173">
        <f t="shared" si="82"/>
        <v>0</v>
      </c>
    </row>
    <row r="120" spans="1:46" x14ac:dyDescent="0.25">
      <c r="A120" s="13">
        <v>23</v>
      </c>
      <c r="B120" s="13" t="s">
        <v>161</v>
      </c>
      <c r="C120" s="97">
        <f t="shared" ref="C120:L120" si="103">C90*C61*C27</f>
        <v>0</v>
      </c>
      <c r="D120" s="97">
        <f t="shared" si="103"/>
        <v>0</v>
      </c>
      <c r="E120" s="97">
        <f t="shared" si="103"/>
        <v>0</v>
      </c>
      <c r="F120" s="97">
        <f t="shared" si="103"/>
        <v>0</v>
      </c>
      <c r="G120" s="97">
        <f t="shared" si="103"/>
        <v>0</v>
      </c>
      <c r="H120" s="97">
        <f t="shared" si="103"/>
        <v>0</v>
      </c>
      <c r="I120" s="97">
        <f t="shared" si="103"/>
        <v>0</v>
      </c>
      <c r="J120" s="97">
        <f t="shared" si="103"/>
        <v>0</v>
      </c>
      <c r="K120" s="97">
        <f t="shared" si="103"/>
        <v>0</v>
      </c>
      <c r="L120" s="97">
        <f t="shared" si="103"/>
        <v>0</v>
      </c>
      <c r="M120" s="173">
        <f t="shared" si="49"/>
        <v>0</v>
      </c>
      <c r="N120" s="97">
        <f t="shared" si="50"/>
        <v>0</v>
      </c>
      <c r="O120" s="97">
        <f t="shared" si="51"/>
        <v>0</v>
      </c>
      <c r="P120" s="97">
        <f t="shared" si="52"/>
        <v>0</v>
      </c>
      <c r="Q120" s="97">
        <f t="shared" si="53"/>
        <v>0</v>
      </c>
      <c r="R120" s="97">
        <f t="shared" si="54"/>
        <v>0</v>
      </c>
      <c r="S120" s="97">
        <f t="shared" si="55"/>
        <v>0</v>
      </c>
      <c r="T120" s="97">
        <f t="shared" si="56"/>
        <v>0</v>
      </c>
      <c r="U120" s="97">
        <f t="shared" si="57"/>
        <v>0</v>
      </c>
      <c r="V120" s="97">
        <f t="shared" si="58"/>
        <v>0</v>
      </c>
      <c r="W120" s="97">
        <f t="shared" si="59"/>
        <v>0</v>
      </c>
      <c r="X120" s="173">
        <f t="shared" si="60"/>
        <v>0</v>
      </c>
      <c r="Y120" s="97">
        <f t="shared" si="61"/>
        <v>0</v>
      </c>
      <c r="Z120" s="97">
        <f t="shared" si="62"/>
        <v>0</v>
      </c>
      <c r="AA120" s="97">
        <f t="shared" si="63"/>
        <v>0</v>
      </c>
      <c r="AB120" s="97">
        <f t="shared" si="64"/>
        <v>0</v>
      </c>
      <c r="AC120" s="97">
        <f t="shared" si="65"/>
        <v>0</v>
      </c>
      <c r="AD120" s="97">
        <f t="shared" si="66"/>
        <v>0</v>
      </c>
      <c r="AE120" s="97">
        <f t="shared" si="67"/>
        <v>0</v>
      </c>
      <c r="AF120" s="97">
        <f t="shared" si="68"/>
        <v>0</v>
      </c>
      <c r="AG120" s="97">
        <f t="shared" si="69"/>
        <v>0</v>
      </c>
      <c r="AH120" s="97">
        <f t="shared" si="70"/>
        <v>0</v>
      </c>
      <c r="AI120" s="173">
        <f t="shared" si="71"/>
        <v>0</v>
      </c>
      <c r="AJ120" s="173">
        <f t="shared" si="72"/>
        <v>0</v>
      </c>
      <c r="AK120" s="173">
        <f t="shared" si="73"/>
        <v>0</v>
      </c>
      <c r="AL120" s="173">
        <f t="shared" si="74"/>
        <v>0</v>
      </c>
      <c r="AM120" s="173">
        <f t="shared" si="75"/>
        <v>0</v>
      </c>
      <c r="AN120" s="173">
        <f t="shared" si="76"/>
        <v>0</v>
      </c>
      <c r="AO120" s="173">
        <f t="shared" si="77"/>
        <v>0</v>
      </c>
      <c r="AP120" s="173">
        <f t="shared" si="78"/>
        <v>0</v>
      </c>
      <c r="AQ120" s="173">
        <f t="shared" si="79"/>
        <v>0</v>
      </c>
      <c r="AR120" s="173">
        <f t="shared" si="80"/>
        <v>0</v>
      </c>
      <c r="AS120" s="173">
        <f t="shared" si="81"/>
        <v>0</v>
      </c>
      <c r="AT120" s="173">
        <f t="shared" si="82"/>
        <v>0</v>
      </c>
    </row>
    <row r="121" spans="1:46" x14ac:dyDescent="0.25">
      <c r="A121" s="13">
        <v>24</v>
      </c>
      <c r="B121" s="13" t="s">
        <v>162</v>
      </c>
      <c r="C121" s="97">
        <f t="shared" ref="C121:L121" si="104">C91*C62*C28</f>
        <v>0</v>
      </c>
      <c r="D121" s="97">
        <f t="shared" si="104"/>
        <v>0</v>
      </c>
      <c r="E121" s="97">
        <f t="shared" si="104"/>
        <v>0</v>
      </c>
      <c r="F121" s="97">
        <f t="shared" si="104"/>
        <v>0</v>
      </c>
      <c r="G121" s="97">
        <f t="shared" si="104"/>
        <v>0</v>
      </c>
      <c r="H121" s="97">
        <f t="shared" si="104"/>
        <v>0</v>
      </c>
      <c r="I121" s="97">
        <f t="shared" si="104"/>
        <v>0</v>
      </c>
      <c r="J121" s="97">
        <f t="shared" si="104"/>
        <v>0</v>
      </c>
      <c r="K121" s="97">
        <f t="shared" si="104"/>
        <v>0</v>
      </c>
      <c r="L121" s="97">
        <f t="shared" si="104"/>
        <v>0</v>
      </c>
      <c r="M121" s="173">
        <f t="shared" si="49"/>
        <v>0</v>
      </c>
      <c r="N121" s="97">
        <f t="shared" si="50"/>
        <v>0</v>
      </c>
      <c r="O121" s="97">
        <f t="shared" si="51"/>
        <v>0</v>
      </c>
      <c r="P121" s="97">
        <f t="shared" si="52"/>
        <v>0</v>
      </c>
      <c r="Q121" s="97">
        <f t="shared" si="53"/>
        <v>0</v>
      </c>
      <c r="R121" s="97">
        <f t="shared" si="54"/>
        <v>0</v>
      </c>
      <c r="S121" s="97">
        <f t="shared" si="55"/>
        <v>0</v>
      </c>
      <c r="T121" s="97">
        <f t="shared" si="56"/>
        <v>0</v>
      </c>
      <c r="U121" s="97">
        <f t="shared" si="57"/>
        <v>0</v>
      </c>
      <c r="V121" s="97">
        <f t="shared" si="58"/>
        <v>0</v>
      </c>
      <c r="W121" s="97">
        <f t="shared" si="59"/>
        <v>0</v>
      </c>
      <c r="X121" s="173">
        <f t="shared" si="60"/>
        <v>0</v>
      </c>
      <c r="Y121" s="97">
        <f t="shared" si="61"/>
        <v>0</v>
      </c>
      <c r="Z121" s="97">
        <f t="shared" si="62"/>
        <v>0</v>
      </c>
      <c r="AA121" s="97">
        <f t="shared" si="63"/>
        <v>0</v>
      </c>
      <c r="AB121" s="97">
        <f t="shared" si="64"/>
        <v>0</v>
      </c>
      <c r="AC121" s="97">
        <f t="shared" si="65"/>
        <v>0</v>
      </c>
      <c r="AD121" s="97">
        <f t="shared" si="66"/>
        <v>0</v>
      </c>
      <c r="AE121" s="97">
        <f t="shared" si="67"/>
        <v>0</v>
      </c>
      <c r="AF121" s="97">
        <f t="shared" si="68"/>
        <v>0</v>
      </c>
      <c r="AG121" s="97">
        <f t="shared" si="69"/>
        <v>0</v>
      </c>
      <c r="AH121" s="97">
        <f t="shared" si="70"/>
        <v>0</v>
      </c>
      <c r="AI121" s="173">
        <f t="shared" si="71"/>
        <v>0</v>
      </c>
      <c r="AJ121" s="173">
        <f t="shared" si="72"/>
        <v>0</v>
      </c>
      <c r="AK121" s="173">
        <f t="shared" si="73"/>
        <v>0</v>
      </c>
      <c r="AL121" s="173">
        <f t="shared" si="74"/>
        <v>0</v>
      </c>
      <c r="AM121" s="173">
        <f t="shared" si="75"/>
        <v>0</v>
      </c>
      <c r="AN121" s="173">
        <f t="shared" si="76"/>
        <v>0</v>
      </c>
      <c r="AO121" s="173">
        <f t="shared" si="77"/>
        <v>0</v>
      </c>
      <c r="AP121" s="173">
        <f t="shared" si="78"/>
        <v>0</v>
      </c>
      <c r="AQ121" s="173">
        <f t="shared" si="79"/>
        <v>0</v>
      </c>
      <c r="AR121" s="173">
        <f t="shared" si="80"/>
        <v>0</v>
      </c>
      <c r="AS121" s="173">
        <f t="shared" si="81"/>
        <v>0</v>
      </c>
      <c r="AT121" s="173">
        <f t="shared" si="82"/>
        <v>0</v>
      </c>
    </row>
    <row r="122" spans="1:46" x14ac:dyDescent="0.25">
      <c r="A122" s="13"/>
      <c r="B122" s="15" t="s">
        <v>163</v>
      </c>
      <c r="C122" s="97">
        <f>SUM(C98:C121)</f>
        <v>0</v>
      </c>
      <c r="D122" s="97">
        <f t="shared" ref="D122:L122" si="105">SUM(D98:D121)</f>
        <v>0</v>
      </c>
      <c r="E122" s="97">
        <f t="shared" si="105"/>
        <v>0</v>
      </c>
      <c r="F122" s="97">
        <f t="shared" si="105"/>
        <v>0</v>
      </c>
      <c r="G122" s="97">
        <f t="shared" si="105"/>
        <v>0</v>
      </c>
      <c r="H122" s="97">
        <f t="shared" si="105"/>
        <v>0</v>
      </c>
      <c r="I122" s="97">
        <f t="shared" si="105"/>
        <v>0</v>
      </c>
      <c r="J122" s="97">
        <f t="shared" si="105"/>
        <v>0</v>
      </c>
      <c r="K122" s="97">
        <f t="shared" si="105"/>
        <v>0</v>
      </c>
      <c r="L122" s="97">
        <f t="shared" si="105"/>
        <v>0</v>
      </c>
      <c r="M122" s="173">
        <f t="shared" ref="M122" si="106">SUM(C122:K122)</f>
        <v>0</v>
      </c>
      <c r="N122" s="97">
        <f t="shared" ref="N122" si="107">SUM(N98:N121)</f>
        <v>0</v>
      </c>
      <c r="O122" s="97">
        <f t="shared" ref="O122" si="108">SUM(O98:O121)</f>
        <v>0</v>
      </c>
      <c r="P122" s="97">
        <f t="shared" ref="P122" si="109">SUM(P98:P121)</f>
        <v>0</v>
      </c>
      <c r="Q122" s="97">
        <f t="shared" ref="Q122" si="110">SUM(Q98:Q121)</f>
        <v>0</v>
      </c>
      <c r="R122" s="97">
        <f t="shared" ref="R122" si="111">SUM(R98:R121)</f>
        <v>0</v>
      </c>
      <c r="S122" s="97">
        <f t="shared" ref="S122" si="112">SUM(S98:S121)</f>
        <v>0</v>
      </c>
      <c r="T122" s="97">
        <f t="shared" ref="T122" si="113">SUM(T98:T121)</f>
        <v>0</v>
      </c>
      <c r="U122" s="97">
        <f t="shared" ref="U122" si="114">SUM(U98:U121)</f>
        <v>0</v>
      </c>
      <c r="V122" s="97">
        <f t="shared" ref="V122" si="115">SUM(V98:V121)</f>
        <v>0</v>
      </c>
      <c r="W122" s="97">
        <f t="shared" ref="W122" si="116">SUM(W98:W121)</f>
        <v>0</v>
      </c>
      <c r="X122" s="173">
        <f t="shared" ref="X122" si="117">SUM(N122:W122)</f>
        <v>0</v>
      </c>
      <c r="Y122" s="97">
        <f t="shared" ref="Y122" si="118">SUM(Y98:Y121)</f>
        <v>0</v>
      </c>
      <c r="Z122" s="97">
        <f t="shared" ref="Z122" si="119">SUM(Z98:Z121)</f>
        <v>0</v>
      </c>
      <c r="AA122" s="97">
        <f t="shared" ref="AA122" si="120">SUM(AA98:AA121)</f>
        <v>0</v>
      </c>
      <c r="AB122" s="97">
        <f t="shared" ref="AB122" si="121">SUM(AB98:AB121)</f>
        <v>0</v>
      </c>
      <c r="AC122" s="97">
        <f t="shared" ref="AC122" si="122">SUM(AC98:AC121)</f>
        <v>0</v>
      </c>
      <c r="AD122" s="97">
        <f t="shared" ref="AD122" si="123">SUM(AD98:AD121)</f>
        <v>0</v>
      </c>
      <c r="AE122" s="97">
        <f t="shared" ref="AE122" si="124">SUM(AE98:AE121)</f>
        <v>0</v>
      </c>
      <c r="AF122" s="97">
        <f t="shared" ref="AF122" si="125">SUM(AF98:AF121)</f>
        <v>0</v>
      </c>
      <c r="AG122" s="97">
        <f t="shared" ref="AG122" si="126">SUM(AG98:AG121)</f>
        <v>0</v>
      </c>
      <c r="AH122" s="97">
        <f t="shared" ref="AH122" si="127">SUM(AH98:AH121)</f>
        <v>0</v>
      </c>
      <c r="AI122" s="173">
        <f t="shared" ref="AI122" si="128">SUM(Y122:AH122)</f>
        <v>0</v>
      </c>
      <c r="AJ122" s="173">
        <f t="shared" ref="AJ122" si="129">C122+N122+Y122</f>
        <v>0</v>
      </c>
      <c r="AK122" s="173">
        <f t="shared" si="73"/>
        <v>0</v>
      </c>
      <c r="AL122" s="173">
        <f t="shared" si="74"/>
        <v>0</v>
      </c>
      <c r="AM122" s="173">
        <f t="shared" si="75"/>
        <v>0</v>
      </c>
      <c r="AN122" s="173">
        <f t="shared" si="76"/>
        <v>0</v>
      </c>
      <c r="AO122" s="173">
        <f t="shared" si="77"/>
        <v>0</v>
      </c>
      <c r="AP122" s="173">
        <f t="shared" si="78"/>
        <v>0</v>
      </c>
      <c r="AQ122" s="173">
        <f t="shared" si="79"/>
        <v>0</v>
      </c>
      <c r="AR122" s="173">
        <f t="shared" si="80"/>
        <v>0</v>
      </c>
      <c r="AS122" s="173">
        <f t="shared" si="81"/>
        <v>0</v>
      </c>
      <c r="AT122" s="173">
        <f>SUM(AJ122:AS122)</f>
        <v>0</v>
      </c>
    </row>
    <row r="123" spans="1:46" x14ac:dyDescent="0.25">
      <c r="X123" s="249" t="b">
        <f>SUM(X98:X121)=X122</f>
        <v>1</v>
      </c>
      <c r="AI123" s="249" t="b">
        <f>SUM(AI98:AI121)=AI122</f>
        <v>1</v>
      </c>
      <c r="AT123" s="249" t="b">
        <f>SUM(AJ122:AS122)=AT122</f>
        <v>1</v>
      </c>
    </row>
    <row r="126" spans="1:46" x14ac:dyDescent="0.25">
      <c r="B126" s="260" t="s">
        <v>222</v>
      </c>
    </row>
    <row r="127" spans="1:46" x14ac:dyDescent="0.25">
      <c r="B127" s="261"/>
    </row>
    <row r="128" spans="1:46" x14ac:dyDescent="0.25">
      <c r="B128" s="824" t="s">
        <v>223</v>
      </c>
      <c r="C128" s="824"/>
      <c r="D128" s="824"/>
      <c r="E128" s="824"/>
      <c r="F128" s="824"/>
      <c r="G128" s="824"/>
      <c r="H128" s="824"/>
      <c r="I128" s="824"/>
      <c r="J128" s="824"/>
      <c r="K128" s="824"/>
      <c r="L128" s="824"/>
      <c r="M128" s="824"/>
      <c r="N128" s="824"/>
      <c r="O128" s="824"/>
      <c r="P128" s="824"/>
      <c r="Q128" s="824"/>
    </row>
    <row r="129" spans="2:17" ht="30.6" customHeight="1" x14ac:dyDescent="0.25">
      <c r="B129" s="824"/>
      <c r="C129" s="824"/>
      <c r="D129" s="824"/>
      <c r="E129" s="824"/>
      <c r="F129" s="824"/>
      <c r="G129" s="824"/>
      <c r="H129" s="824"/>
      <c r="I129" s="824"/>
      <c r="J129" s="824"/>
      <c r="K129" s="824"/>
      <c r="L129" s="824"/>
      <c r="M129" s="824"/>
      <c r="N129" s="824"/>
      <c r="O129" s="824"/>
      <c r="P129" s="824"/>
      <c r="Q129" s="824"/>
    </row>
    <row r="130" spans="2:17" ht="20.25" x14ac:dyDescent="0.25">
      <c r="B130" s="259" t="s">
        <v>224</v>
      </c>
    </row>
    <row r="131" spans="2:17" x14ac:dyDescent="0.25">
      <c r="B131" s="261"/>
    </row>
    <row r="132" spans="2:17" x14ac:dyDescent="0.25">
      <c r="B132" s="260" t="s">
        <v>225</v>
      </c>
    </row>
    <row r="133" spans="2:17" x14ac:dyDescent="0.25">
      <c r="B133" s="825" t="s">
        <v>226</v>
      </c>
      <c r="C133" s="825"/>
      <c r="D133" s="825"/>
      <c r="E133" s="825"/>
      <c r="F133" s="825"/>
      <c r="G133" s="825"/>
      <c r="H133" s="825"/>
      <c r="I133" s="825"/>
      <c r="J133" s="825"/>
      <c r="K133" s="825"/>
      <c r="L133" s="825"/>
      <c r="M133" s="825"/>
      <c r="N133" s="825"/>
      <c r="O133" s="825"/>
      <c r="P133" s="825"/>
      <c r="Q133" s="825"/>
    </row>
    <row r="134" spans="2:17" x14ac:dyDescent="0.25">
      <c r="B134" s="825"/>
      <c r="C134" s="825"/>
      <c r="D134" s="825"/>
      <c r="E134" s="825"/>
      <c r="F134" s="825"/>
      <c r="G134" s="825"/>
      <c r="H134" s="825"/>
      <c r="I134" s="825"/>
      <c r="J134" s="825"/>
      <c r="K134" s="825"/>
      <c r="L134" s="825"/>
      <c r="M134" s="825"/>
      <c r="N134" s="825"/>
      <c r="O134" s="825"/>
      <c r="P134" s="825"/>
      <c r="Q134" s="825"/>
    </row>
  </sheetData>
  <mergeCells count="22">
    <mergeCell ref="Y66:AI66"/>
    <mergeCell ref="Y96:AI96"/>
    <mergeCell ref="AJ96:AT96"/>
    <mergeCell ref="B3:B4"/>
    <mergeCell ref="C3:M3"/>
    <mergeCell ref="N3:X3"/>
    <mergeCell ref="Y3:AI3"/>
    <mergeCell ref="AJ37:AT37"/>
    <mergeCell ref="AJ66:AT66"/>
    <mergeCell ref="B32:R33"/>
    <mergeCell ref="B37:B38"/>
    <mergeCell ref="C37:M37"/>
    <mergeCell ref="N37:X37"/>
    <mergeCell ref="Y37:AI37"/>
    <mergeCell ref="B66:B67"/>
    <mergeCell ref="C66:M66"/>
    <mergeCell ref="N66:X66"/>
    <mergeCell ref="B128:Q129"/>
    <mergeCell ref="B133:Q134"/>
    <mergeCell ref="B96:B97"/>
    <mergeCell ref="C96:M96"/>
    <mergeCell ref="N96:X96"/>
  </mergeCells>
  <hyperlinks>
    <hyperlink ref="B126" r:id="rId1" location=":~:text=Topsoil%20ranges%20from%200.5%25%20to,generally%20classified%20as%20organic%20soils" display="https://en.wikipedia.org/wiki/Soil_carbon - :~:text=Topsoil%20ranges%20from%200.5%25%20to,generally%20classified%20as%20organic%20soils" xr:uid="{766FB469-012F-4BB1-AD43-7F41C36AE992}"/>
    <hyperlink ref="B132" r:id="rId2" display="https://www.fwi.co.uk/arable/land-preparation/soils/how-to-accurately-measure-the-organic-carbon-content-of-soil" xr:uid="{6A39A0C6-6D2F-4E3C-B2C3-C02AC6D4D705}"/>
  </hyperlinks>
  <pageMargins left="0.7" right="0.7" top="0.75" bottom="0.75" header="0.3" footer="0.3"/>
  <pageSetup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924D6-B819-4D11-A65E-EC86436963CD}">
  <dimension ref="A2:BJ61"/>
  <sheetViews>
    <sheetView topLeftCell="A46" workbookViewId="0">
      <selection activeCell="C4" sqref="C4"/>
    </sheetView>
  </sheetViews>
  <sheetFormatPr defaultRowHeight="15" x14ac:dyDescent="0.25"/>
  <cols>
    <col min="2" max="2" width="14.85546875" customWidth="1"/>
    <col min="5" max="5" width="10.7109375" customWidth="1"/>
    <col min="51" max="51" width="12.5703125" customWidth="1"/>
  </cols>
  <sheetData>
    <row r="2" spans="1:51" x14ac:dyDescent="0.25">
      <c r="A2" s="13"/>
      <c r="B2" s="15" t="s">
        <v>101</v>
      </c>
      <c r="C2" s="755" t="s">
        <v>227</v>
      </c>
      <c r="D2" s="755"/>
      <c r="E2" s="755"/>
      <c r="F2" s="755"/>
      <c r="G2" s="755"/>
      <c r="H2" s="755"/>
      <c r="I2" s="755"/>
      <c r="J2" s="755"/>
      <c r="K2" s="755"/>
      <c r="L2" s="755"/>
      <c r="M2" s="755"/>
      <c r="N2" s="755"/>
      <c r="O2" s="755" t="s">
        <v>228</v>
      </c>
      <c r="P2" s="755"/>
      <c r="Q2" s="755"/>
      <c r="R2" s="755"/>
      <c r="S2" s="755"/>
      <c r="T2" s="755"/>
      <c r="U2" s="755"/>
      <c r="V2" s="755"/>
      <c r="W2" s="755"/>
      <c r="X2" s="755"/>
      <c r="Y2" s="755"/>
      <c r="Z2" s="755"/>
      <c r="AA2" s="755" t="s">
        <v>229</v>
      </c>
      <c r="AB2" s="755"/>
      <c r="AC2" s="755"/>
      <c r="AD2" s="755"/>
      <c r="AE2" s="755"/>
      <c r="AF2" s="755"/>
      <c r="AG2" s="755"/>
      <c r="AH2" s="755"/>
      <c r="AI2" s="755"/>
      <c r="AJ2" s="755"/>
      <c r="AK2" s="755"/>
      <c r="AL2" s="755"/>
      <c r="AM2" s="755" t="s">
        <v>230</v>
      </c>
      <c r="AN2" s="755"/>
      <c r="AO2" s="755"/>
      <c r="AP2" s="755"/>
      <c r="AQ2" s="755"/>
      <c r="AR2" s="755"/>
      <c r="AS2" s="755"/>
      <c r="AT2" s="755"/>
      <c r="AU2" s="755"/>
      <c r="AV2" s="755"/>
      <c r="AW2" s="755"/>
      <c r="AX2" s="755"/>
    </row>
    <row r="3" spans="1:51" ht="45" x14ac:dyDescent="0.25">
      <c r="A3" s="13"/>
      <c r="B3" s="13"/>
      <c r="C3" s="16" t="s">
        <v>24</v>
      </c>
      <c r="D3" s="16" t="s">
        <v>26</v>
      </c>
      <c r="E3" s="85" t="s">
        <v>28</v>
      </c>
      <c r="F3" s="85" t="s">
        <v>30</v>
      </c>
      <c r="G3" s="85" t="s">
        <v>121</v>
      </c>
      <c r="H3" s="85" t="s">
        <v>131</v>
      </c>
      <c r="I3" s="85" t="s">
        <v>123</v>
      </c>
      <c r="J3" s="85" t="s">
        <v>38</v>
      </c>
      <c r="K3" s="85" t="s">
        <v>124</v>
      </c>
      <c r="L3" s="85" t="s">
        <v>125</v>
      </c>
      <c r="M3" s="232" t="s">
        <v>231</v>
      </c>
      <c r="N3" s="232" t="s">
        <v>232</v>
      </c>
      <c r="O3" s="16" t="s">
        <v>24</v>
      </c>
      <c r="P3" s="16" t="s">
        <v>26</v>
      </c>
      <c r="Q3" s="85" t="s">
        <v>28</v>
      </c>
      <c r="R3" s="85" t="s">
        <v>30</v>
      </c>
      <c r="S3" s="85" t="s">
        <v>121</v>
      </c>
      <c r="T3" s="85" t="s">
        <v>131</v>
      </c>
      <c r="U3" s="85" t="s">
        <v>123</v>
      </c>
      <c r="V3" s="85" t="s">
        <v>38</v>
      </c>
      <c r="W3" s="85" t="s">
        <v>124</v>
      </c>
      <c r="X3" s="85" t="s">
        <v>125</v>
      </c>
      <c r="Y3" s="232" t="s">
        <v>231</v>
      </c>
      <c r="Z3" s="232" t="s">
        <v>232</v>
      </c>
      <c r="AA3" s="16" t="s">
        <v>24</v>
      </c>
      <c r="AB3" s="16" t="s">
        <v>26</v>
      </c>
      <c r="AC3" s="85" t="s">
        <v>28</v>
      </c>
      <c r="AD3" s="85" t="s">
        <v>30</v>
      </c>
      <c r="AE3" s="85" t="s">
        <v>121</v>
      </c>
      <c r="AF3" s="85" t="s">
        <v>131</v>
      </c>
      <c r="AG3" s="85" t="s">
        <v>123</v>
      </c>
      <c r="AH3" s="85" t="s">
        <v>38</v>
      </c>
      <c r="AI3" s="85" t="s">
        <v>124</v>
      </c>
      <c r="AJ3" s="85" t="s">
        <v>125</v>
      </c>
      <c r="AK3" s="232" t="s">
        <v>231</v>
      </c>
      <c r="AL3" s="232" t="s">
        <v>232</v>
      </c>
      <c r="AM3" s="16" t="s">
        <v>24</v>
      </c>
      <c r="AN3" s="16" t="s">
        <v>26</v>
      </c>
      <c r="AO3" s="85" t="s">
        <v>28</v>
      </c>
      <c r="AP3" s="85" t="s">
        <v>30</v>
      </c>
      <c r="AQ3" s="85" t="s">
        <v>121</v>
      </c>
      <c r="AR3" s="85" t="s">
        <v>131</v>
      </c>
      <c r="AS3" s="85" t="s">
        <v>123</v>
      </c>
      <c r="AT3" s="85" t="s">
        <v>38</v>
      </c>
      <c r="AU3" s="85" t="s">
        <v>124</v>
      </c>
      <c r="AV3" s="85" t="s">
        <v>125</v>
      </c>
      <c r="AW3" s="232" t="s">
        <v>231</v>
      </c>
      <c r="AX3" s="232" t="s">
        <v>232</v>
      </c>
      <c r="AY3" s="399" t="s">
        <v>187</v>
      </c>
    </row>
    <row r="4" spans="1:51" x14ac:dyDescent="0.25">
      <c r="A4" s="13">
        <v>1</v>
      </c>
      <c r="B4" s="13" t="s">
        <v>139</v>
      </c>
      <c r="C4" s="215">
        <f>'Soil-errosion1'!C68</f>
        <v>0</v>
      </c>
      <c r="D4" s="215">
        <f>'Soil-errosion1'!D68</f>
        <v>0</v>
      </c>
      <c r="E4" s="215">
        <f>'Soil-errosion1'!E68</f>
        <v>0</v>
      </c>
      <c r="F4" s="215">
        <f>'Soil-errosion1'!F68</f>
        <v>0</v>
      </c>
      <c r="G4" s="215">
        <f>'Soil-errosion1'!G68</f>
        <v>0</v>
      </c>
      <c r="H4" s="215">
        <f>'Soil-errosion1'!H68</f>
        <v>0</v>
      </c>
      <c r="I4" s="215">
        <f>'Soil-errosion1'!I68</f>
        <v>0</v>
      </c>
      <c r="J4" s="215">
        <f>'Soil-errosion1'!J68</f>
        <v>0</v>
      </c>
      <c r="K4" s="215">
        <f>'Soil-errosion1'!K68</f>
        <v>0</v>
      </c>
      <c r="L4" s="215">
        <f>'Soil-errosion1'!L68</f>
        <v>0</v>
      </c>
      <c r="M4" s="215" t="e">
        <f>SUMPRODUCT(C4:H4,'Area&amp;production data'!$F5:$K5)/'Area&amp;production data'!$Q5</f>
        <v>#DIV/0!</v>
      </c>
      <c r="N4" s="215" t="e">
        <f>'Soil-errosion1'!M68</f>
        <v>#DIV/0!</v>
      </c>
      <c r="O4" s="215">
        <f>'Soil-errosion1'!N68</f>
        <v>0</v>
      </c>
      <c r="P4" s="215">
        <f>'Soil-errosion1'!O68</f>
        <v>0</v>
      </c>
      <c r="Q4" s="215">
        <f>'Soil-errosion1'!P68</f>
        <v>0</v>
      </c>
      <c r="R4" s="215">
        <f>'Soil-errosion1'!Q68</f>
        <v>0</v>
      </c>
      <c r="S4" s="215">
        <f>'Soil-errosion1'!R68</f>
        <v>0</v>
      </c>
      <c r="T4" s="215">
        <f>'Soil-errosion1'!S68</f>
        <v>0</v>
      </c>
      <c r="U4" s="215">
        <f>'Soil-errosion1'!T68</f>
        <v>0</v>
      </c>
      <c r="V4" s="215">
        <f>'Soil-errosion1'!U68</f>
        <v>0</v>
      </c>
      <c r="W4" s="215">
        <f>'Soil-errosion1'!V68</f>
        <v>0</v>
      </c>
      <c r="X4" s="215">
        <f>'Soil-errosion1'!W68</f>
        <v>0</v>
      </c>
      <c r="Y4" s="215" t="e">
        <f>SUMPRODUCT(O4:T4,'Area&amp;production data'!$F5:$K5)/'Area&amp;production data'!$Q5</f>
        <v>#DIV/0!</v>
      </c>
      <c r="Z4" s="215" t="e">
        <f>SUMPRODUCT(O4:X4,'Soil-errosion1'!C5:L5)/'Soil-errosion1'!M5</f>
        <v>#DIV/0!</v>
      </c>
      <c r="AA4" s="215">
        <f>'Soil-errosion1'!Y68</f>
        <v>0</v>
      </c>
      <c r="AB4" s="215">
        <f>'Soil-errosion1'!Z68</f>
        <v>0</v>
      </c>
      <c r="AC4" s="215">
        <f>'Soil-errosion1'!AA68</f>
        <v>0</v>
      </c>
      <c r="AD4" s="215">
        <f>'Soil-errosion1'!AB68</f>
        <v>0</v>
      </c>
      <c r="AE4" s="215">
        <f>'Soil-errosion1'!AC68</f>
        <v>0</v>
      </c>
      <c r="AF4" s="215">
        <f>'Soil-errosion1'!AD68</f>
        <v>0</v>
      </c>
      <c r="AG4" s="215">
        <f>'Soil-errosion1'!AE68</f>
        <v>0</v>
      </c>
      <c r="AH4" s="215">
        <f>'Soil-errosion1'!AF68</f>
        <v>0</v>
      </c>
      <c r="AI4" s="215">
        <f>'Soil-errosion1'!AG68</f>
        <v>0</v>
      </c>
      <c r="AJ4" s="215">
        <f>'Soil-errosion1'!AH68</f>
        <v>0</v>
      </c>
      <c r="AK4" s="215" t="e">
        <f>SUMPRODUCT(AA4:AF4,'Area&amp;production data'!$F5:$K5)/'Area&amp;production data'!$Q5</f>
        <v>#DIV/0!</v>
      </c>
      <c r="AL4" s="215" t="e">
        <f>SUMPRODUCT(AA4:AJ4,'Soil-errosion1'!C5:L5)/'Soil-errosion1'!M5</f>
        <v>#DIV/0!</v>
      </c>
      <c r="AM4" s="316">
        <f>C4*'Area(ha)-by-degradation-level'!O5+O4*'Area(ha)-by-degradation-level'!P5+AA4*'Area(ha)-by-degradation-level'!Q5</f>
        <v>0</v>
      </c>
      <c r="AN4" s="316">
        <f>D4*'Area(ha)-by-degradation-level'!S5+P4*'Area(ha)-by-degradation-level'!T5+AB4*'Area(ha)-by-degradation-level'!U5</f>
        <v>0</v>
      </c>
      <c r="AO4" s="316">
        <f>E4*'Area(ha)-by-degradation-level'!W5+Q4*'Area(ha)-by-degradation-level'!X5+AC4*'Area(ha)-by-degradation-level'!Y5</f>
        <v>0</v>
      </c>
      <c r="AP4" s="316">
        <f>F4*'Area(ha)-by-degradation-level'!AA5+R4*'Area(ha)-by-degradation-level'!AB5+AD4*'Area(ha)-by-degradation-level'!AC5</f>
        <v>0</v>
      </c>
      <c r="AQ4" s="316">
        <f>G4*'Area(ha)-by-degradation-level'!AE5+S4*'Area(ha)-by-degradation-level'!AF5+AE4*'Area(ha)-by-degradation-level'!AG5</f>
        <v>0</v>
      </c>
      <c r="AR4" s="316">
        <f>H4*'Area(ha)-by-degradation-level'!AI5+T4*'Area(ha)-by-degradation-level'!AJ5+AF4*'Area(ha)-by-degradation-level'!AK5</f>
        <v>0</v>
      </c>
      <c r="AS4" s="316">
        <f>I4*'Area(ha)-by-degradation-level'!AM5+U4*'Area(ha)-by-degradation-level'!AN5+AG4*'Area(ha)-by-degradation-level'!AO5</f>
        <v>0</v>
      </c>
      <c r="AT4" s="316">
        <f>J4*'Area(ha)-by-degradation-level'!AQ5+V4*'Area(ha)-by-degradation-level'!AR5+AH4*'Area(ha)-by-degradation-level'!AS5</f>
        <v>0</v>
      </c>
      <c r="AU4" s="316">
        <f>K4*'Area(ha)-by-degradation-level'!AU5+W4*'Area(ha)-by-degradation-level'!AV5+AI4*'Area(ha)-by-degradation-level'!AW5</f>
        <v>0</v>
      </c>
      <c r="AV4" s="316">
        <f>L4*'Area(ha)-by-degradation-level'!AY5+X4*'Area(ha)-by-degradation-level'!AZ5+AJ4*'Area(ha)-by-degradation-level'!BA5</f>
        <v>0</v>
      </c>
      <c r="AW4" s="316" t="e">
        <f>SUMPRODUCT(AM4:AR4,'Area&amp;production data'!$F5:$K5)/'Area&amp;production data'!$Q5</f>
        <v>#DIV/0!</v>
      </c>
      <c r="AX4" s="316" t="e">
        <f>SUMPRODUCT(AM4:AV4,'Soil-errosion1'!C5:L5)/'Soil-errosion1'!M5</f>
        <v>#DIV/0!</v>
      </c>
      <c r="AY4" s="41" t="e">
        <f>RANK(AX4,$AX$4:$AX$27)</f>
        <v>#DIV/0!</v>
      </c>
    </row>
    <row r="5" spans="1:51" x14ac:dyDescent="0.25">
      <c r="A5" s="13">
        <v>2</v>
      </c>
      <c r="B5" s="13" t="s">
        <v>140</v>
      </c>
      <c r="C5" s="215">
        <f>'Soil-errosion1'!C69</f>
        <v>0</v>
      </c>
      <c r="D5" s="215">
        <f>'Soil-errosion1'!D69</f>
        <v>0</v>
      </c>
      <c r="E5" s="215">
        <f>'Soil-errosion1'!E69</f>
        <v>0</v>
      </c>
      <c r="F5" s="215">
        <f>'Soil-errosion1'!F69</f>
        <v>0</v>
      </c>
      <c r="G5" s="215">
        <f>'Soil-errosion1'!G69</f>
        <v>0</v>
      </c>
      <c r="H5" s="215">
        <f>'Soil-errosion1'!H69</f>
        <v>0</v>
      </c>
      <c r="I5" s="215">
        <f>'Soil-errosion1'!I69</f>
        <v>0</v>
      </c>
      <c r="J5" s="215">
        <f>'Soil-errosion1'!J69</f>
        <v>0</v>
      </c>
      <c r="K5" s="215">
        <f>'Soil-errosion1'!K69</f>
        <v>0</v>
      </c>
      <c r="L5" s="215">
        <f>'Soil-errosion1'!L69</f>
        <v>0</v>
      </c>
      <c r="M5" s="215" t="e">
        <f>SUMPRODUCT(C5:H5,'Area&amp;production data'!$F6:$K6)/'Area&amp;production data'!$Q6</f>
        <v>#DIV/0!</v>
      </c>
      <c r="N5" s="215" t="e">
        <f>'Soil-errosion1'!M69</f>
        <v>#DIV/0!</v>
      </c>
      <c r="O5" s="215">
        <f>'Soil-errosion1'!N69</f>
        <v>0</v>
      </c>
      <c r="P5" s="215">
        <f>'Soil-errosion1'!O69</f>
        <v>0</v>
      </c>
      <c r="Q5" s="215">
        <f>'Soil-errosion1'!P69</f>
        <v>0</v>
      </c>
      <c r="R5" s="215">
        <f>'Soil-errosion1'!Q69</f>
        <v>0</v>
      </c>
      <c r="S5" s="215">
        <f>'Soil-errosion1'!R69</f>
        <v>0</v>
      </c>
      <c r="T5" s="215">
        <f>'Soil-errosion1'!S69</f>
        <v>0</v>
      </c>
      <c r="U5" s="215">
        <f>'Soil-errosion1'!T69</f>
        <v>0</v>
      </c>
      <c r="V5" s="215">
        <f>'Soil-errosion1'!U69</f>
        <v>0</v>
      </c>
      <c r="W5" s="215">
        <f>'Soil-errosion1'!V69</f>
        <v>0</v>
      </c>
      <c r="X5" s="215">
        <f>'Soil-errosion1'!W69</f>
        <v>0</v>
      </c>
      <c r="Y5" s="215" t="e">
        <f>SUMPRODUCT(O5:T5,'Area&amp;production data'!$F6:$K6)/'Area&amp;production data'!$Q6</f>
        <v>#DIV/0!</v>
      </c>
      <c r="Z5" s="215" t="e">
        <f>SUMPRODUCT(O5:X5,'Soil-errosion1'!C6:L6)/'Soil-errosion1'!M6</f>
        <v>#DIV/0!</v>
      </c>
      <c r="AA5" s="215">
        <f>'Soil-errosion1'!Y69</f>
        <v>0</v>
      </c>
      <c r="AB5" s="215">
        <f>'Soil-errosion1'!Z69</f>
        <v>0</v>
      </c>
      <c r="AC5" s="215">
        <f>'Soil-errosion1'!AA69</f>
        <v>0</v>
      </c>
      <c r="AD5" s="215">
        <f>'Soil-errosion1'!AB69</f>
        <v>0</v>
      </c>
      <c r="AE5" s="215">
        <f>'Soil-errosion1'!AC69</f>
        <v>0</v>
      </c>
      <c r="AF5" s="215">
        <f>'Soil-errosion1'!AD69</f>
        <v>0</v>
      </c>
      <c r="AG5" s="215">
        <f>'Soil-errosion1'!AE69</f>
        <v>0</v>
      </c>
      <c r="AH5" s="215">
        <f>'Soil-errosion1'!AF69</f>
        <v>0</v>
      </c>
      <c r="AI5" s="215">
        <f>'Soil-errosion1'!AG69</f>
        <v>0</v>
      </c>
      <c r="AJ5" s="215">
        <f>'Soil-errosion1'!AH69</f>
        <v>0</v>
      </c>
      <c r="AK5" s="215" t="e">
        <f>SUMPRODUCT(AA5:AF5,'Area&amp;production data'!$F6:$K6)/'Area&amp;production data'!$Q6</f>
        <v>#DIV/0!</v>
      </c>
      <c r="AL5" s="215" t="e">
        <f>SUMPRODUCT(AA5:AJ5,'Soil-errosion1'!C6:L6)/'Soil-errosion1'!M6</f>
        <v>#DIV/0!</v>
      </c>
      <c r="AM5" s="316">
        <f>C5*'Area(ha)-by-degradation-level'!O6+O5*'Area(ha)-by-degradation-level'!P6+AA5*'Area(ha)-by-degradation-level'!Q6</f>
        <v>0</v>
      </c>
      <c r="AN5" s="316">
        <f>D5*'Area(ha)-by-degradation-level'!S6+P5*'Area(ha)-by-degradation-level'!T6+AB5*'Area(ha)-by-degradation-level'!U6</f>
        <v>0</v>
      </c>
      <c r="AO5" s="316">
        <f>E5*'Area(ha)-by-degradation-level'!W6+Q5*'Area(ha)-by-degradation-level'!X6+AC5*'Area(ha)-by-degradation-level'!Y6</f>
        <v>0</v>
      </c>
      <c r="AP5" s="316">
        <f>F5*'Area(ha)-by-degradation-level'!AA6+R5*'Area(ha)-by-degradation-level'!AB6+AD5*'Area(ha)-by-degradation-level'!AC6</f>
        <v>0</v>
      </c>
      <c r="AQ5" s="316">
        <f>G5*'Area(ha)-by-degradation-level'!AE6+S5*'Area(ha)-by-degradation-level'!AF6+AE5*'Area(ha)-by-degradation-level'!AG6</f>
        <v>0</v>
      </c>
      <c r="AR5" s="316">
        <f>H5*'Area(ha)-by-degradation-level'!AI6+T5*'Area(ha)-by-degradation-level'!AJ6+AF5*'Area(ha)-by-degradation-level'!AK6</f>
        <v>0</v>
      </c>
      <c r="AS5" s="316">
        <f>I5*'Area(ha)-by-degradation-level'!AM6+U5*'Area(ha)-by-degradation-level'!AN6+AG5*'Area(ha)-by-degradation-level'!AO6</f>
        <v>0</v>
      </c>
      <c r="AT5" s="316">
        <f>J5*'Area(ha)-by-degradation-level'!AQ6+V5*'Area(ha)-by-degradation-level'!AR6+AH5*'Area(ha)-by-degradation-level'!AS6</f>
        <v>0</v>
      </c>
      <c r="AU5" s="316">
        <f>K5*'Area(ha)-by-degradation-level'!AU6+W5*'Area(ha)-by-degradation-level'!AV6+AI5*'Area(ha)-by-degradation-level'!AW6</f>
        <v>0</v>
      </c>
      <c r="AV5" s="316">
        <f>L5*'Area(ha)-by-degradation-level'!AY6+X5*'Area(ha)-by-degradation-level'!AZ6+AJ5*'Area(ha)-by-degradation-level'!BA6</f>
        <v>0</v>
      </c>
      <c r="AW5" s="316" t="e">
        <f>SUMPRODUCT(AM5:AR5,'Area&amp;production data'!$F6:$K6)/'Area&amp;production data'!$Q6</f>
        <v>#DIV/0!</v>
      </c>
      <c r="AX5" s="316" t="e">
        <f>SUMPRODUCT(AM5:AV5,'Soil-errosion1'!C6:L6)/'Soil-errosion1'!M6</f>
        <v>#DIV/0!</v>
      </c>
      <c r="AY5" s="41" t="e">
        <f t="shared" ref="AY5:AY27" si="0">RANK(AX5,$AX$4:$AX$27)</f>
        <v>#DIV/0!</v>
      </c>
    </row>
    <row r="6" spans="1:51" x14ac:dyDescent="0.25">
      <c r="A6" s="13">
        <v>3</v>
      </c>
      <c r="B6" s="13" t="s">
        <v>141</v>
      </c>
      <c r="C6" s="215">
        <f>'Soil-errosion1'!C70</f>
        <v>0</v>
      </c>
      <c r="D6" s="215">
        <f>'Soil-errosion1'!D70</f>
        <v>0</v>
      </c>
      <c r="E6" s="215">
        <f>'Soil-errosion1'!E70</f>
        <v>0</v>
      </c>
      <c r="F6" s="215">
        <f>'Soil-errosion1'!F70</f>
        <v>0</v>
      </c>
      <c r="G6" s="215">
        <f>'Soil-errosion1'!G70</f>
        <v>0</v>
      </c>
      <c r="H6" s="215">
        <f>'Soil-errosion1'!H70</f>
        <v>0</v>
      </c>
      <c r="I6" s="215">
        <f>'Soil-errosion1'!I70</f>
        <v>0</v>
      </c>
      <c r="J6" s="215">
        <f>'Soil-errosion1'!J70</f>
        <v>0</v>
      </c>
      <c r="K6" s="215">
        <f>'Soil-errosion1'!K70</f>
        <v>0</v>
      </c>
      <c r="L6" s="215">
        <f>'Soil-errosion1'!L70</f>
        <v>0</v>
      </c>
      <c r="M6" s="215" t="e">
        <f>SUMPRODUCT(C6:H6,'Area&amp;production data'!$F7:$K7)/'Area&amp;production data'!$Q7</f>
        <v>#DIV/0!</v>
      </c>
      <c r="N6" s="215" t="e">
        <f>'Soil-errosion1'!M70</f>
        <v>#DIV/0!</v>
      </c>
      <c r="O6" s="215">
        <f>'Soil-errosion1'!N70</f>
        <v>0</v>
      </c>
      <c r="P6" s="215">
        <f>'Soil-errosion1'!O70</f>
        <v>0</v>
      </c>
      <c r="Q6" s="215">
        <f>'Soil-errosion1'!P70</f>
        <v>0</v>
      </c>
      <c r="R6" s="215">
        <f>'Soil-errosion1'!Q70</f>
        <v>0</v>
      </c>
      <c r="S6" s="215">
        <f>'Soil-errosion1'!R70</f>
        <v>0</v>
      </c>
      <c r="T6" s="215">
        <f>'Soil-errosion1'!S70</f>
        <v>0</v>
      </c>
      <c r="U6" s="215">
        <f>'Soil-errosion1'!T70</f>
        <v>0</v>
      </c>
      <c r="V6" s="215">
        <f>'Soil-errosion1'!U70</f>
        <v>0</v>
      </c>
      <c r="W6" s="215">
        <f>'Soil-errosion1'!V70</f>
        <v>0</v>
      </c>
      <c r="X6" s="215">
        <f>'Soil-errosion1'!W70</f>
        <v>0</v>
      </c>
      <c r="Y6" s="215" t="e">
        <f>SUMPRODUCT(O6:T6,'Area&amp;production data'!$F7:$K7)/'Area&amp;production data'!$Q7</f>
        <v>#DIV/0!</v>
      </c>
      <c r="Z6" s="215" t="e">
        <f>SUMPRODUCT(O6:X6,'Soil-errosion1'!C7:L7)/'Soil-errosion1'!M7</f>
        <v>#DIV/0!</v>
      </c>
      <c r="AA6" s="215">
        <f>'Soil-errosion1'!Y70</f>
        <v>0</v>
      </c>
      <c r="AB6" s="215">
        <f>'Soil-errosion1'!Z70</f>
        <v>0</v>
      </c>
      <c r="AC6" s="215">
        <f>'Soil-errosion1'!AA70</f>
        <v>0</v>
      </c>
      <c r="AD6" s="215">
        <f>'Soil-errosion1'!AB70</f>
        <v>0</v>
      </c>
      <c r="AE6" s="215">
        <f>'Soil-errosion1'!AC70</f>
        <v>0</v>
      </c>
      <c r="AF6" s="215">
        <f>'Soil-errosion1'!AD70</f>
        <v>0</v>
      </c>
      <c r="AG6" s="215">
        <f>'Soil-errosion1'!AE70</f>
        <v>0</v>
      </c>
      <c r="AH6" s="215">
        <f>'Soil-errosion1'!AF70</f>
        <v>0</v>
      </c>
      <c r="AI6" s="215">
        <f>'Soil-errosion1'!AG70</f>
        <v>0</v>
      </c>
      <c r="AJ6" s="215">
        <f>'Soil-errosion1'!AH70</f>
        <v>0</v>
      </c>
      <c r="AK6" s="215" t="e">
        <f>SUMPRODUCT(AA6:AF6,'Area&amp;production data'!$F7:$K7)/'Area&amp;production data'!$Q7</f>
        <v>#DIV/0!</v>
      </c>
      <c r="AL6" s="215" t="e">
        <f>SUMPRODUCT(AA6:AJ6,'Soil-errosion1'!C7:L7)/'Soil-errosion1'!M7</f>
        <v>#DIV/0!</v>
      </c>
      <c r="AM6" s="316">
        <f>C6*'Area(ha)-by-degradation-level'!O7+O6*'Area(ha)-by-degradation-level'!P7+AA6*'Area(ha)-by-degradation-level'!Q7</f>
        <v>0</v>
      </c>
      <c r="AN6" s="316">
        <f>D6*'Area(ha)-by-degradation-level'!S7+P6*'Area(ha)-by-degradation-level'!T7+AB6*'Area(ha)-by-degradation-level'!U7</f>
        <v>0</v>
      </c>
      <c r="AO6" s="316">
        <f>E6*'Area(ha)-by-degradation-level'!W7+Q6*'Area(ha)-by-degradation-level'!X7+AC6*'Area(ha)-by-degradation-level'!Y7</f>
        <v>0</v>
      </c>
      <c r="AP6" s="316">
        <f>F6*'Area(ha)-by-degradation-level'!AA7+R6*'Area(ha)-by-degradation-level'!AB7+AD6*'Area(ha)-by-degradation-level'!AC7</f>
        <v>0</v>
      </c>
      <c r="AQ6" s="316">
        <f>G6*'Area(ha)-by-degradation-level'!AE7+S6*'Area(ha)-by-degradation-level'!AF7+AE6*'Area(ha)-by-degradation-level'!AG7</f>
        <v>0</v>
      </c>
      <c r="AR6" s="316">
        <f>H6*'Area(ha)-by-degradation-level'!AI7+T6*'Area(ha)-by-degradation-level'!AJ7+AF6*'Area(ha)-by-degradation-level'!AK7</f>
        <v>0</v>
      </c>
      <c r="AS6" s="316">
        <f>I6*'Area(ha)-by-degradation-level'!AM7+U6*'Area(ha)-by-degradation-level'!AN7+AG6*'Area(ha)-by-degradation-level'!AO7</f>
        <v>0</v>
      </c>
      <c r="AT6" s="316">
        <f>J6*'Area(ha)-by-degradation-level'!AQ7+V6*'Area(ha)-by-degradation-level'!AR7+AH6*'Area(ha)-by-degradation-level'!AS7</f>
        <v>0</v>
      </c>
      <c r="AU6" s="316">
        <f>K6*'Area(ha)-by-degradation-level'!AU7+W6*'Area(ha)-by-degradation-level'!AV7+AI6*'Area(ha)-by-degradation-level'!AW7</f>
        <v>0</v>
      </c>
      <c r="AV6" s="316">
        <f>L6*'Area(ha)-by-degradation-level'!AY7+X6*'Area(ha)-by-degradation-level'!AZ7+AJ6*'Area(ha)-by-degradation-level'!BA7</f>
        <v>0</v>
      </c>
      <c r="AW6" s="316" t="e">
        <f>SUMPRODUCT(AM6:AR6,'Area&amp;production data'!$F7:$K7)/'Area&amp;production data'!$Q7</f>
        <v>#DIV/0!</v>
      </c>
      <c r="AX6" s="316" t="e">
        <f>SUMPRODUCT(AM6:AV6,'Soil-errosion1'!C7:L7)/'Soil-errosion1'!M7</f>
        <v>#DIV/0!</v>
      </c>
      <c r="AY6" s="41" t="e">
        <f t="shared" si="0"/>
        <v>#DIV/0!</v>
      </c>
    </row>
    <row r="7" spans="1:51" x14ac:dyDescent="0.25">
      <c r="A7" s="13">
        <v>4</v>
      </c>
      <c r="B7" s="13" t="s">
        <v>142</v>
      </c>
      <c r="C7" s="215">
        <f>'Soil-errosion1'!C71</f>
        <v>0</v>
      </c>
      <c r="D7" s="215">
        <f>'Soil-errosion1'!D71</f>
        <v>0</v>
      </c>
      <c r="E7" s="215">
        <f>'Soil-errosion1'!E71</f>
        <v>0</v>
      </c>
      <c r="F7" s="215">
        <f>'Soil-errosion1'!F71</f>
        <v>0</v>
      </c>
      <c r="G7" s="215">
        <f>'Soil-errosion1'!G71</f>
        <v>0</v>
      </c>
      <c r="H7" s="215">
        <f>'Soil-errosion1'!H71</f>
        <v>0</v>
      </c>
      <c r="I7" s="215">
        <f>'Soil-errosion1'!I71</f>
        <v>0</v>
      </c>
      <c r="J7" s="215">
        <f>'Soil-errosion1'!J71</f>
        <v>0</v>
      </c>
      <c r="K7" s="215">
        <f>'Soil-errosion1'!K71</f>
        <v>0</v>
      </c>
      <c r="L7" s="215">
        <f>'Soil-errosion1'!L71</f>
        <v>0</v>
      </c>
      <c r="M7" s="215" t="e">
        <f>SUMPRODUCT(C7:H7,'Area&amp;production data'!$F8:$K8)/'Area&amp;production data'!$Q8</f>
        <v>#DIV/0!</v>
      </c>
      <c r="N7" s="215" t="e">
        <f>'Soil-errosion1'!M71</f>
        <v>#DIV/0!</v>
      </c>
      <c r="O7" s="215">
        <f>'Soil-errosion1'!N71</f>
        <v>0</v>
      </c>
      <c r="P7" s="215">
        <f>'Soil-errosion1'!O71</f>
        <v>0</v>
      </c>
      <c r="Q7" s="215">
        <f>'Soil-errosion1'!P71</f>
        <v>0</v>
      </c>
      <c r="R7" s="215">
        <f>'Soil-errosion1'!Q71</f>
        <v>0</v>
      </c>
      <c r="S7" s="215">
        <f>'Soil-errosion1'!R71</f>
        <v>0</v>
      </c>
      <c r="T7" s="215">
        <f>'Soil-errosion1'!S71</f>
        <v>0</v>
      </c>
      <c r="U7" s="215">
        <f>'Soil-errosion1'!T71</f>
        <v>0</v>
      </c>
      <c r="V7" s="215">
        <f>'Soil-errosion1'!U71</f>
        <v>0</v>
      </c>
      <c r="W7" s="215">
        <f>'Soil-errosion1'!V71</f>
        <v>0</v>
      </c>
      <c r="X7" s="215">
        <f>'Soil-errosion1'!W71</f>
        <v>0</v>
      </c>
      <c r="Y7" s="215" t="e">
        <f>SUMPRODUCT(O7:T7,'Area&amp;production data'!$F8:$K8)/'Area&amp;production data'!$Q8</f>
        <v>#DIV/0!</v>
      </c>
      <c r="Z7" s="215" t="e">
        <f>SUMPRODUCT(O7:X7,'Soil-errosion1'!C8:L8)/'Soil-errosion1'!M8</f>
        <v>#DIV/0!</v>
      </c>
      <c r="AA7" s="215">
        <f>'Soil-errosion1'!Y71</f>
        <v>0</v>
      </c>
      <c r="AB7" s="215">
        <f>'Soil-errosion1'!Z71</f>
        <v>0</v>
      </c>
      <c r="AC7" s="215">
        <f>'Soil-errosion1'!AA71</f>
        <v>0</v>
      </c>
      <c r="AD7" s="215">
        <f>'Soil-errosion1'!AB71</f>
        <v>0</v>
      </c>
      <c r="AE7" s="215">
        <f>'Soil-errosion1'!AC71</f>
        <v>0</v>
      </c>
      <c r="AF7" s="215">
        <f>'Soil-errosion1'!AD71</f>
        <v>0</v>
      </c>
      <c r="AG7" s="215">
        <f>'Soil-errosion1'!AE71</f>
        <v>0</v>
      </c>
      <c r="AH7" s="215">
        <f>'Soil-errosion1'!AF71</f>
        <v>0</v>
      </c>
      <c r="AI7" s="215">
        <f>'Soil-errosion1'!AG71</f>
        <v>0</v>
      </c>
      <c r="AJ7" s="215">
        <f>'Soil-errosion1'!AH71</f>
        <v>0</v>
      </c>
      <c r="AK7" s="215" t="e">
        <f>SUMPRODUCT(AA7:AF7,'Area&amp;production data'!$F8:$K8)/'Area&amp;production data'!$Q8</f>
        <v>#DIV/0!</v>
      </c>
      <c r="AL7" s="215" t="e">
        <f>SUMPRODUCT(AA7:AJ7,'Soil-errosion1'!C8:L8)/'Soil-errosion1'!M8</f>
        <v>#DIV/0!</v>
      </c>
      <c r="AM7" s="316">
        <f>C7*'Area(ha)-by-degradation-level'!O8+O7*'Area(ha)-by-degradation-level'!P8+AA7*'Area(ha)-by-degradation-level'!Q8</f>
        <v>0</v>
      </c>
      <c r="AN7" s="316">
        <f>D7*'Area(ha)-by-degradation-level'!S8+P7*'Area(ha)-by-degradation-level'!T8+AB7*'Area(ha)-by-degradation-level'!U8</f>
        <v>0</v>
      </c>
      <c r="AO7" s="316">
        <f>E7*'Area(ha)-by-degradation-level'!W8+Q7*'Area(ha)-by-degradation-level'!X8+AC7*'Area(ha)-by-degradation-level'!Y8</f>
        <v>0</v>
      </c>
      <c r="AP7" s="316">
        <f>F7*'Area(ha)-by-degradation-level'!AA8+R7*'Area(ha)-by-degradation-level'!AB8+AD7*'Area(ha)-by-degradation-level'!AC8</f>
        <v>0</v>
      </c>
      <c r="AQ7" s="316">
        <f>G7*'Area(ha)-by-degradation-level'!AE8+S7*'Area(ha)-by-degradation-level'!AF8+AE7*'Area(ha)-by-degradation-level'!AG8</f>
        <v>0</v>
      </c>
      <c r="AR7" s="316">
        <f>H7*'Area(ha)-by-degradation-level'!AI8+T7*'Area(ha)-by-degradation-level'!AJ8+AF7*'Area(ha)-by-degradation-level'!AK8</f>
        <v>0</v>
      </c>
      <c r="AS7" s="316">
        <f>I7*'Area(ha)-by-degradation-level'!AM8+U7*'Area(ha)-by-degradation-level'!AN8+AG7*'Area(ha)-by-degradation-level'!AO8</f>
        <v>0</v>
      </c>
      <c r="AT7" s="316">
        <f>J7*'Area(ha)-by-degradation-level'!AQ8+V7*'Area(ha)-by-degradation-level'!AR8+AH7*'Area(ha)-by-degradation-level'!AS8</f>
        <v>0</v>
      </c>
      <c r="AU7" s="316">
        <f>K7*'Area(ha)-by-degradation-level'!AU8+W7*'Area(ha)-by-degradation-level'!AV8+AI7*'Area(ha)-by-degradation-level'!AW8</f>
        <v>0</v>
      </c>
      <c r="AV7" s="316">
        <f>L7*'Area(ha)-by-degradation-level'!AY8+X7*'Area(ha)-by-degradation-level'!AZ8+AJ7*'Area(ha)-by-degradation-level'!BA8</f>
        <v>0</v>
      </c>
      <c r="AW7" s="316" t="e">
        <f>SUMPRODUCT(AM7:AR7,'Area&amp;production data'!$F8:$K8)/'Area&amp;production data'!$Q8</f>
        <v>#DIV/0!</v>
      </c>
      <c r="AX7" s="316" t="e">
        <f>SUMPRODUCT(AM7:AV7,'Soil-errosion1'!C8:L8)/'Soil-errosion1'!M8</f>
        <v>#DIV/0!</v>
      </c>
      <c r="AY7" s="41" t="e">
        <f t="shared" si="0"/>
        <v>#DIV/0!</v>
      </c>
    </row>
    <row r="8" spans="1:51" x14ac:dyDescent="0.25">
      <c r="A8" s="13">
        <v>5</v>
      </c>
      <c r="B8" s="13" t="s">
        <v>143</v>
      </c>
      <c r="C8" s="215">
        <f>'Soil-errosion1'!C72</f>
        <v>0</v>
      </c>
      <c r="D8" s="215">
        <f>'Soil-errosion1'!D72</f>
        <v>0</v>
      </c>
      <c r="E8" s="215">
        <f>'Soil-errosion1'!E72</f>
        <v>0</v>
      </c>
      <c r="F8" s="215">
        <f>'Soil-errosion1'!F72</f>
        <v>0</v>
      </c>
      <c r="G8" s="215">
        <f>'Soil-errosion1'!G72</f>
        <v>0</v>
      </c>
      <c r="H8" s="215">
        <f>'Soil-errosion1'!H72</f>
        <v>0</v>
      </c>
      <c r="I8" s="215">
        <f>'Soil-errosion1'!I72</f>
        <v>0</v>
      </c>
      <c r="J8" s="215">
        <f>'Soil-errosion1'!J72</f>
        <v>0</v>
      </c>
      <c r="K8" s="215">
        <f>'Soil-errosion1'!K72</f>
        <v>0</v>
      </c>
      <c r="L8" s="215">
        <f>'Soil-errosion1'!L72</f>
        <v>0</v>
      </c>
      <c r="M8" s="215" t="e">
        <f>SUMPRODUCT(C8:H8,'Area&amp;production data'!$F9:$K9)/'Area&amp;production data'!$Q9</f>
        <v>#DIV/0!</v>
      </c>
      <c r="N8" s="215" t="e">
        <f>'Soil-errosion1'!M72</f>
        <v>#DIV/0!</v>
      </c>
      <c r="O8" s="215">
        <f>'Soil-errosion1'!N72</f>
        <v>0</v>
      </c>
      <c r="P8" s="215">
        <f>'Soil-errosion1'!O72</f>
        <v>0</v>
      </c>
      <c r="Q8" s="215">
        <f>'Soil-errosion1'!P72</f>
        <v>0</v>
      </c>
      <c r="R8" s="215">
        <f>'Soil-errosion1'!Q72</f>
        <v>0</v>
      </c>
      <c r="S8" s="215">
        <f>'Soil-errosion1'!R72</f>
        <v>0</v>
      </c>
      <c r="T8" s="215">
        <f>'Soil-errosion1'!S72</f>
        <v>0</v>
      </c>
      <c r="U8" s="215">
        <f>'Soil-errosion1'!T72</f>
        <v>0</v>
      </c>
      <c r="V8" s="215">
        <f>'Soil-errosion1'!U72</f>
        <v>0</v>
      </c>
      <c r="W8" s="215">
        <f>'Soil-errosion1'!V72</f>
        <v>0</v>
      </c>
      <c r="X8" s="215">
        <f>'Soil-errosion1'!W72</f>
        <v>0</v>
      </c>
      <c r="Y8" s="215" t="e">
        <f>SUMPRODUCT(O8:T8,'Area&amp;production data'!$F9:$K9)/'Area&amp;production data'!$Q9</f>
        <v>#DIV/0!</v>
      </c>
      <c r="Z8" s="215" t="e">
        <f>SUMPRODUCT(O8:X8,'Soil-errosion1'!C9:L9)/'Soil-errosion1'!M9</f>
        <v>#DIV/0!</v>
      </c>
      <c r="AA8" s="215">
        <f>'Soil-errosion1'!Y72</f>
        <v>0</v>
      </c>
      <c r="AB8" s="215">
        <f>'Soil-errosion1'!Z72</f>
        <v>0</v>
      </c>
      <c r="AC8" s="215">
        <f>'Soil-errosion1'!AA72</f>
        <v>0</v>
      </c>
      <c r="AD8" s="215">
        <f>'Soil-errosion1'!AB72</f>
        <v>0</v>
      </c>
      <c r="AE8" s="215">
        <f>'Soil-errosion1'!AC72</f>
        <v>0</v>
      </c>
      <c r="AF8" s="215">
        <f>'Soil-errosion1'!AD72</f>
        <v>0</v>
      </c>
      <c r="AG8" s="215">
        <f>'Soil-errosion1'!AE72</f>
        <v>0</v>
      </c>
      <c r="AH8" s="215">
        <f>'Soil-errosion1'!AF72</f>
        <v>0</v>
      </c>
      <c r="AI8" s="215">
        <f>'Soil-errosion1'!AG72</f>
        <v>0</v>
      </c>
      <c r="AJ8" s="215">
        <f>'Soil-errosion1'!AH72</f>
        <v>0</v>
      </c>
      <c r="AK8" s="215" t="e">
        <f>SUMPRODUCT(AA8:AF8,'Area&amp;production data'!$F9:$K9)/'Area&amp;production data'!$Q9</f>
        <v>#DIV/0!</v>
      </c>
      <c r="AL8" s="215" t="e">
        <f>SUMPRODUCT(AA8:AJ8,'Soil-errosion1'!C9:L9)/'Soil-errosion1'!M9</f>
        <v>#DIV/0!</v>
      </c>
      <c r="AM8" s="316">
        <f>C8*'Area(ha)-by-degradation-level'!O9+O8*'Area(ha)-by-degradation-level'!P9+AA8*'Area(ha)-by-degradation-level'!Q9</f>
        <v>0</v>
      </c>
      <c r="AN8" s="316">
        <f>D8*'Area(ha)-by-degradation-level'!S9+P8*'Area(ha)-by-degradation-level'!T9+AB8*'Area(ha)-by-degradation-level'!U9</f>
        <v>0</v>
      </c>
      <c r="AO8" s="316">
        <f>E8*'Area(ha)-by-degradation-level'!W9+Q8*'Area(ha)-by-degradation-level'!X9+AC8*'Area(ha)-by-degradation-level'!Y9</f>
        <v>0</v>
      </c>
      <c r="AP8" s="316">
        <f>F8*'Area(ha)-by-degradation-level'!AA9+R8*'Area(ha)-by-degradation-level'!AB9+AD8*'Area(ha)-by-degradation-level'!AC9</f>
        <v>0</v>
      </c>
      <c r="AQ8" s="316">
        <f>G8*'Area(ha)-by-degradation-level'!AE9+S8*'Area(ha)-by-degradation-level'!AF9+AE8*'Area(ha)-by-degradation-level'!AG9</f>
        <v>0</v>
      </c>
      <c r="AR8" s="316">
        <f>H8*'Area(ha)-by-degradation-level'!AI9+T8*'Area(ha)-by-degradation-level'!AJ9+AF8*'Area(ha)-by-degradation-level'!AK9</f>
        <v>0</v>
      </c>
      <c r="AS8" s="316">
        <f>I8*'Area(ha)-by-degradation-level'!AM9+U8*'Area(ha)-by-degradation-level'!AN9+AG8*'Area(ha)-by-degradation-level'!AO9</f>
        <v>0</v>
      </c>
      <c r="AT8" s="316">
        <f>J8*'Area(ha)-by-degradation-level'!AQ9+V8*'Area(ha)-by-degradation-level'!AR9+AH8*'Area(ha)-by-degradation-level'!AS9</f>
        <v>0</v>
      </c>
      <c r="AU8" s="316">
        <f>K8*'Area(ha)-by-degradation-level'!AU9+W8*'Area(ha)-by-degradation-level'!AV9+AI8*'Area(ha)-by-degradation-level'!AW9</f>
        <v>0</v>
      </c>
      <c r="AV8" s="316">
        <f>L8*'Area(ha)-by-degradation-level'!AY9+X8*'Area(ha)-by-degradation-level'!AZ9+AJ8*'Area(ha)-by-degradation-level'!BA9</f>
        <v>0</v>
      </c>
      <c r="AW8" s="316" t="e">
        <f>SUMPRODUCT(AM8:AR8,'Area&amp;production data'!$F9:$K9)/'Area&amp;production data'!$Q9</f>
        <v>#DIV/0!</v>
      </c>
      <c r="AX8" s="316" t="e">
        <f>SUMPRODUCT(AM8:AV8,'Soil-errosion1'!C9:L9)/'Soil-errosion1'!M9</f>
        <v>#DIV/0!</v>
      </c>
      <c r="AY8" s="41" t="e">
        <f t="shared" si="0"/>
        <v>#DIV/0!</v>
      </c>
    </row>
    <row r="9" spans="1:51" x14ac:dyDescent="0.25">
      <c r="A9" s="13">
        <v>6</v>
      </c>
      <c r="B9" s="13" t="s">
        <v>144</v>
      </c>
      <c r="C9" s="215">
        <f>'Soil-errosion1'!C73</f>
        <v>0</v>
      </c>
      <c r="D9" s="215">
        <f>'Soil-errosion1'!D73</f>
        <v>0</v>
      </c>
      <c r="E9" s="215">
        <f>'Soil-errosion1'!E73</f>
        <v>0</v>
      </c>
      <c r="F9" s="215">
        <f>'Soil-errosion1'!F73</f>
        <v>0</v>
      </c>
      <c r="G9" s="215">
        <f>'Soil-errosion1'!G73</f>
        <v>0</v>
      </c>
      <c r="H9" s="215">
        <f>'Soil-errosion1'!H73</f>
        <v>0</v>
      </c>
      <c r="I9" s="215">
        <f>'Soil-errosion1'!I73</f>
        <v>0</v>
      </c>
      <c r="J9" s="215">
        <f>'Soil-errosion1'!J73</f>
        <v>0</v>
      </c>
      <c r="K9" s="215">
        <f>'Soil-errosion1'!K73</f>
        <v>0</v>
      </c>
      <c r="L9" s="215">
        <f>'Soil-errosion1'!L73</f>
        <v>0</v>
      </c>
      <c r="M9" s="215" t="e">
        <f>SUMPRODUCT(C9:H9,'Area&amp;production data'!$F10:$K10)/'Area&amp;production data'!$Q10</f>
        <v>#DIV/0!</v>
      </c>
      <c r="N9" s="215" t="e">
        <f>'Soil-errosion1'!M73</f>
        <v>#DIV/0!</v>
      </c>
      <c r="O9" s="215">
        <f>'Soil-errosion1'!N73</f>
        <v>0</v>
      </c>
      <c r="P9" s="215">
        <f>'Soil-errosion1'!O73</f>
        <v>0</v>
      </c>
      <c r="Q9" s="215">
        <f>'Soil-errosion1'!P73</f>
        <v>0</v>
      </c>
      <c r="R9" s="215">
        <f>'Soil-errosion1'!Q73</f>
        <v>0</v>
      </c>
      <c r="S9" s="215">
        <f>'Soil-errosion1'!R73</f>
        <v>0</v>
      </c>
      <c r="T9" s="215">
        <f>'Soil-errosion1'!S73</f>
        <v>0</v>
      </c>
      <c r="U9" s="215">
        <f>'Soil-errosion1'!T73</f>
        <v>0</v>
      </c>
      <c r="V9" s="215">
        <f>'Soil-errosion1'!U73</f>
        <v>0</v>
      </c>
      <c r="W9" s="215">
        <f>'Soil-errosion1'!V73</f>
        <v>0</v>
      </c>
      <c r="X9" s="215">
        <f>'Soil-errosion1'!W73</f>
        <v>0</v>
      </c>
      <c r="Y9" s="215" t="e">
        <f>SUMPRODUCT(O9:T9,'Area&amp;production data'!$F10:$K10)/'Area&amp;production data'!$Q10</f>
        <v>#DIV/0!</v>
      </c>
      <c r="Z9" s="215" t="e">
        <f>SUMPRODUCT(O9:X9,'Soil-errosion1'!C10:L10)/'Soil-errosion1'!M10</f>
        <v>#DIV/0!</v>
      </c>
      <c r="AA9" s="215">
        <f>'Soil-errosion1'!Y73</f>
        <v>0</v>
      </c>
      <c r="AB9" s="215">
        <f>'Soil-errosion1'!Z73</f>
        <v>0</v>
      </c>
      <c r="AC9" s="215">
        <f>'Soil-errosion1'!AA73</f>
        <v>0</v>
      </c>
      <c r="AD9" s="215">
        <f>'Soil-errosion1'!AB73</f>
        <v>0</v>
      </c>
      <c r="AE9" s="215">
        <f>'Soil-errosion1'!AC73</f>
        <v>0</v>
      </c>
      <c r="AF9" s="215">
        <f>'Soil-errosion1'!AD73</f>
        <v>0</v>
      </c>
      <c r="AG9" s="215">
        <f>'Soil-errosion1'!AE73</f>
        <v>0</v>
      </c>
      <c r="AH9" s="215">
        <f>'Soil-errosion1'!AF73</f>
        <v>0</v>
      </c>
      <c r="AI9" s="215">
        <f>'Soil-errosion1'!AG73</f>
        <v>0</v>
      </c>
      <c r="AJ9" s="215">
        <f>'Soil-errosion1'!AH73</f>
        <v>0</v>
      </c>
      <c r="AK9" s="215" t="e">
        <f>SUMPRODUCT(AA9:AF9,'Area&amp;production data'!$F10:$K10)/'Area&amp;production data'!$Q10</f>
        <v>#DIV/0!</v>
      </c>
      <c r="AL9" s="215" t="e">
        <f>SUMPRODUCT(AA9:AJ9,'Soil-errosion1'!C10:L10)/'Soil-errosion1'!M10</f>
        <v>#DIV/0!</v>
      </c>
      <c r="AM9" s="316">
        <f>C9*'Area(ha)-by-degradation-level'!O10+O9*'Area(ha)-by-degradation-level'!P10+AA9*'Area(ha)-by-degradation-level'!Q10</f>
        <v>0</v>
      </c>
      <c r="AN9" s="316">
        <f>D9*'Area(ha)-by-degradation-level'!S10+P9*'Area(ha)-by-degradation-level'!T10+AB9*'Area(ha)-by-degradation-level'!U10</f>
        <v>0</v>
      </c>
      <c r="AO9" s="316">
        <f>E9*'Area(ha)-by-degradation-level'!W10+Q9*'Area(ha)-by-degradation-level'!X10+AC9*'Area(ha)-by-degradation-level'!Y10</f>
        <v>0</v>
      </c>
      <c r="AP9" s="316">
        <f>F9*'Area(ha)-by-degradation-level'!AA10+R9*'Area(ha)-by-degradation-level'!AB10+AD9*'Area(ha)-by-degradation-level'!AC10</f>
        <v>0</v>
      </c>
      <c r="AQ9" s="316">
        <f>G9*'Area(ha)-by-degradation-level'!AE10+S9*'Area(ha)-by-degradation-level'!AF10+AE9*'Area(ha)-by-degradation-level'!AG10</f>
        <v>0</v>
      </c>
      <c r="AR9" s="316">
        <f>H9*'Area(ha)-by-degradation-level'!AI10+T9*'Area(ha)-by-degradation-level'!AJ10+AF9*'Area(ha)-by-degradation-level'!AK10</f>
        <v>0</v>
      </c>
      <c r="AS9" s="316">
        <f>I9*'Area(ha)-by-degradation-level'!AM10+U9*'Area(ha)-by-degradation-level'!AN10+AG9*'Area(ha)-by-degradation-level'!AO10</f>
        <v>0</v>
      </c>
      <c r="AT9" s="316">
        <f>J9*'Area(ha)-by-degradation-level'!AQ10+V9*'Area(ha)-by-degradation-level'!AR10+AH9*'Area(ha)-by-degradation-level'!AS10</f>
        <v>0</v>
      </c>
      <c r="AU9" s="316">
        <f>K9*'Area(ha)-by-degradation-level'!AU10+W9*'Area(ha)-by-degradation-level'!AV10+AI9*'Area(ha)-by-degradation-level'!AW10</f>
        <v>0</v>
      </c>
      <c r="AV9" s="316">
        <f>L9*'Area(ha)-by-degradation-level'!AY10+X9*'Area(ha)-by-degradation-level'!AZ10+AJ9*'Area(ha)-by-degradation-level'!BA10</f>
        <v>0</v>
      </c>
      <c r="AW9" s="316" t="e">
        <f>SUMPRODUCT(AM9:AR9,'Area&amp;production data'!$F10:$K10)/'Area&amp;production data'!$Q10</f>
        <v>#DIV/0!</v>
      </c>
      <c r="AX9" s="316" t="e">
        <f>SUMPRODUCT(AM9:AV9,'Soil-errosion1'!C10:L10)/'Soil-errosion1'!M10</f>
        <v>#DIV/0!</v>
      </c>
      <c r="AY9" s="41" t="e">
        <f t="shared" si="0"/>
        <v>#DIV/0!</v>
      </c>
    </row>
    <row r="10" spans="1:51" x14ac:dyDescent="0.25">
      <c r="A10" s="13">
        <v>7</v>
      </c>
      <c r="B10" s="13" t="s">
        <v>145</v>
      </c>
      <c r="C10" s="215">
        <f>'Soil-errosion1'!C74</f>
        <v>0</v>
      </c>
      <c r="D10" s="215">
        <f>'Soil-errosion1'!D74</f>
        <v>0</v>
      </c>
      <c r="E10" s="215">
        <f>'Soil-errosion1'!E74</f>
        <v>0</v>
      </c>
      <c r="F10" s="215">
        <f>'Soil-errosion1'!F74</f>
        <v>0</v>
      </c>
      <c r="G10" s="215">
        <f>'Soil-errosion1'!G74</f>
        <v>0</v>
      </c>
      <c r="H10" s="215">
        <f>'Soil-errosion1'!H74</f>
        <v>0</v>
      </c>
      <c r="I10" s="215">
        <f>'Soil-errosion1'!I74</f>
        <v>0</v>
      </c>
      <c r="J10" s="215">
        <f>'Soil-errosion1'!J74</f>
        <v>0</v>
      </c>
      <c r="K10" s="215">
        <f>'Soil-errosion1'!K74</f>
        <v>0</v>
      </c>
      <c r="L10" s="215">
        <f>'Soil-errosion1'!L74</f>
        <v>0</v>
      </c>
      <c r="M10" s="215" t="e">
        <f>SUMPRODUCT(C10:H10,'Area&amp;production data'!$F11:$K11)/'Area&amp;production data'!$Q11</f>
        <v>#DIV/0!</v>
      </c>
      <c r="N10" s="215" t="e">
        <f>'Soil-errosion1'!M74</f>
        <v>#DIV/0!</v>
      </c>
      <c r="O10" s="215">
        <f>'Soil-errosion1'!N74</f>
        <v>0</v>
      </c>
      <c r="P10" s="215">
        <f>'Soil-errosion1'!O74</f>
        <v>0</v>
      </c>
      <c r="Q10" s="215">
        <f>'Soil-errosion1'!P74</f>
        <v>0</v>
      </c>
      <c r="R10" s="215">
        <f>'Soil-errosion1'!Q74</f>
        <v>0</v>
      </c>
      <c r="S10" s="215">
        <f>'Soil-errosion1'!R74</f>
        <v>0</v>
      </c>
      <c r="T10" s="215">
        <f>'Soil-errosion1'!S74</f>
        <v>0</v>
      </c>
      <c r="U10" s="215">
        <f>'Soil-errosion1'!T74</f>
        <v>0</v>
      </c>
      <c r="V10" s="215">
        <f>'Soil-errosion1'!U74</f>
        <v>0</v>
      </c>
      <c r="W10" s="215">
        <f>'Soil-errosion1'!V74</f>
        <v>0</v>
      </c>
      <c r="X10" s="215">
        <f>'Soil-errosion1'!W74</f>
        <v>0</v>
      </c>
      <c r="Y10" s="215" t="e">
        <f>SUMPRODUCT(O10:T10,'Area&amp;production data'!$F11:$K11)/'Area&amp;production data'!$Q11</f>
        <v>#DIV/0!</v>
      </c>
      <c r="Z10" s="215" t="e">
        <f>SUMPRODUCT(O10:X10,'Soil-errosion1'!C11:L11)/'Soil-errosion1'!M11</f>
        <v>#DIV/0!</v>
      </c>
      <c r="AA10" s="215">
        <f>'Soil-errosion1'!Y74</f>
        <v>0</v>
      </c>
      <c r="AB10" s="215">
        <f>'Soil-errosion1'!Z74</f>
        <v>0</v>
      </c>
      <c r="AC10" s="215">
        <f>'Soil-errosion1'!AA74</f>
        <v>0</v>
      </c>
      <c r="AD10" s="215">
        <f>'Soil-errosion1'!AB74</f>
        <v>0</v>
      </c>
      <c r="AE10" s="215">
        <f>'Soil-errosion1'!AC74</f>
        <v>0</v>
      </c>
      <c r="AF10" s="215">
        <f>'Soil-errosion1'!AD74</f>
        <v>0</v>
      </c>
      <c r="AG10" s="215">
        <f>'Soil-errosion1'!AE74</f>
        <v>0</v>
      </c>
      <c r="AH10" s="215">
        <f>'Soil-errosion1'!AF74</f>
        <v>0</v>
      </c>
      <c r="AI10" s="215">
        <f>'Soil-errosion1'!AG74</f>
        <v>0</v>
      </c>
      <c r="AJ10" s="215">
        <f>'Soil-errosion1'!AH74</f>
        <v>0</v>
      </c>
      <c r="AK10" s="215" t="e">
        <f>SUMPRODUCT(AA10:AF10,'Area&amp;production data'!$F11:$K11)/'Area&amp;production data'!$Q11</f>
        <v>#DIV/0!</v>
      </c>
      <c r="AL10" s="215" t="e">
        <f>SUMPRODUCT(AA10:AJ10,'Soil-errosion1'!C11:L11)/'Soil-errosion1'!M11</f>
        <v>#DIV/0!</v>
      </c>
      <c r="AM10" s="316">
        <f>C10*'Area(ha)-by-degradation-level'!O11+O10*'Area(ha)-by-degradation-level'!P11+AA10*'Area(ha)-by-degradation-level'!Q11</f>
        <v>0</v>
      </c>
      <c r="AN10" s="316">
        <f>D10*'Area(ha)-by-degradation-level'!S11+P10*'Area(ha)-by-degradation-level'!T11+AB10*'Area(ha)-by-degradation-level'!U11</f>
        <v>0</v>
      </c>
      <c r="AO10" s="316">
        <f>E10*'Area(ha)-by-degradation-level'!W11+Q10*'Area(ha)-by-degradation-level'!X11+AC10*'Area(ha)-by-degradation-level'!Y11</f>
        <v>0</v>
      </c>
      <c r="AP10" s="316">
        <f>F10*'Area(ha)-by-degradation-level'!AA11+R10*'Area(ha)-by-degradation-level'!AB11+AD10*'Area(ha)-by-degradation-level'!AC11</f>
        <v>0</v>
      </c>
      <c r="AQ10" s="316">
        <f>G10*'Area(ha)-by-degradation-level'!AE11+S10*'Area(ha)-by-degradation-level'!AF11+AE10*'Area(ha)-by-degradation-level'!AG11</f>
        <v>0</v>
      </c>
      <c r="AR10" s="316">
        <f>H10*'Area(ha)-by-degradation-level'!AI11+T10*'Area(ha)-by-degradation-level'!AJ11+AF10*'Area(ha)-by-degradation-level'!AK11</f>
        <v>0</v>
      </c>
      <c r="AS10" s="316">
        <f>I10*'Area(ha)-by-degradation-level'!AM11+U10*'Area(ha)-by-degradation-level'!AN11+AG10*'Area(ha)-by-degradation-level'!AO11</f>
        <v>0</v>
      </c>
      <c r="AT10" s="316">
        <f>J10*'Area(ha)-by-degradation-level'!AQ11+V10*'Area(ha)-by-degradation-level'!AR11+AH10*'Area(ha)-by-degradation-level'!AS11</f>
        <v>0</v>
      </c>
      <c r="AU10" s="316">
        <f>K10*'Area(ha)-by-degradation-level'!AU11+W10*'Area(ha)-by-degradation-level'!AV11+AI10*'Area(ha)-by-degradation-level'!AW11</f>
        <v>0</v>
      </c>
      <c r="AV10" s="316">
        <f>L10*'Area(ha)-by-degradation-level'!AY11+X10*'Area(ha)-by-degradation-level'!AZ11+AJ10*'Area(ha)-by-degradation-level'!BA11</f>
        <v>0</v>
      </c>
      <c r="AW10" s="316" t="e">
        <f>SUMPRODUCT(AM10:AR10,'Area&amp;production data'!$F11:$K11)/'Area&amp;production data'!$Q11</f>
        <v>#DIV/0!</v>
      </c>
      <c r="AX10" s="316" t="e">
        <f>SUMPRODUCT(AM10:AV10,'Soil-errosion1'!C11:L11)/'Soil-errosion1'!M11</f>
        <v>#DIV/0!</v>
      </c>
      <c r="AY10" s="41" t="e">
        <f t="shared" si="0"/>
        <v>#DIV/0!</v>
      </c>
    </row>
    <row r="11" spans="1:51" x14ac:dyDescent="0.25">
      <c r="A11" s="13">
        <v>8</v>
      </c>
      <c r="B11" s="13" t="s">
        <v>146</v>
      </c>
      <c r="C11" s="215">
        <f>'Soil-errosion1'!C75</f>
        <v>0</v>
      </c>
      <c r="D11" s="215">
        <f>'Soil-errosion1'!D75</f>
        <v>0</v>
      </c>
      <c r="E11" s="215">
        <f>'Soil-errosion1'!E75</f>
        <v>0</v>
      </c>
      <c r="F11" s="215">
        <f>'Soil-errosion1'!F75</f>
        <v>0</v>
      </c>
      <c r="G11" s="215">
        <f>'Soil-errosion1'!G75</f>
        <v>0</v>
      </c>
      <c r="H11" s="215">
        <f>'Soil-errosion1'!H75</f>
        <v>0</v>
      </c>
      <c r="I11" s="215">
        <f>'Soil-errosion1'!I75</f>
        <v>0</v>
      </c>
      <c r="J11" s="215">
        <f>'Soil-errosion1'!J75</f>
        <v>0</v>
      </c>
      <c r="K11" s="215">
        <f>'Soil-errosion1'!K75</f>
        <v>0</v>
      </c>
      <c r="L11" s="215">
        <f>'Soil-errosion1'!L75</f>
        <v>0</v>
      </c>
      <c r="M11" s="215" t="e">
        <f>SUMPRODUCT(C11:H11,'Area&amp;production data'!$F12:$K12)/'Area&amp;production data'!$Q12</f>
        <v>#DIV/0!</v>
      </c>
      <c r="N11" s="215" t="e">
        <f>'Soil-errosion1'!M75</f>
        <v>#DIV/0!</v>
      </c>
      <c r="O11" s="215">
        <f>'Soil-errosion1'!N75</f>
        <v>0</v>
      </c>
      <c r="P11" s="215">
        <f>'Soil-errosion1'!O75</f>
        <v>0</v>
      </c>
      <c r="Q11" s="215">
        <f>'Soil-errosion1'!P75</f>
        <v>0</v>
      </c>
      <c r="R11" s="215">
        <f>'Soil-errosion1'!Q75</f>
        <v>0</v>
      </c>
      <c r="S11" s="215">
        <f>'Soil-errosion1'!R75</f>
        <v>0</v>
      </c>
      <c r="T11" s="215">
        <f>'Soil-errosion1'!S75</f>
        <v>0</v>
      </c>
      <c r="U11" s="215">
        <f>'Soil-errosion1'!T75</f>
        <v>0</v>
      </c>
      <c r="V11" s="215">
        <f>'Soil-errosion1'!U75</f>
        <v>0</v>
      </c>
      <c r="W11" s="215">
        <f>'Soil-errosion1'!V75</f>
        <v>0</v>
      </c>
      <c r="X11" s="215">
        <f>'Soil-errosion1'!W75</f>
        <v>0</v>
      </c>
      <c r="Y11" s="215" t="e">
        <f>SUMPRODUCT(O11:T11,'Area&amp;production data'!$F12:$K12)/'Area&amp;production data'!$Q12</f>
        <v>#DIV/0!</v>
      </c>
      <c r="Z11" s="215" t="e">
        <f>SUMPRODUCT(O11:X11,'Soil-errosion1'!C12:L12)/'Soil-errosion1'!M12</f>
        <v>#DIV/0!</v>
      </c>
      <c r="AA11" s="215">
        <f>'Soil-errosion1'!Y75</f>
        <v>0</v>
      </c>
      <c r="AB11" s="215">
        <f>'Soil-errosion1'!Z75</f>
        <v>0</v>
      </c>
      <c r="AC11" s="215">
        <f>'Soil-errosion1'!AA75</f>
        <v>0</v>
      </c>
      <c r="AD11" s="215">
        <f>'Soil-errosion1'!AB75</f>
        <v>0</v>
      </c>
      <c r="AE11" s="215">
        <f>'Soil-errosion1'!AC75</f>
        <v>0</v>
      </c>
      <c r="AF11" s="215">
        <f>'Soil-errosion1'!AD75</f>
        <v>0</v>
      </c>
      <c r="AG11" s="215">
        <f>'Soil-errosion1'!AE75</f>
        <v>0</v>
      </c>
      <c r="AH11" s="215">
        <f>'Soil-errosion1'!AF75</f>
        <v>0</v>
      </c>
      <c r="AI11" s="215">
        <f>'Soil-errosion1'!AG75</f>
        <v>0</v>
      </c>
      <c r="AJ11" s="215">
        <f>'Soil-errosion1'!AH75</f>
        <v>0</v>
      </c>
      <c r="AK11" s="215" t="e">
        <f>SUMPRODUCT(AA11:AF11,'Area&amp;production data'!$F12:$K12)/'Area&amp;production data'!$Q12</f>
        <v>#DIV/0!</v>
      </c>
      <c r="AL11" s="215" t="e">
        <f>SUMPRODUCT(AA11:AJ11,'Soil-errosion1'!C12:L12)/'Soil-errosion1'!M12</f>
        <v>#DIV/0!</v>
      </c>
      <c r="AM11" s="316">
        <f>C11*'Area(ha)-by-degradation-level'!O12+O11*'Area(ha)-by-degradation-level'!P12+AA11*'Area(ha)-by-degradation-level'!Q12</f>
        <v>0</v>
      </c>
      <c r="AN11" s="316">
        <f>D11*'Area(ha)-by-degradation-level'!S12+P11*'Area(ha)-by-degradation-level'!T12+AB11*'Area(ha)-by-degradation-level'!U12</f>
        <v>0</v>
      </c>
      <c r="AO11" s="316">
        <f>E11*'Area(ha)-by-degradation-level'!W12+Q11*'Area(ha)-by-degradation-level'!X12+AC11*'Area(ha)-by-degradation-level'!Y12</f>
        <v>0</v>
      </c>
      <c r="AP11" s="316">
        <f>F11*'Area(ha)-by-degradation-level'!AA12+R11*'Area(ha)-by-degradation-level'!AB12+AD11*'Area(ha)-by-degradation-level'!AC12</f>
        <v>0</v>
      </c>
      <c r="AQ11" s="316">
        <f>G11*'Area(ha)-by-degradation-level'!AE12+S11*'Area(ha)-by-degradation-level'!AF12+AE11*'Area(ha)-by-degradation-level'!AG12</f>
        <v>0</v>
      </c>
      <c r="AR11" s="316">
        <f>H11*'Area(ha)-by-degradation-level'!AI12+T11*'Area(ha)-by-degradation-level'!AJ12+AF11*'Area(ha)-by-degradation-level'!AK12</f>
        <v>0</v>
      </c>
      <c r="AS11" s="316">
        <f>I11*'Area(ha)-by-degradation-level'!AM12+U11*'Area(ha)-by-degradation-level'!AN12+AG11*'Area(ha)-by-degradation-level'!AO12</f>
        <v>0</v>
      </c>
      <c r="AT11" s="316">
        <f>J11*'Area(ha)-by-degradation-level'!AQ12+V11*'Area(ha)-by-degradation-level'!AR12+AH11*'Area(ha)-by-degradation-level'!AS12</f>
        <v>0</v>
      </c>
      <c r="AU11" s="316">
        <f>K11*'Area(ha)-by-degradation-level'!AU12+W11*'Area(ha)-by-degradation-level'!AV12+AI11*'Area(ha)-by-degradation-level'!AW12</f>
        <v>0</v>
      </c>
      <c r="AV11" s="316">
        <f>L11*'Area(ha)-by-degradation-level'!AY12+X11*'Area(ha)-by-degradation-level'!AZ12+AJ11*'Area(ha)-by-degradation-level'!BA12</f>
        <v>0</v>
      </c>
      <c r="AW11" s="316" t="e">
        <f>SUMPRODUCT(AM11:AR11,'Area&amp;production data'!$F12:$K12)/'Area&amp;production data'!$Q12</f>
        <v>#DIV/0!</v>
      </c>
      <c r="AX11" s="316" t="e">
        <f>SUMPRODUCT(AM11:AV11,'Soil-errosion1'!C12:L12)/'Soil-errosion1'!M12</f>
        <v>#DIV/0!</v>
      </c>
      <c r="AY11" s="41" t="e">
        <f t="shared" si="0"/>
        <v>#DIV/0!</v>
      </c>
    </row>
    <row r="12" spans="1:51" x14ac:dyDescent="0.25">
      <c r="A12" s="13">
        <v>9</v>
      </c>
      <c r="B12" s="13" t="s">
        <v>147</v>
      </c>
      <c r="C12" s="215">
        <f>'Soil-errosion1'!C76</f>
        <v>0</v>
      </c>
      <c r="D12" s="215">
        <f>'Soil-errosion1'!D76</f>
        <v>0</v>
      </c>
      <c r="E12" s="215">
        <f>'Soil-errosion1'!E76</f>
        <v>0</v>
      </c>
      <c r="F12" s="215">
        <f>'Soil-errosion1'!F76</f>
        <v>0</v>
      </c>
      <c r="G12" s="215">
        <f>'Soil-errosion1'!G76</f>
        <v>0</v>
      </c>
      <c r="H12" s="215">
        <f>'Soil-errosion1'!H76</f>
        <v>0</v>
      </c>
      <c r="I12" s="215">
        <f>'Soil-errosion1'!I76</f>
        <v>0</v>
      </c>
      <c r="J12" s="215">
        <f>'Soil-errosion1'!J76</f>
        <v>0</v>
      </c>
      <c r="K12" s="215">
        <f>'Soil-errosion1'!K76</f>
        <v>0</v>
      </c>
      <c r="L12" s="215">
        <f>'Soil-errosion1'!L76</f>
        <v>0</v>
      </c>
      <c r="M12" s="215" t="e">
        <f>SUMPRODUCT(C12:H12,'Area&amp;production data'!$F13:$K13)/'Area&amp;production data'!$Q13</f>
        <v>#DIV/0!</v>
      </c>
      <c r="N12" s="215" t="e">
        <f>'Soil-errosion1'!M76</f>
        <v>#DIV/0!</v>
      </c>
      <c r="O12" s="215">
        <f>'Soil-errosion1'!N76</f>
        <v>0</v>
      </c>
      <c r="P12" s="215">
        <f>'Soil-errosion1'!O76</f>
        <v>0</v>
      </c>
      <c r="Q12" s="215">
        <f>'Soil-errosion1'!P76</f>
        <v>0</v>
      </c>
      <c r="R12" s="215">
        <f>'Soil-errosion1'!Q76</f>
        <v>0</v>
      </c>
      <c r="S12" s="215">
        <f>'Soil-errosion1'!R76</f>
        <v>0</v>
      </c>
      <c r="T12" s="215">
        <f>'Soil-errosion1'!S76</f>
        <v>0</v>
      </c>
      <c r="U12" s="215">
        <f>'Soil-errosion1'!T76</f>
        <v>0</v>
      </c>
      <c r="V12" s="215">
        <f>'Soil-errosion1'!U76</f>
        <v>0</v>
      </c>
      <c r="W12" s="215">
        <f>'Soil-errosion1'!V76</f>
        <v>0</v>
      </c>
      <c r="X12" s="215">
        <f>'Soil-errosion1'!W76</f>
        <v>0</v>
      </c>
      <c r="Y12" s="215" t="e">
        <f>SUMPRODUCT(O12:T12,'Area&amp;production data'!$F13:$K13)/'Area&amp;production data'!$Q13</f>
        <v>#DIV/0!</v>
      </c>
      <c r="Z12" s="215" t="e">
        <f>SUMPRODUCT(O12:X12,'Soil-errosion1'!C13:L13)/'Soil-errosion1'!M13</f>
        <v>#DIV/0!</v>
      </c>
      <c r="AA12" s="215">
        <f>'Soil-errosion1'!Y76</f>
        <v>0</v>
      </c>
      <c r="AB12" s="215">
        <f>'Soil-errosion1'!Z76</f>
        <v>0</v>
      </c>
      <c r="AC12" s="215">
        <f>'Soil-errosion1'!AA76</f>
        <v>0</v>
      </c>
      <c r="AD12" s="215">
        <f>'Soil-errosion1'!AB76</f>
        <v>0</v>
      </c>
      <c r="AE12" s="215">
        <f>'Soil-errosion1'!AC76</f>
        <v>0</v>
      </c>
      <c r="AF12" s="215">
        <f>'Soil-errosion1'!AD76</f>
        <v>0</v>
      </c>
      <c r="AG12" s="215">
        <f>'Soil-errosion1'!AE76</f>
        <v>0</v>
      </c>
      <c r="AH12" s="215">
        <f>'Soil-errosion1'!AF76</f>
        <v>0</v>
      </c>
      <c r="AI12" s="215">
        <f>'Soil-errosion1'!AG76</f>
        <v>0</v>
      </c>
      <c r="AJ12" s="215">
        <f>'Soil-errosion1'!AH76</f>
        <v>0</v>
      </c>
      <c r="AK12" s="215" t="e">
        <f>SUMPRODUCT(AA12:AF12,'Area&amp;production data'!$F13:$K13)/'Area&amp;production data'!$Q13</f>
        <v>#DIV/0!</v>
      </c>
      <c r="AL12" s="215" t="e">
        <f>SUMPRODUCT(AA12:AJ12,'Soil-errosion1'!C13:L13)/'Soil-errosion1'!M13</f>
        <v>#DIV/0!</v>
      </c>
      <c r="AM12" s="316">
        <f>C12*'Area(ha)-by-degradation-level'!O13+O12*'Area(ha)-by-degradation-level'!P13+AA12*'Area(ha)-by-degradation-level'!Q13</f>
        <v>0</v>
      </c>
      <c r="AN12" s="316">
        <f>D12*'Area(ha)-by-degradation-level'!S13+P12*'Area(ha)-by-degradation-level'!T13+AB12*'Area(ha)-by-degradation-level'!U13</f>
        <v>0</v>
      </c>
      <c r="AO12" s="316">
        <f>E12*'Area(ha)-by-degradation-level'!W13+Q12*'Area(ha)-by-degradation-level'!X13+AC12*'Area(ha)-by-degradation-level'!Y13</f>
        <v>0</v>
      </c>
      <c r="AP12" s="316">
        <f>F12*'Area(ha)-by-degradation-level'!AA13+R12*'Area(ha)-by-degradation-level'!AB13+AD12*'Area(ha)-by-degradation-level'!AC13</f>
        <v>0</v>
      </c>
      <c r="AQ12" s="316">
        <f>G12*'Area(ha)-by-degradation-level'!AE13+S12*'Area(ha)-by-degradation-level'!AF13+AE12*'Area(ha)-by-degradation-level'!AG13</f>
        <v>0</v>
      </c>
      <c r="AR12" s="316">
        <f>H12*'Area(ha)-by-degradation-level'!AI13+T12*'Area(ha)-by-degradation-level'!AJ13+AF12*'Area(ha)-by-degradation-level'!AK13</f>
        <v>0</v>
      </c>
      <c r="AS12" s="316">
        <f>I12*'Area(ha)-by-degradation-level'!AM13+U12*'Area(ha)-by-degradation-level'!AN13+AG12*'Area(ha)-by-degradation-level'!AO13</f>
        <v>0</v>
      </c>
      <c r="AT12" s="316">
        <f>J12*'Area(ha)-by-degradation-level'!AQ13+V12*'Area(ha)-by-degradation-level'!AR13+AH12*'Area(ha)-by-degradation-level'!AS13</f>
        <v>0</v>
      </c>
      <c r="AU12" s="316">
        <f>K12*'Area(ha)-by-degradation-level'!AU13+W12*'Area(ha)-by-degradation-level'!AV13+AI12*'Area(ha)-by-degradation-level'!AW13</f>
        <v>0</v>
      </c>
      <c r="AV12" s="316">
        <f>L12*'Area(ha)-by-degradation-level'!AY13+X12*'Area(ha)-by-degradation-level'!AZ13+AJ12*'Area(ha)-by-degradation-level'!BA13</f>
        <v>0</v>
      </c>
      <c r="AW12" s="316" t="e">
        <f>SUMPRODUCT(AM12:AR12,'Area&amp;production data'!$F13:$K13)/'Area&amp;production data'!$Q13</f>
        <v>#DIV/0!</v>
      </c>
      <c r="AX12" s="316" t="e">
        <f>SUMPRODUCT(AM12:AV12,'Soil-errosion1'!C13:L13)/'Soil-errosion1'!M13</f>
        <v>#DIV/0!</v>
      </c>
      <c r="AY12" s="41" t="e">
        <f t="shared" si="0"/>
        <v>#DIV/0!</v>
      </c>
    </row>
    <row r="13" spans="1:51" x14ac:dyDescent="0.25">
      <c r="A13" s="13">
        <v>10</v>
      </c>
      <c r="B13" s="13" t="s">
        <v>148</v>
      </c>
      <c r="C13" s="215">
        <f>'Soil-errosion1'!C77</f>
        <v>0</v>
      </c>
      <c r="D13" s="215">
        <f>'Soil-errosion1'!D77</f>
        <v>0</v>
      </c>
      <c r="E13" s="215">
        <f>'Soil-errosion1'!E77</f>
        <v>0</v>
      </c>
      <c r="F13" s="215">
        <f>'Soil-errosion1'!F77</f>
        <v>0</v>
      </c>
      <c r="G13" s="215">
        <f>'Soil-errosion1'!G77</f>
        <v>0</v>
      </c>
      <c r="H13" s="215">
        <f>'Soil-errosion1'!H77</f>
        <v>0</v>
      </c>
      <c r="I13" s="215">
        <f>'Soil-errosion1'!I77</f>
        <v>0</v>
      </c>
      <c r="J13" s="215">
        <f>'Soil-errosion1'!J77</f>
        <v>0</v>
      </c>
      <c r="K13" s="215">
        <f>'Soil-errosion1'!K77</f>
        <v>0</v>
      </c>
      <c r="L13" s="215">
        <f>'Soil-errosion1'!L77</f>
        <v>0</v>
      </c>
      <c r="M13" s="215" t="e">
        <f>SUMPRODUCT(C13:H13,'Area&amp;production data'!$F14:$K14)/'Area&amp;production data'!$Q14</f>
        <v>#DIV/0!</v>
      </c>
      <c r="N13" s="215" t="e">
        <f>'Soil-errosion1'!M77</f>
        <v>#DIV/0!</v>
      </c>
      <c r="O13" s="215">
        <f>'Soil-errosion1'!N77</f>
        <v>0</v>
      </c>
      <c r="P13" s="215">
        <f>'Soil-errosion1'!O77</f>
        <v>0</v>
      </c>
      <c r="Q13" s="215">
        <f>'Soil-errosion1'!P77</f>
        <v>0</v>
      </c>
      <c r="R13" s="215">
        <f>'Soil-errosion1'!Q77</f>
        <v>0</v>
      </c>
      <c r="S13" s="215">
        <f>'Soil-errosion1'!R77</f>
        <v>0</v>
      </c>
      <c r="T13" s="215">
        <f>'Soil-errosion1'!S77</f>
        <v>0</v>
      </c>
      <c r="U13" s="215">
        <f>'Soil-errosion1'!T77</f>
        <v>0</v>
      </c>
      <c r="V13" s="215">
        <f>'Soil-errosion1'!U77</f>
        <v>0</v>
      </c>
      <c r="W13" s="215">
        <f>'Soil-errosion1'!V77</f>
        <v>0</v>
      </c>
      <c r="X13" s="215">
        <f>'Soil-errosion1'!W77</f>
        <v>0</v>
      </c>
      <c r="Y13" s="215" t="e">
        <f>SUMPRODUCT(O13:T13,'Area&amp;production data'!$F14:$K14)/'Area&amp;production data'!$Q14</f>
        <v>#DIV/0!</v>
      </c>
      <c r="Z13" s="215" t="e">
        <f>SUMPRODUCT(O13:X13,'Soil-errosion1'!C14:L14)/'Soil-errosion1'!M14</f>
        <v>#DIV/0!</v>
      </c>
      <c r="AA13" s="215">
        <f>'Soil-errosion1'!Y77</f>
        <v>0</v>
      </c>
      <c r="AB13" s="215">
        <f>'Soil-errosion1'!Z77</f>
        <v>0</v>
      </c>
      <c r="AC13" s="215">
        <f>'Soil-errosion1'!AA77</f>
        <v>0</v>
      </c>
      <c r="AD13" s="215">
        <f>'Soil-errosion1'!AB77</f>
        <v>0</v>
      </c>
      <c r="AE13" s="215">
        <f>'Soil-errosion1'!AC77</f>
        <v>0</v>
      </c>
      <c r="AF13" s="215">
        <f>'Soil-errosion1'!AD77</f>
        <v>0</v>
      </c>
      <c r="AG13" s="215">
        <f>'Soil-errosion1'!AE77</f>
        <v>0</v>
      </c>
      <c r="AH13" s="215">
        <f>'Soil-errosion1'!AF77</f>
        <v>0</v>
      </c>
      <c r="AI13" s="215">
        <f>'Soil-errosion1'!AG77</f>
        <v>0</v>
      </c>
      <c r="AJ13" s="215">
        <f>'Soil-errosion1'!AH77</f>
        <v>0</v>
      </c>
      <c r="AK13" s="215" t="e">
        <f>SUMPRODUCT(AA13:AF13,'Area&amp;production data'!$F14:$K14)/'Area&amp;production data'!$Q14</f>
        <v>#DIV/0!</v>
      </c>
      <c r="AL13" s="215" t="e">
        <f>SUMPRODUCT(AA13:AJ13,'Soil-errosion1'!C14:L14)/'Soil-errosion1'!M14</f>
        <v>#DIV/0!</v>
      </c>
      <c r="AM13" s="316">
        <f>C13*'Area(ha)-by-degradation-level'!O14+O13*'Area(ha)-by-degradation-level'!P14+AA13*'Area(ha)-by-degradation-level'!Q14</f>
        <v>0</v>
      </c>
      <c r="AN13" s="316">
        <f>D13*'Area(ha)-by-degradation-level'!S14+P13*'Area(ha)-by-degradation-level'!T14+AB13*'Area(ha)-by-degradation-level'!U14</f>
        <v>0</v>
      </c>
      <c r="AO13" s="316">
        <f>E13*'Area(ha)-by-degradation-level'!W14+Q13*'Area(ha)-by-degradation-level'!X14+AC13*'Area(ha)-by-degradation-level'!Y14</f>
        <v>0</v>
      </c>
      <c r="AP13" s="316">
        <f>F13*'Area(ha)-by-degradation-level'!AA14+R13*'Area(ha)-by-degradation-level'!AB14+AD13*'Area(ha)-by-degradation-level'!AC14</f>
        <v>0</v>
      </c>
      <c r="AQ13" s="316">
        <f>G13*'Area(ha)-by-degradation-level'!AE14+S13*'Area(ha)-by-degradation-level'!AF14+AE13*'Area(ha)-by-degradation-level'!AG14</f>
        <v>0</v>
      </c>
      <c r="AR13" s="316">
        <f>H13*'Area(ha)-by-degradation-level'!AI14+T13*'Area(ha)-by-degradation-level'!AJ14+AF13*'Area(ha)-by-degradation-level'!AK14</f>
        <v>0</v>
      </c>
      <c r="AS13" s="316">
        <f>I13*'Area(ha)-by-degradation-level'!AM14+U13*'Area(ha)-by-degradation-level'!AN14+AG13*'Area(ha)-by-degradation-level'!AO14</f>
        <v>0</v>
      </c>
      <c r="AT13" s="316">
        <f>J13*'Area(ha)-by-degradation-level'!AQ14+V13*'Area(ha)-by-degradation-level'!AR14+AH13*'Area(ha)-by-degradation-level'!AS14</f>
        <v>0</v>
      </c>
      <c r="AU13" s="316">
        <f>K13*'Area(ha)-by-degradation-level'!AU14+W13*'Area(ha)-by-degradation-level'!AV14+AI13*'Area(ha)-by-degradation-level'!AW14</f>
        <v>0</v>
      </c>
      <c r="AV13" s="316">
        <f>L13*'Area(ha)-by-degradation-level'!AY14+X13*'Area(ha)-by-degradation-level'!AZ14+AJ13*'Area(ha)-by-degradation-level'!BA14</f>
        <v>0</v>
      </c>
      <c r="AW13" s="316" t="e">
        <f>SUMPRODUCT(AM13:AR13,'Area&amp;production data'!$F14:$K14)/'Area&amp;production data'!$Q14</f>
        <v>#DIV/0!</v>
      </c>
      <c r="AX13" s="316" t="e">
        <f>SUMPRODUCT(AM13:AV13,'Soil-errosion1'!C14:L14)/'Soil-errosion1'!M14</f>
        <v>#DIV/0!</v>
      </c>
      <c r="AY13" s="41" t="e">
        <f t="shared" si="0"/>
        <v>#DIV/0!</v>
      </c>
    </row>
    <row r="14" spans="1:51" x14ac:dyDescent="0.25">
      <c r="A14" s="13">
        <v>11</v>
      </c>
      <c r="B14" s="13" t="s">
        <v>149</v>
      </c>
      <c r="C14" s="215">
        <f>'Soil-errosion1'!C78</f>
        <v>0</v>
      </c>
      <c r="D14" s="215">
        <f>'Soil-errosion1'!D78</f>
        <v>0</v>
      </c>
      <c r="E14" s="215">
        <f>'Soil-errosion1'!E78</f>
        <v>0</v>
      </c>
      <c r="F14" s="215">
        <f>'Soil-errosion1'!F78</f>
        <v>0</v>
      </c>
      <c r="G14" s="215">
        <f>'Soil-errosion1'!G78</f>
        <v>0</v>
      </c>
      <c r="H14" s="215">
        <f>'Soil-errosion1'!H78</f>
        <v>0</v>
      </c>
      <c r="I14" s="215">
        <f>'Soil-errosion1'!I78</f>
        <v>0</v>
      </c>
      <c r="J14" s="215">
        <f>'Soil-errosion1'!J78</f>
        <v>0</v>
      </c>
      <c r="K14" s="215">
        <f>'Soil-errosion1'!K78</f>
        <v>0</v>
      </c>
      <c r="L14" s="215">
        <f>'Soil-errosion1'!L78</f>
        <v>0</v>
      </c>
      <c r="M14" s="215" t="e">
        <f>SUMPRODUCT(C14:H14,'Area&amp;production data'!$F15:$K15)/'Area&amp;production data'!$Q15</f>
        <v>#DIV/0!</v>
      </c>
      <c r="N14" s="215" t="e">
        <f>'Soil-errosion1'!M78</f>
        <v>#DIV/0!</v>
      </c>
      <c r="O14" s="215">
        <f>'Soil-errosion1'!N78</f>
        <v>0</v>
      </c>
      <c r="P14" s="215">
        <f>'Soil-errosion1'!O78</f>
        <v>0</v>
      </c>
      <c r="Q14" s="215">
        <f>'Soil-errosion1'!P78</f>
        <v>0</v>
      </c>
      <c r="R14" s="215">
        <f>'Soil-errosion1'!Q78</f>
        <v>0</v>
      </c>
      <c r="S14" s="215">
        <f>'Soil-errosion1'!R78</f>
        <v>0</v>
      </c>
      <c r="T14" s="215">
        <f>'Soil-errosion1'!S78</f>
        <v>0</v>
      </c>
      <c r="U14" s="215">
        <f>'Soil-errosion1'!T78</f>
        <v>0</v>
      </c>
      <c r="V14" s="215">
        <f>'Soil-errosion1'!U78</f>
        <v>0</v>
      </c>
      <c r="W14" s="215">
        <f>'Soil-errosion1'!V78</f>
        <v>0</v>
      </c>
      <c r="X14" s="215">
        <f>'Soil-errosion1'!W78</f>
        <v>0</v>
      </c>
      <c r="Y14" s="215" t="e">
        <f>SUMPRODUCT(O14:T14,'Area&amp;production data'!$F15:$K15)/'Area&amp;production data'!$Q15</f>
        <v>#DIV/0!</v>
      </c>
      <c r="Z14" s="215" t="e">
        <f>SUMPRODUCT(O14:X14,'Soil-errosion1'!C15:L15)/'Soil-errosion1'!M15</f>
        <v>#DIV/0!</v>
      </c>
      <c r="AA14" s="215">
        <f>'Soil-errosion1'!Y78</f>
        <v>0</v>
      </c>
      <c r="AB14" s="215">
        <f>'Soil-errosion1'!Z78</f>
        <v>0</v>
      </c>
      <c r="AC14" s="215">
        <f>'Soil-errosion1'!AA78</f>
        <v>0</v>
      </c>
      <c r="AD14" s="215">
        <f>'Soil-errosion1'!AB78</f>
        <v>0</v>
      </c>
      <c r="AE14" s="215">
        <f>'Soil-errosion1'!AC78</f>
        <v>0</v>
      </c>
      <c r="AF14" s="215">
        <f>'Soil-errosion1'!AD78</f>
        <v>0</v>
      </c>
      <c r="AG14" s="215">
        <f>'Soil-errosion1'!AE78</f>
        <v>0</v>
      </c>
      <c r="AH14" s="215">
        <f>'Soil-errosion1'!AF78</f>
        <v>0</v>
      </c>
      <c r="AI14" s="215">
        <f>'Soil-errosion1'!AG78</f>
        <v>0</v>
      </c>
      <c r="AJ14" s="215">
        <f>'Soil-errosion1'!AH78</f>
        <v>0</v>
      </c>
      <c r="AK14" s="215" t="e">
        <f>SUMPRODUCT(AA14:AF14,'Area&amp;production data'!$F15:$K15)/'Area&amp;production data'!$Q15</f>
        <v>#DIV/0!</v>
      </c>
      <c r="AL14" s="215" t="e">
        <f>SUMPRODUCT(AA14:AJ14,'Soil-errosion1'!C15:L15)/'Soil-errosion1'!M15</f>
        <v>#DIV/0!</v>
      </c>
      <c r="AM14" s="316">
        <f>C14*'Area(ha)-by-degradation-level'!O15+O14*'Area(ha)-by-degradation-level'!P15+AA14*'Area(ha)-by-degradation-level'!Q15</f>
        <v>0</v>
      </c>
      <c r="AN14" s="316">
        <f>D14*'Area(ha)-by-degradation-level'!S15+P14*'Area(ha)-by-degradation-level'!T15+AB14*'Area(ha)-by-degradation-level'!U15</f>
        <v>0</v>
      </c>
      <c r="AO14" s="316">
        <f>E14*'Area(ha)-by-degradation-level'!W15+Q14*'Area(ha)-by-degradation-level'!X15+AC14*'Area(ha)-by-degradation-level'!Y15</f>
        <v>0</v>
      </c>
      <c r="AP14" s="316">
        <f>F14*'Area(ha)-by-degradation-level'!AA15+R14*'Area(ha)-by-degradation-level'!AB15+AD14*'Area(ha)-by-degradation-level'!AC15</f>
        <v>0</v>
      </c>
      <c r="AQ14" s="316">
        <f>G14*'Area(ha)-by-degradation-level'!AE15+S14*'Area(ha)-by-degradation-level'!AF15+AE14*'Area(ha)-by-degradation-level'!AG15</f>
        <v>0</v>
      </c>
      <c r="AR14" s="316">
        <f>H14*'Area(ha)-by-degradation-level'!AI15+T14*'Area(ha)-by-degradation-level'!AJ15+AF14*'Area(ha)-by-degradation-level'!AK15</f>
        <v>0</v>
      </c>
      <c r="AS14" s="316">
        <f>I14*'Area(ha)-by-degradation-level'!AM15+U14*'Area(ha)-by-degradation-level'!AN15+AG14*'Area(ha)-by-degradation-level'!AO15</f>
        <v>0</v>
      </c>
      <c r="AT14" s="316">
        <f>J14*'Area(ha)-by-degradation-level'!AQ15+V14*'Area(ha)-by-degradation-level'!AR15+AH14*'Area(ha)-by-degradation-level'!AS15</f>
        <v>0</v>
      </c>
      <c r="AU14" s="316">
        <f>K14*'Area(ha)-by-degradation-level'!AU15+W14*'Area(ha)-by-degradation-level'!AV15+AI14*'Area(ha)-by-degradation-level'!AW15</f>
        <v>0</v>
      </c>
      <c r="AV14" s="316">
        <f>L14*'Area(ha)-by-degradation-level'!AY15+X14*'Area(ha)-by-degradation-level'!AZ15+AJ14*'Area(ha)-by-degradation-level'!BA15</f>
        <v>0</v>
      </c>
      <c r="AW14" s="316" t="e">
        <f>SUMPRODUCT(AM14:AR14,'Area&amp;production data'!$F15:$K15)/'Area&amp;production data'!$Q15</f>
        <v>#DIV/0!</v>
      </c>
      <c r="AX14" s="316" t="e">
        <f>SUMPRODUCT(AM14:AV14,'Soil-errosion1'!C15:L15)/'Soil-errosion1'!M15</f>
        <v>#DIV/0!</v>
      </c>
      <c r="AY14" s="41" t="e">
        <f t="shared" si="0"/>
        <v>#DIV/0!</v>
      </c>
    </row>
    <row r="15" spans="1:51" x14ac:dyDescent="0.25">
      <c r="A15" s="13">
        <v>12</v>
      </c>
      <c r="B15" s="13" t="s">
        <v>150</v>
      </c>
      <c r="C15" s="215">
        <f>'Soil-errosion1'!C79</f>
        <v>0</v>
      </c>
      <c r="D15" s="215">
        <f>'Soil-errosion1'!D79</f>
        <v>0</v>
      </c>
      <c r="E15" s="215">
        <f>'Soil-errosion1'!E79</f>
        <v>0</v>
      </c>
      <c r="F15" s="215">
        <f>'Soil-errosion1'!F79</f>
        <v>0</v>
      </c>
      <c r="G15" s="215">
        <f>'Soil-errosion1'!G79</f>
        <v>0</v>
      </c>
      <c r="H15" s="215">
        <f>'Soil-errosion1'!H79</f>
        <v>0</v>
      </c>
      <c r="I15" s="215">
        <f>'Soil-errosion1'!I79</f>
        <v>0</v>
      </c>
      <c r="J15" s="215">
        <f>'Soil-errosion1'!J79</f>
        <v>0</v>
      </c>
      <c r="K15" s="215">
        <f>'Soil-errosion1'!K79</f>
        <v>0</v>
      </c>
      <c r="L15" s="215">
        <f>'Soil-errosion1'!L79</f>
        <v>0</v>
      </c>
      <c r="M15" s="215" t="e">
        <f>SUMPRODUCT(C15:H15,'Area&amp;production data'!$F16:$K16)/'Area&amp;production data'!$Q16</f>
        <v>#DIV/0!</v>
      </c>
      <c r="N15" s="215" t="e">
        <f>'Soil-errosion1'!M79</f>
        <v>#DIV/0!</v>
      </c>
      <c r="O15" s="215">
        <f>'Soil-errosion1'!N79</f>
        <v>0</v>
      </c>
      <c r="P15" s="215">
        <f>'Soil-errosion1'!O79</f>
        <v>0</v>
      </c>
      <c r="Q15" s="215">
        <f>'Soil-errosion1'!P79</f>
        <v>0</v>
      </c>
      <c r="R15" s="215">
        <f>'Soil-errosion1'!Q79</f>
        <v>0</v>
      </c>
      <c r="S15" s="215">
        <f>'Soil-errosion1'!R79</f>
        <v>0</v>
      </c>
      <c r="T15" s="215">
        <f>'Soil-errosion1'!S79</f>
        <v>0</v>
      </c>
      <c r="U15" s="215">
        <f>'Soil-errosion1'!T79</f>
        <v>0</v>
      </c>
      <c r="V15" s="215">
        <f>'Soil-errosion1'!U79</f>
        <v>0</v>
      </c>
      <c r="W15" s="215">
        <f>'Soil-errosion1'!V79</f>
        <v>0</v>
      </c>
      <c r="X15" s="215">
        <f>'Soil-errosion1'!W79</f>
        <v>0</v>
      </c>
      <c r="Y15" s="215" t="e">
        <f>SUMPRODUCT(O15:T15,'Area&amp;production data'!$F16:$K16)/'Area&amp;production data'!$Q16</f>
        <v>#DIV/0!</v>
      </c>
      <c r="Z15" s="215" t="e">
        <f>SUMPRODUCT(O15:X15,'Soil-errosion1'!C16:L16)/'Soil-errosion1'!M16</f>
        <v>#DIV/0!</v>
      </c>
      <c r="AA15" s="215">
        <f>'Soil-errosion1'!Y79</f>
        <v>0</v>
      </c>
      <c r="AB15" s="215">
        <f>'Soil-errosion1'!Z79</f>
        <v>0</v>
      </c>
      <c r="AC15" s="215">
        <f>'Soil-errosion1'!AA79</f>
        <v>0</v>
      </c>
      <c r="AD15" s="215">
        <f>'Soil-errosion1'!AB79</f>
        <v>0</v>
      </c>
      <c r="AE15" s="215">
        <f>'Soil-errosion1'!AC79</f>
        <v>0</v>
      </c>
      <c r="AF15" s="215">
        <f>'Soil-errosion1'!AD79</f>
        <v>0</v>
      </c>
      <c r="AG15" s="215">
        <f>'Soil-errosion1'!AE79</f>
        <v>0</v>
      </c>
      <c r="AH15" s="215">
        <f>'Soil-errosion1'!AF79</f>
        <v>0</v>
      </c>
      <c r="AI15" s="215">
        <f>'Soil-errosion1'!AG79</f>
        <v>0</v>
      </c>
      <c r="AJ15" s="215">
        <f>'Soil-errosion1'!AH79</f>
        <v>0</v>
      </c>
      <c r="AK15" s="215" t="e">
        <f>SUMPRODUCT(AA15:AF15,'Area&amp;production data'!$F16:$K16)/'Area&amp;production data'!$Q16</f>
        <v>#DIV/0!</v>
      </c>
      <c r="AL15" s="215" t="e">
        <f>SUMPRODUCT(AA15:AJ15,'Soil-errosion1'!C16:L16)/'Soil-errosion1'!M16</f>
        <v>#DIV/0!</v>
      </c>
      <c r="AM15" s="316">
        <f>C15*'Area(ha)-by-degradation-level'!O16+O15*'Area(ha)-by-degradation-level'!P16+AA15*'Area(ha)-by-degradation-level'!Q16</f>
        <v>0</v>
      </c>
      <c r="AN15" s="316">
        <f>D15*'Area(ha)-by-degradation-level'!S16+P15*'Area(ha)-by-degradation-level'!T16+AB15*'Area(ha)-by-degradation-level'!U16</f>
        <v>0</v>
      </c>
      <c r="AO15" s="316">
        <f>E15*'Area(ha)-by-degradation-level'!W16+Q15*'Area(ha)-by-degradation-level'!X16+AC15*'Area(ha)-by-degradation-level'!Y16</f>
        <v>0</v>
      </c>
      <c r="AP15" s="316">
        <f>F15*'Area(ha)-by-degradation-level'!AA16+R15*'Area(ha)-by-degradation-level'!AB16+AD15*'Area(ha)-by-degradation-level'!AC16</f>
        <v>0</v>
      </c>
      <c r="AQ15" s="316">
        <f>G15*'Area(ha)-by-degradation-level'!AE16+S15*'Area(ha)-by-degradation-level'!AF16+AE15*'Area(ha)-by-degradation-level'!AG16</f>
        <v>0</v>
      </c>
      <c r="AR15" s="316">
        <f>H15*'Area(ha)-by-degradation-level'!AI16+T15*'Area(ha)-by-degradation-level'!AJ16+AF15*'Area(ha)-by-degradation-level'!AK16</f>
        <v>0</v>
      </c>
      <c r="AS15" s="316">
        <f>I15*'Area(ha)-by-degradation-level'!AM16+U15*'Area(ha)-by-degradation-level'!AN16+AG15*'Area(ha)-by-degradation-level'!AO16</f>
        <v>0</v>
      </c>
      <c r="AT15" s="316">
        <f>J15*'Area(ha)-by-degradation-level'!AQ16+V15*'Area(ha)-by-degradation-level'!AR16+AH15*'Area(ha)-by-degradation-level'!AS16</f>
        <v>0</v>
      </c>
      <c r="AU15" s="316">
        <f>K15*'Area(ha)-by-degradation-level'!AU16+W15*'Area(ha)-by-degradation-level'!AV16+AI15*'Area(ha)-by-degradation-level'!AW16</f>
        <v>0</v>
      </c>
      <c r="AV15" s="316">
        <f>L15*'Area(ha)-by-degradation-level'!AY16+X15*'Area(ha)-by-degradation-level'!AZ16+AJ15*'Area(ha)-by-degradation-level'!BA16</f>
        <v>0</v>
      </c>
      <c r="AW15" s="316" t="e">
        <f>SUMPRODUCT(AM15:AR15,'Area&amp;production data'!$F16:$K16)/'Area&amp;production data'!$Q16</f>
        <v>#DIV/0!</v>
      </c>
      <c r="AX15" s="316" t="e">
        <f>SUMPRODUCT(AM15:AV15,'Soil-errosion1'!C16:L16)/'Soil-errosion1'!M16</f>
        <v>#DIV/0!</v>
      </c>
      <c r="AY15" s="41" t="e">
        <f t="shared" si="0"/>
        <v>#DIV/0!</v>
      </c>
    </row>
    <row r="16" spans="1:51" x14ac:dyDescent="0.25">
      <c r="A16" s="13">
        <v>13</v>
      </c>
      <c r="B16" s="13" t="s">
        <v>151</v>
      </c>
      <c r="C16" s="215">
        <f>'Soil-errosion1'!C80</f>
        <v>0</v>
      </c>
      <c r="D16" s="215">
        <f>'Soil-errosion1'!D80</f>
        <v>0</v>
      </c>
      <c r="E16" s="215">
        <f>'Soil-errosion1'!E80</f>
        <v>0</v>
      </c>
      <c r="F16" s="215">
        <f>'Soil-errosion1'!F80</f>
        <v>0</v>
      </c>
      <c r="G16" s="215">
        <f>'Soil-errosion1'!G80</f>
        <v>0</v>
      </c>
      <c r="H16" s="215">
        <f>'Soil-errosion1'!H80</f>
        <v>0</v>
      </c>
      <c r="I16" s="215">
        <f>'Soil-errosion1'!I80</f>
        <v>0</v>
      </c>
      <c r="J16" s="215">
        <f>'Soil-errosion1'!J80</f>
        <v>0</v>
      </c>
      <c r="K16" s="215">
        <f>'Soil-errosion1'!K80</f>
        <v>0</v>
      </c>
      <c r="L16" s="215">
        <f>'Soil-errosion1'!L80</f>
        <v>0</v>
      </c>
      <c r="M16" s="215" t="e">
        <f>SUMPRODUCT(C16:H16,'Area&amp;production data'!$F17:$K17)/'Area&amp;production data'!$Q17</f>
        <v>#DIV/0!</v>
      </c>
      <c r="N16" s="215" t="e">
        <f>'Soil-errosion1'!M80</f>
        <v>#DIV/0!</v>
      </c>
      <c r="O16" s="215">
        <f>'Soil-errosion1'!N80</f>
        <v>0</v>
      </c>
      <c r="P16" s="215">
        <f>'Soil-errosion1'!O80</f>
        <v>0</v>
      </c>
      <c r="Q16" s="215">
        <f>'Soil-errosion1'!P80</f>
        <v>0</v>
      </c>
      <c r="R16" s="215">
        <f>'Soil-errosion1'!Q80</f>
        <v>0</v>
      </c>
      <c r="S16" s="215">
        <f>'Soil-errosion1'!R80</f>
        <v>0</v>
      </c>
      <c r="T16" s="215">
        <f>'Soil-errosion1'!S80</f>
        <v>0</v>
      </c>
      <c r="U16" s="215">
        <f>'Soil-errosion1'!T80</f>
        <v>0</v>
      </c>
      <c r="V16" s="215">
        <f>'Soil-errosion1'!U80</f>
        <v>0</v>
      </c>
      <c r="W16" s="215">
        <f>'Soil-errosion1'!V80</f>
        <v>0</v>
      </c>
      <c r="X16" s="215">
        <f>'Soil-errosion1'!W80</f>
        <v>0</v>
      </c>
      <c r="Y16" s="215" t="e">
        <f>SUMPRODUCT(O16:T16,'Area&amp;production data'!$F17:$K17)/'Area&amp;production data'!$Q17</f>
        <v>#DIV/0!</v>
      </c>
      <c r="Z16" s="215" t="e">
        <f>SUMPRODUCT(O16:X16,'Soil-errosion1'!C17:L17)/'Soil-errosion1'!M17</f>
        <v>#DIV/0!</v>
      </c>
      <c r="AA16" s="215">
        <f>'Soil-errosion1'!Y80</f>
        <v>0</v>
      </c>
      <c r="AB16" s="215">
        <f>'Soil-errosion1'!Z80</f>
        <v>0</v>
      </c>
      <c r="AC16" s="215">
        <f>'Soil-errosion1'!AA80</f>
        <v>0</v>
      </c>
      <c r="AD16" s="215">
        <f>'Soil-errosion1'!AB80</f>
        <v>0</v>
      </c>
      <c r="AE16" s="215">
        <f>'Soil-errosion1'!AC80</f>
        <v>0</v>
      </c>
      <c r="AF16" s="215">
        <f>'Soil-errosion1'!AD80</f>
        <v>0</v>
      </c>
      <c r="AG16" s="215">
        <f>'Soil-errosion1'!AE80</f>
        <v>0</v>
      </c>
      <c r="AH16" s="215">
        <f>'Soil-errosion1'!AF80</f>
        <v>0</v>
      </c>
      <c r="AI16" s="215">
        <f>'Soil-errosion1'!AG80</f>
        <v>0</v>
      </c>
      <c r="AJ16" s="215">
        <f>'Soil-errosion1'!AH80</f>
        <v>0</v>
      </c>
      <c r="AK16" s="215" t="e">
        <f>SUMPRODUCT(AA16:AF16,'Area&amp;production data'!$F17:$K17)/'Area&amp;production data'!$Q17</f>
        <v>#DIV/0!</v>
      </c>
      <c r="AL16" s="215" t="e">
        <f>SUMPRODUCT(AA16:AJ16,'Soil-errosion1'!C17:L17)/'Soil-errosion1'!M17</f>
        <v>#DIV/0!</v>
      </c>
      <c r="AM16" s="316">
        <f>C16*'Area(ha)-by-degradation-level'!O17+O16*'Area(ha)-by-degradation-level'!P17+AA16*'Area(ha)-by-degradation-level'!Q17</f>
        <v>0</v>
      </c>
      <c r="AN16" s="316">
        <f>D16*'Area(ha)-by-degradation-level'!S17+P16*'Area(ha)-by-degradation-level'!T17+AB16*'Area(ha)-by-degradation-level'!U17</f>
        <v>0</v>
      </c>
      <c r="AO16" s="316">
        <f>E16*'Area(ha)-by-degradation-level'!W17+Q16*'Area(ha)-by-degradation-level'!X17+AC16*'Area(ha)-by-degradation-level'!Y17</f>
        <v>0</v>
      </c>
      <c r="AP16" s="316">
        <f>F16*'Area(ha)-by-degradation-level'!AA17+R16*'Area(ha)-by-degradation-level'!AB17+AD16*'Area(ha)-by-degradation-level'!AC17</f>
        <v>0</v>
      </c>
      <c r="AQ16" s="316">
        <f>G16*'Area(ha)-by-degradation-level'!AE17+S16*'Area(ha)-by-degradation-level'!AF17+AE16*'Area(ha)-by-degradation-level'!AG17</f>
        <v>0</v>
      </c>
      <c r="AR16" s="316">
        <f>H16*'Area(ha)-by-degradation-level'!AI17+T16*'Area(ha)-by-degradation-level'!AJ17+AF16*'Area(ha)-by-degradation-level'!AK17</f>
        <v>0</v>
      </c>
      <c r="AS16" s="316">
        <f>I16*'Area(ha)-by-degradation-level'!AM17+U16*'Area(ha)-by-degradation-level'!AN17+AG16*'Area(ha)-by-degradation-level'!AO17</f>
        <v>0</v>
      </c>
      <c r="AT16" s="316">
        <f>J16*'Area(ha)-by-degradation-level'!AQ17+V16*'Area(ha)-by-degradation-level'!AR17+AH16*'Area(ha)-by-degradation-level'!AS17</f>
        <v>0</v>
      </c>
      <c r="AU16" s="316">
        <f>K16*'Area(ha)-by-degradation-level'!AU17+W16*'Area(ha)-by-degradation-level'!AV17+AI16*'Area(ha)-by-degradation-level'!AW17</f>
        <v>0</v>
      </c>
      <c r="AV16" s="316">
        <f>L16*'Area(ha)-by-degradation-level'!AY17+X16*'Area(ha)-by-degradation-level'!AZ17+AJ16*'Area(ha)-by-degradation-level'!BA17</f>
        <v>0</v>
      </c>
      <c r="AW16" s="316" t="e">
        <f>SUMPRODUCT(AM16:AR16,'Area&amp;production data'!$F17:$K17)/'Area&amp;production data'!$Q17</f>
        <v>#DIV/0!</v>
      </c>
      <c r="AX16" s="316" t="e">
        <f>SUMPRODUCT(AM16:AV16,'Soil-errosion1'!C17:L17)/'Soil-errosion1'!M17</f>
        <v>#DIV/0!</v>
      </c>
      <c r="AY16" s="41" t="e">
        <f t="shared" si="0"/>
        <v>#DIV/0!</v>
      </c>
    </row>
    <row r="17" spans="1:62" x14ac:dyDescent="0.25">
      <c r="A17" s="13">
        <v>14</v>
      </c>
      <c r="B17" s="13" t="s">
        <v>152</v>
      </c>
      <c r="C17" s="215">
        <f>'Soil-errosion1'!C81</f>
        <v>0</v>
      </c>
      <c r="D17" s="215">
        <f>'Soil-errosion1'!D81</f>
        <v>0</v>
      </c>
      <c r="E17" s="215">
        <f>'Soil-errosion1'!E81</f>
        <v>0</v>
      </c>
      <c r="F17" s="215">
        <f>'Soil-errosion1'!F81</f>
        <v>0</v>
      </c>
      <c r="G17" s="215">
        <f>'Soil-errosion1'!G81</f>
        <v>0</v>
      </c>
      <c r="H17" s="215">
        <f>'Soil-errosion1'!H81</f>
        <v>0</v>
      </c>
      <c r="I17" s="215">
        <f>'Soil-errosion1'!I81</f>
        <v>0</v>
      </c>
      <c r="J17" s="215">
        <f>'Soil-errosion1'!J81</f>
        <v>0</v>
      </c>
      <c r="K17" s="215">
        <f>'Soil-errosion1'!K81</f>
        <v>0</v>
      </c>
      <c r="L17" s="215">
        <f>'Soil-errosion1'!L81</f>
        <v>0</v>
      </c>
      <c r="M17" s="215" t="e">
        <f>SUMPRODUCT(C17:H17,'Area&amp;production data'!$F18:$K18)/'Area&amp;production data'!$Q18</f>
        <v>#DIV/0!</v>
      </c>
      <c r="N17" s="215" t="e">
        <f>'Soil-errosion1'!M81</f>
        <v>#DIV/0!</v>
      </c>
      <c r="O17" s="215">
        <f>'Soil-errosion1'!N81</f>
        <v>0</v>
      </c>
      <c r="P17" s="215">
        <f>'Soil-errosion1'!O81</f>
        <v>0</v>
      </c>
      <c r="Q17" s="215">
        <f>'Soil-errosion1'!P81</f>
        <v>0</v>
      </c>
      <c r="R17" s="215">
        <f>'Soil-errosion1'!Q81</f>
        <v>0</v>
      </c>
      <c r="S17" s="215">
        <f>'Soil-errosion1'!R81</f>
        <v>0</v>
      </c>
      <c r="T17" s="215">
        <f>'Soil-errosion1'!S81</f>
        <v>0</v>
      </c>
      <c r="U17" s="215">
        <f>'Soil-errosion1'!T81</f>
        <v>0</v>
      </c>
      <c r="V17" s="215">
        <f>'Soil-errosion1'!U81</f>
        <v>0</v>
      </c>
      <c r="W17" s="215">
        <f>'Soil-errosion1'!V81</f>
        <v>0</v>
      </c>
      <c r="X17" s="215">
        <f>'Soil-errosion1'!W81</f>
        <v>0</v>
      </c>
      <c r="Y17" s="215" t="e">
        <f>SUMPRODUCT(O17:T17,'Area&amp;production data'!$F18:$K18)/'Area&amp;production data'!$Q18</f>
        <v>#DIV/0!</v>
      </c>
      <c r="Z17" s="215" t="e">
        <f>SUMPRODUCT(O17:X17,'Soil-errosion1'!C18:L18)/'Soil-errosion1'!M18</f>
        <v>#DIV/0!</v>
      </c>
      <c r="AA17" s="215">
        <f>'Soil-errosion1'!Y81</f>
        <v>0</v>
      </c>
      <c r="AB17" s="215">
        <f>'Soil-errosion1'!Z81</f>
        <v>0</v>
      </c>
      <c r="AC17" s="215">
        <f>'Soil-errosion1'!AA81</f>
        <v>0</v>
      </c>
      <c r="AD17" s="215">
        <f>'Soil-errosion1'!AB81</f>
        <v>0</v>
      </c>
      <c r="AE17" s="215">
        <f>'Soil-errosion1'!AC81</f>
        <v>0</v>
      </c>
      <c r="AF17" s="215">
        <f>'Soil-errosion1'!AD81</f>
        <v>0</v>
      </c>
      <c r="AG17" s="215">
        <f>'Soil-errosion1'!AE81</f>
        <v>0</v>
      </c>
      <c r="AH17" s="215">
        <f>'Soil-errosion1'!AF81</f>
        <v>0</v>
      </c>
      <c r="AI17" s="215">
        <f>'Soil-errosion1'!AG81</f>
        <v>0</v>
      </c>
      <c r="AJ17" s="215">
        <f>'Soil-errosion1'!AH81</f>
        <v>0</v>
      </c>
      <c r="AK17" s="215" t="e">
        <f>SUMPRODUCT(AA17:AF17,'Area&amp;production data'!$F18:$K18)/'Area&amp;production data'!$Q18</f>
        <v>#DIV/0!</v>
      </c>
      <c r="AL17" s="215" t="e">
        <f>SUMPRODUCT(AA17:AJ17,'Soil-errosion1'!C18:L18)/'Soil-errosion1'!M18</f>
        <v>#DIV/0!</v>
      </c>
      <c r="AM17" s="316">
        <f>C17*'Area(ha)-by-degradation-level'!O18+O17*'Area(ha)-by-degradation-level'!P18+AA17*'Area(ha)-by-degradation-level'!Q18</f>
        <v>0</v>
      </c>
      <c r="AN17" s="316">
        <f>D17*'Area(ha)-by-degradation-level'!S18+P17*'Area(ha)-by-degradation-level'!T18+AB17*'Area(ha)-by-degradation-level'!U18</f>
        <v>0</v>
      </c>
      <c r="AO17" s="316">
        <f>E17*'Area(ha)-by-degradation-level'!W18+Q17*'Area(ha)-by-degradation-level'!X18+AC17*'Area(ha)-by-degradation-level'!Y18</f>
        <v>0</v>
      </c>
      <c r="AP17" s="316">
        <f>F17*'Area(ha)-by-degradation-level'!AA18+R17*'Area(ha)-by-degradation-level'!AB18+AD17*'Area(ha)-by-degradation-level'!AC18</f>
        <v>0</v>
      </c>
      <c r="AQ17" s="316">
        <f>G17*'Area(ha)-by-degradation-level'!AE18+S17*'Area(ha)-by-degradation-level'!AF18+AE17*'Area(ha)-by-degradation-level'!AG18</f>
        <v>0</v>
      </c>
      <c r="AR17" s="316">
        <f>H17*'Area(ha)-by-degradation-level'!AI18+T17*'Area(ha)-by-degradation-level'!AJ18+AF17*'Area(ha)-by-degradation-level'!AK18</f>
        <v>0</v>
      </c>
      <c r="AS17" s="316">
        <f>I17*'Area(ha)-by-degradation-level'!AM18+U17*'Area(ha)-by-degradation-level'!AN18+AG17*'Area(ha)-by-degradation-level'!AO18</f>
        <v>0</v>
      </c>
      <c r="AT17" s="316">
        <f>J17*'Area(ha)-by-degradation-level'!AQ18+V17*'Area(ha)-by-degradation-level'!AR18+AH17*'Area(ha)-by-degradation-level'!AS18</f>
        <v>0</v>
      </c>
      <c r="AU17" s="316">
        <f>K17*'Area(ha)-by-degradation-level'!AU18+W17*'Area(ha)-by-degradation-level'!AV18+AI17*'Area(ha)-by-degradation-level'!AW18</f>
        <v>0</v>
      </c>
      <c r="AV17" s="316">
        <f>L17*'Area(ha)-by-degradation-level'!AY18+X17*'Area(ha)-by-degradation-level'!AZ18+AJ17*'Area(ha)-by-degradation-level'!BA18</f>
        <v>0</v>
      </c>
      <c r="AW17" s="316" t="e">
        <f>SUMPRODUCT(AM17:AR17,'Area&amp;production data'!$F18:$K18)/'Area&amp;production data'!$Q18</f>
        <v>#DIV/0!</v>
      </c>
      <c r="AX17" s="316" t="e">
        <f>SUMPRODUCT(AM17:AV17,'Soil-errosion1'!C18:L18)/'Soil-errosion1'!M18</f>
        <v>#DIV/0!</v>
      </c>
      <c r="AY17" s="41" t="e">
        <f t="shared" si="0"/>
        <v>#DIV/0!</v>
      </c>
    </row>
    <row r="18" spans="1:62" x14ac:dyDescent="0.25">
      <c r="A18" s="13">
        <v>15</v>
      </c>
      <c r="B18" s="13" t="s">
        <v>153</v>
      </c>
      <c r="C18" s="215">
        <f>'Soil-errosion1'!C82</f>
        <v>0</v>
      </c>
      <c r="D18" s="215">
        <f>'Soil-errosion1'!D82</f>
        <v>0</v>
      </c>
      <c r="E18" s="215">
        <f>'Soil-errosion1'!E82</f>
        <v>0</v>
      </c>
      <c r="F18" s="215">
        <f>'Soil-errosion1'!F82</f>
        <v>0</v>
      </c>
      <c r="G18" s="215">
        <f>'Soil-errosion1'!G82</f>
        <v>0</v>
      </c>
      <c r="H18" s="215">
        <f>'Soil-errosion1'!H82</f>
        <v>0</v>
      </c>
      <c r="I18" s="215">
        <f>'Soil-errosion1'!I82</f>
        <v>0</v>
      </c>
      <c r="J18" s="215">
        <f>'Soil-errosion1'!J82</f>
        <v>0</v>
      </c>
      <c r="K18" s="215">
        <f>'Soil-errosion1'!K82</f>
        <v>0</v>
      </c>
      <c r="L18" s="215">
        <f>'Soil-errosion1'!L82</f>
        <v>0</v>
      </c>
      <c r="M18" s="215" t="e">
        <f>SUMPRODUCT(C18:H18,'Area&amp;production data'!$F19:$K19)/'Area&amp;production data'!$Q19</f>
        <v>#DIV/0!</v>
      </c>
      <c r="N18" s="215" t="e">
        <f>'Soil-errosion1'!M82</f>
        <v>#DIV/0!</v>
      </c>
      <c r="O18" s="215">
        <f>'Soil-errosion1'!N82</f>
        <v>0</v>
      </c>
      <c r="P18" s="215">
        <f>'Soil-errosion1'!O82</f>
        <v>0</v>
      </c>
      <c r="Q18" s="215">
        <f>'Soil-errosion1'!P82</f>
        <v>0</v>
      </c>
      <c r="R18" s="215">
        <f>'Soil-errosion1'!Q82</f>
        <v>0</v>
      </c>
      <c r="S18" s="215">
        <f>'Soil-errosion1'!R82</f>
        <v>0</v>
      </c>
      <c r="T18" s="215">
        <f>'Soil-errosion1'!S82</f>
        <v>0</v>
      </c>
      <c r="U18" s="215">
        <f>'Soil-errosion1'!T82</f>
        <v>0</v>
      </c>
      <c r="V18" s="215">
        <f>'Soil-errosion1'!U82</f>
        <v>0</v>
      </c>
      <c r="W18" s="215">
        <f>'Soil-errosion1'!V82</f>
        <v>0</v>
      </c>
      <c r="X18" s="215">
        <f>'Soil-errosion1'!W82</f>
        <v>0</v>
      </c>
      <c r="Y18" s="215" t="e">
        <f>SUMPRODUCT(O18:T18,'Area&amp;production data'!$F19:$K19)/'Area&amp;production data'!$Q19</f>
        <v>#DIV/0!</v>
      </c>
      <c r="Z18" s="215" t="e">
        <f>SUMPRODUCT(O18:X18,'Soil-errosion1'!C19:L19)/'Soil-errosion1'!M19</f>
        <v>#DIV/0!</v>
      </c>
      <c r="AA18" s="215">
        <f>'Soil-errosion1'!Y82</f>
        <v>0</v>
      </c>
      <c r="AB18" s="215">
        <f>'Soil-errosion1'!Z82</f>
        <v>0</v>
      </c>
      <c r="AC18" s="215">
        <f>'Soil-errosion1'!AA82</f>
        <v>0</v>
      </c>
      <c r="AD18" s="215">
        <f>'Soil-errosion1'!AB82</f>
        <v>0</v>
      </c>
      <c r="AE18" s="215">
        <f>'Soil-errosion1'!AC82</f>
        <v>0</v>
      </c>
      <c r="AF18" s="215">
        <f>'Soil-errosion1'!AD82</f>
        <v>0</v>
      </c>
      <c r="AG18" s="215">
        <f>'Soil-errosion1'!AE82</f>
        <v>0</v>
      </c>
      <c r="AH18" s="215">
        <f>'Soil-errosion1'!AF82</f>
        <v>0</v>
      </c>
      <c r="AI18" s="215">
        <f>'Soil-errosion1'!AG82</f>
        <v>0</v>
      </c>
      <c r="AJ18" s="215">
        <f>'Soil-errosion1'!AH82</f>
        <v>0</v>
      </c>
      <c r="AK18" s="215" t="e">
        <f>SUMPRODUCT(AA18:AF18,'Area&amp;production data'!$F19:$K19)/'Area&amp;production data'!$Q19</f>
        <v>#DIV/0!</v>
      </c>
      <c r="AL18" s="215" t="e">
        <f>SUMPRODUCT(AA18:AJ18,'Soil-errosion1'!C19:L19)/'Soil-errosion1'!M19</f>
        <v>#DIV/0!</v>
      </c>
      <c r="AM18" s="316">
        <f>C18*'Area(ha)-by-degradation-level'!O19+O18*'Area(ha)-by-degradation-level'!P19+AA18*'Area(ha)-by-degradation-level'!Q19</f>
        <v>0</v>
      </c>
      <c r="AN18" s="316">
        <f>D18*'Area(ha)-by-degradation-level'!S19+P18*'Area(ha)-by-degradation-level'!T19+AB18*'Area(ha)-by-degradation-level'!U19</f>
        <v>0</v>
      </c>
      <c r="AO18" s="316">
        <f>E18*'Area(ha)-by-degradation-level'!W19+Q18*'Area(ha)-by-degradation-level'!X19+AC18*'Area(ha)-by-degradation-level'!Y19</f>
        <v>0</v>
      </c>
      <c r="AP18" s="316">
        <f>F18*'Area(ha)-by-degradation-level'!AA19+R18*'Area(ha)-by-degradation-level'!AB19+AD18*'Area(ha)-by-degradation-level'!AC19</f>
        <v>0</v>
      </c>
      <c r="AQ18" s="316">
        <f>G18*'Area(ha)-by-degradation-level'!AE19+S18*'Area(ha)-by-degradation-level'!AF19+AE18*'Area(ha)-by-degradation-level'!AG19</f>
        <v>0</v>
      </c>
      <c r="AR18" s="316">
        <f>H18*'Area(ha)-by-degradation-level'!AI19+T18*'Area(ha)-by-degradation-level'!AJ19+AF18*'Area(ha)-by-degradation-level'!AK19</f>
        <v>0</v>
      </c>
      <c r="AS18" s="316">
        <f>I18*'Area(ha)-by-degradation-level'!AM19+U18*'Area(ha)-by-degradation-level'!AN19+AG18*'Area(ha)-by-degradation-level'!AO19</f>
        <v>0</v>
      </c>
      <c r="AT18" s="316">
        <f>J18*'Area(ha)-by-degradation-level'!AQ19+V18*'Area(ha)-by-degradation-level'!AR19+AH18*'Area(ha)-by-degradation-level'!AS19</f>
        <v>0</v>
      </c>
      <c r="AU18" s="316">
        <f>K18*'Area(ha)-by-degradation-level'!AU19+W18*'Area(ha)-by-degradation-level'!AV19+AI18*'Area(ha)-by-degradation-level'!AW19</f>
        <v>0</v>
      </c>
      <c r="AV18" s="316">
        <f>L18*'Area(ha)-by-degradation-level'!AY19+X18*'Area(ha)-by-degradation-level'!AZ19+AJ18*'Area(ha)-by-degradation-level'!BA19</f>
        <v>0</v>
      </c>
      <c r="AW18" s="316" t="e">
        <f>SUMPRODUCT(AM18:AR18,'Area&amp;production data'!$F19:$K19)/'Area&amp;production data'!$Q19</f>
        <v>#DIV/0!</v>
      </c>
      <c r="AX18" s="316" t="e">
        <f>SUMPRODUCT(AM18:AV18,'Soil-errosion1'!C19:L19)/'Soil-errosion1'!M19</f>
        <v>#DIV/0!</v>
      </c>
      <c r="AY18" s="41" t="e">
        <f t="shared" si="0"/>
        <v>#DIV/0!</v>
      </c>
    </row>
    <row r="19" spans="1:62" x14ac:dyDescent="0.25">
      <c r="A19" s="13">
        <v>16</v>
      </c>
      <c r="B19" s="13" t="s">
        <v>154</v>
      </c>
      <c r="C19" s="215">
        <f>'Soil-errosion1'!C83</f>
        <v>0</v>
      </c>
      <c r="D19" s="215">
        <f>'Soil-errosion1'!D83</f>
        <v>0</v>
      </c>
      <c r="E19" s="215">
        <f>'Soil-errosion1'!E83</f>
        <v>0</v>
      </c>
      <c r="F19" s="215">
        <f>'Soil-errosion1'!F83</f>
        <v>0</v>
      </c>
      <c r="G19" s="215">
        <f>'Soil-errosion1'!G83</f>
        <v>0</v>
      </c>
      <c r="H19" s="215">
        <f>'Soil-errosion1'!H83</f>
        <v>0</v>
      </c>
      <c r="I19" s="215">
        <f>'Soil-errosion1'!I83</f>
        <v>0</v>
      </c>
      <c r="J19" s="215">
        <f>'Soil-errosion1'!J83</f>
        <v>0</v>
      </c>
      <c r="K19" s="215">
        <f>'Soil-errosion1'!K83</f>
        <v>0</v>
      </c>
      <c r="L19" s="215">
        <f>'Soil-errosion1'!L83</f>
        <v>0</v>
      </c>
      <c r="M19" s="215" t="e">
        <f>SUMPRODUCT(C19:H19,'Area&amp;production data'!$F20:$K20)/'Area&amp;production data'!$Q20</f>
        <v>#DIV/0!</v>
      </c>
      <c r="N19" s="215" t="e">
        <f>'Soil-errosion1'!M83</f>
        <v>#DIV/0!</v>
      </c>
      <c r="O19" s="215">
        <f>'Soil-errosion1'!N83</f>
        <v>0</v>
      </c>
      <c r="P19" s="215">
        <f>'Soil-errosion1'!O83</f>
        <v>0</v>
      </c>
      <c r="Q19" s="215">
        <f>'Soil-errosion1'!P83</f>
        <v>0</v>
      </c>
      <c r="R19" s="215">
        <f>'Soil-errosion1'!Q83</f>
        <v>0</v>
      </c>
      <c r="S19" s="215">
        <f>'Soil-errosion1'!R83</f>
        <v>0</v>
      </c>
      <c r="T19" s="215">
        <f>'Soil-errosion1'!S83</f>
        <v>0</v>
      </c>
      <c r="U19" s="215">
        <f>'Soil-errosion1'!T83</f>
        <v>0</v>
      </c>
      <c r="V19" s="215">
        <f>'Soil-errosion1'!U83</f>
        <v>0</v>
      </c>
      <c r="W19" s="215">
        <f>'Soil-errosion1'!V83</f>
        <v>0</v>
      </c>
      <c r="X19" s="215">
        <f>'Soil-errosion1'!W83</f>
        <v>0</v>
      </c>
      <c r="Y19" s="215" t="e">
        <f>SUMPRODUCT(O19:T19,'Area&amp;production data'!$F20:$K20)/'Area&amp;production data'!$Q20</f>
        <v>#DIV/0!</v>
      </c>
      <c r="Z19" s="215" t="e">
        <f>SUMPRODUCT(O19:X19,'Soil-errosion1'!C20:L20)/'Soil-errosion1'!M20</f>
        <v>#DIV/0!</v>
      </c>
      <c r="AA19" s="215">
        <f>'Soil-errosion1'!Y83</f>
        <v>0</v>
      </c>
      <c r="AB19" s="215">
        <f>'Soil-errosion1'!Z83</f>
        <v>0</v>
      </c>
      <c r="AC19" s="215">
        <f>'Soil-errosion1'!AA83</f>
        <v>0</v>
      </c>
      <c r="AD19" s="215">
        <f>'Soil-errosion1'!AB83</f>
        <v>0</v>
      </c>
      <c r="AE19" s="215">
        <f>'Soil-errosion1'!AC83</f>
        <v>0</v>
      </c>
      <c r="AF19" s="215">
        <f>'Soil-errosion1'!AD83</f>
        <v>0</v>
      </c>
      <c r="AG19" s="215">
        <f>'Soil-errosion1'!AE83</f>
        <v>0</v>
      </c>
      <c r="AH19" s="215">
        <f>'Soil-errosion1'!AF83</f>
        <v>0</v>
      </c>
      <c r="AI19" s="215">
        <f>'Soil-errosion1'!AG83</f>
        <v>0</v>
      </c>
      <c r="AJ19" s="215">
        <f>'Soil-errosion1'!AH83</f>
        <v>0</v>
      </c>
      <c r="AK19" s="215" t="e">
        <f>SUMPRODUCT(AA19:AF19,'Area&amp;production data'!$F20:$K20)/'Area&amp;production data'!$Q20</f>
        <v>#DIV/0!</v>
      </c>
      <c r="AL19" s="215" t="e">
        <f>SUMPRODUCT(AA19:AJ19,'Soil-errosion1'!C20:L20)/'Soil-errosion1'!M20</f>
        <v>#DIV/0!</v>
      </c>
      <c r="AM19" s="316">
        <f>C19*'Area(ha)-by-degradation-level'!O20+O19*'Area(ha)-by-degradation-level'!P20+AA19*'Area(ha)-by-degradation-level'!Q20</f>
        <v>0</v>
      </c>
      <c r="AN19" s="316">
        <f>D19*'Area(ha)-by-degradation-level'!S20+P19*'Area(ha)-by-degradation-level'!T20+AB19*'Area(ha)-by-degradation-level'!U20</f>
        <v>0</v>
      </c>
      <c r="AO19" s="316">
        <f>E19*'Area(ha)-by-degradation-level'!W20+Q19*'Area(ha)-by-degradation-level'!X20+AC19*'Area(ha)-by-degradation-level'!Y20</f>
        <v>0</v>
      </c>
      <c r="AP19" s="316">
        <f>F19*'Area(ha)-by-degradation-level'!AA20+R19*'Area(ha)-by-degradation-level'!AB20+AD19*'Area(ha)-by-degradation-level'!AC20</f>
        <v>0</v>
      </c>
      <c r="AQ19" s="316">
        <f>G19*'Area(ha)-by-degradation-level'!AE20+S19*'Area(ha)-by-degradation-level'!AF20+AE19*'Area(ha)-by-degradation-level'!AG20</f>
        <v>0</v>
      </c>
      <c r="AR19" s="316">
        <f>H19*'Area(ha)-by-degradation-level'!AI20+T19*'Area(ha)-by-degradation-level'!AJ20+AF19*'Area(ha)-by-degradation-level'!AK20</f>
        <v>0</v>
      </c>
      <c r="AS19" s="316">
        <f>I19*'Area(ha)-by-degradation-level'!AM20+U19*'Area(ha)-by-degradation-level'!AN20+AG19*'Area(ha)-by-degradation-level'!AO20</f>
        <v>0</v>
      </c>
      <c r="AT19" s="316">
        <f>J19*'Area(ha)-by-degradation-level'!AQ20+V19*'Area(ha)-by-degradation-level'!AR20+AH19*'Area(ha)-by-degradation-level'!AS20</f>
        <v>0</v>
      </c>
      <c r="AU19" s="316">
        <f>K19*'Area(ha)-by-degradation-level'!AU20+W19*'Area(ha)-by-degradation-level'!AV20+AI19*'Area(ha)-by-degradation-level'!AW20</f>
        <v>0</v>
      </c>
      <c r="AV19" s="316">
        <f>L19*'Area(ha)-by-degradation-level'!AY20+X19*'Area(ha)-by-degradation-level'!AZ20+AJ19*'Area(ha)-by-degradation-level'!BA20</f>
        <v>0</v>
      </c>
      <c r="AW19" s="316" t="e">
        <f>SUMPRODUCT(AM19:AR19,'Area&amp;production data'!$F20:$K20)/'Area&amp;production data'!$Q20</f>
        <v>#DIV/0!</v>
      </c>
      <c r="AX19" s="316" t="e">
        <f>SUMPRODUCT(AM19:AV19,'Soil-errosion1'!C20:L20)/'Soil-errosion1'!M20</f>
        <v>#DIV/0!</v>
      </c>
      <c r="AY19" s="41" t="e">
        <f t="shared" si="0"/>
        <v>#DIV/0!</v>
      </c>
    </row>
    <row r="20" spans="1:62" x14ac:dyDescent="0.25">
      <c r="A20" s="13">
        <v>17</v>
      </c>
      <c r="B20" s="13" t="s">
        <v>155</v>
      </c>
      <c r="C20" s="215">
        <f>'Soil-errosion1'!C84</f>
        <v>0</v>
      </c>
      <c r="D20" s="215">
        <f>'Soil-errosion1'!D84</f>
        <v>0</v>
      </c>
      <c r="E20" s="215">
        <f>'Soil-errosion1'!E84</f>
        <v>0</v>
      </c>
      <c r="F20" s="215">
        <f>'Soil-errosion1'!F84</f>
        <v>0</v>
      </c>
      <c r="G20" s="215">
        <f>'Soil-errosion1'!G84</f>
        <v>0</v>
      </c>
      <c r="H20" s="215">
        <f>'Soil-errosion1'!H84</f>
        <v>0</v>
      </c>
      <c r="I20" s="215">
        <f>'Soil-errosion1'!I84</f>
        <v>0</v>
      </c>
      <c r="J20" s="215">
        <f>'Soil-errosion1'!J84</f>
        <v>0</v>
      </c>
      <c r="K20" s="215">
        <f>'Soil-errosion1'!K84</f>
        <v>0</v>
      </c>
      <c r="L20" s="215">
        <f>'Soil-errosion1'!L84</f>
        <v>0</v>
      </c>
      <c r="M20" s="215" t="e">
        <f>SUMPRODUCT(C20:H20,'Area&amp;production data'!$F21:$K21)/'Area&amp;production data'!$Q21</f>
        <v>#DIV/0!</v>
      </c>
      <c r="N20" s="215" t="e">
        <f>'Soil-errosion1'!M84</f>
        <v>#DIV/0!</v>
      </c>
      <c r="O20" s="215">
        <f>'Soil-errosion1'!N84</f>
        <v>0</v>
      </c>
      <c r="P20" s="215">
        <f>'Soil-errosion1'!O84</f>
        <v>0</v>
      </c>
      <c r="Q20" s="215">
        <f>'Soil-errosion1'!P84</f>
        <v>0</v>
      </c>
      <c r="R20" s="215">
        <f>'Soil-errosion1'!Q84</f>
        <v>0</v>
      </c>
      <c r="S20" s="215">
        <f>'Soil-errosion1'!R84</f>
        <v>0</v>
      </c>
      <c r="T20" s="215">
        <f>'Soil-errosion1'!S84</f>
        <v>0</v>
      </c>
      <c r="U20" s="215">
        <f>'Soil-errosion1'!T84</f>
        <v>0</v>
      </c>
      <c r="V20" s="215">
        <f>'Soil-errosion1'!U84</f>
        <v>0</v>
      </c>
      <c r="W20" s="215">
        <f>'Soil-errosion1'!V84</f>
        <v>0</v>
      </c>
      <c r="X20" s="215">
        <f>'Soil-errosion1'!W84</f>
        <v>0</v>
      </c>
      <c r="Y20" s="215" t="e">
        <f>SUMPRODUCT(O20:T20,'Area&amp;production data'!$F21:$K21)/'Area&amp;production data'!$Q21</f>
        <v>#DIV/0!</v>
      </c>
      <c r="Z20" s="215" t="e">
        <f>SUMPRODUCT(O20:X20,'Soil-errosion1'!C21:L21)/'Soil-errosion1'!M21</f>
        <v>#DIV/0!</v>
      </c>
      <c r="AA20" s="215">
        <f>'Soil-errosion1'!Y84</f>
        <v>0</v>
      </c>
      <c r="AB20" s="215">
        <f>'Soil-errosion1'!Z84</f>
        <v>0</v>
      </c>
      <c r="AC20" s="215">
        <f>'Soil-errosion1'!AA84</f>
        <v>0</v>
      </c>
      <c r="AD20" s="215">
        <f>'Soil-errosion1'!AB84</f>
        <v>0</v>
      </c>
      <c r="AE20" s="215">
        <f>'Soil-errosion1'!AC84</f>
        <v>0</v>
      </c>
      <c r="AF20" s="215">
        <f>'Soil-errosion1'!AD84</f>
        <v>0</v>
      </c>
      <c r="AG20" s="215">
        <f>'Soil-errosion1'!AE84</f>
        <v>0</v>
      </c>
      <c r="AH20" s="215">
        <f>'Soil-errosion1'!AF84</f>
        <v>0</v>
      </c>
      <c r="AI20" s="215">
        <f>'Soil-errosion1'!AG84</f>
        <v>0</v>
      </c>
      <c r="AJ20" s="215">
        <f>'Soil-errosion1'!AH84</f>
        <v>0</v>
      </c>
      <c r="AK20" s="215" t="e">
        <f>SUMPRODUCT(AA20:AF20,'Area&amp;production data'!$F21:$K21)/'Area&amp;production data'!$Q21</f>
        <v>#DIV/0!</v>
      </c>
      <c r="AL20" s="215" t="e">
        <f>SUMPRODUCT(AA20:AJ20,'Soil-errosion1'!C21:L21)/'Soil-errosion1'!M21</f>
        <v>#DIV/0!</v>
      </c>
      <c r="AM20" s="316">
        <f>C20*'Area(ha)-by-degradation-level'!O21+O20*'Area(ha)-by-degradation-level'!P21+AA20*'Area(ha)-by-degradation-level'!Q21</f>
        <v>0</v>
      </c>
      <c r="AN20" s="316">
        <f>D20*'Area(ha)-by-degradation-level'!S21+P20*'Area(ha)-by-degradation-level'!T21+AB20*'Area(ha)-by-degradation-level'!U21</f>
        <v>0</v>
      </c>
      <c r="AO20" s="316">
        <f>E20*'Area(ha)-by-degradation-level'!W21+Q20*'Area(ha)-by-degradation-level'!X21+AC20*'Area(ha)-by-degradation-level'!Y21</f>
        <v>0</v>
      </c>
      <c r="AP20" s="316">
        <f>F20*'Area(ha)-by-degradation-level'!AA21+R20*'Area(ha)-by-degradation-level'!AB21+AD20*'Area(ha)-by-degradation-level'!AC21</f>
        <v>0</v>
      </c>
      <c r="AQ20" s="316">
        <f>G20*'Area(ha)-by-degradation-level'!AE21+S20*'Area(ha)-by-degradation-level'!AF21+AE20*'Area(ha)-by-degradation-level'!AG21</f>
        <v>0</v>
      </c>
      <c r="AR20" s="316">
        <f>H20*'Area(ha)-by-degradation-level'!AI21+T20*'Area(ha)-by-degradation-level'!AJ21+AF20*'Area(ha)-by-degradation-level'!AK21</f>
        <v>0</v>
      </c>
      <c r="AS20" s="316">
        <f>I20*'Area(ha)-by-degradation-level'!AM21+U20*'Area(ha)-by-degradation-level'!AN21+AG20*'Area(ha)-by-degradation-level'!AO21</f>
        <v>0</v>
      </c>
      <c r="AT20" s="316">
        <f>J20*'Area(ha)-by-degradation-level'!AQ21+V20*'Area(ha)-by-degradation-level'!AR21+AH20*'Area(ha)-by-degradation-level'!AS21</f>
        <v>0</v>
      </c>
      <c r="AU20" s="316">
        <f>K20*'Area(ha)-by-degradation-level'!AU21+W20*'Area(ha)-by-degradation-level'!AV21+AI20*'Area(ha)-by-degradation-level'!AW21</f>
        <v>0</v>
      </c>
      <c r="AV20" s="316">
        <f>L20*'Area(ha)-by-degradation-level'!AY21+X20*'Area(ha)-by-degradation-level'!AZ21+AJ20*'Area(ha)-by-degradation-level'!BA21</f>
        <v>0</v>
      </c>
      <c r="AW20" s="316" t="e">
        <f>SUMPRODUCT(AM20:AR20,'Area&amp;production data'!$F21:$K21)/'Area&amp;production data'!$Q21</f>
        <v>#DIV/0!</v>
      </c>
      <c r="AX20" s="316" t="e">
        <f>SUMPRODUCT(AM20:AV20,'Soil-errosion1'!C21:L21)/'Soil-errosion1'!M21</f>
        <v>#DIV/0!</v>
      </c>
      <c r="AY20" s="41" t="e">
        <f t="shared" si="0"/>
        <v>#DIV/0!</v>
      </c>
    </row>
    <row r="21" spans="1:62" x14ac:dyDescent="0.25">
      <c r="A21" s="13">
        <v>18</v>
      </c>
      <c r="B21" s="13" t="s">
        <v>156</v>
      </c>
      <c r="C21" s="215">
        <f>'Soil-errosion1'!C85</f>
        <v>0</v>
      </c>
      <c r="D21" s="215">
        <f>'Soil-errosion1'!D85</f>
        <v>0</v>
      </c>
      <c r="E21" s="215">
        <f>'Soil-errosion1'!E85</f>
        <v>0</v>
      </c>
      <c r="F21" s="215">
        <f>'Soil-errosion1'!F85</f>
        <v>0</v>
      </c>
      <c r="G21" s="215">
        <f>'Soil-errosion1'!G85</f>
        <v>0</v>
      </c>
      <c r="H21" s="215">
        <f>'Soil-errosion1'!H85</f>
        <v>0</v>
      </c>
      <c r="I21" s="215">
        <f>'Soil-errosion1'!I85</f>
        <v>0</v>
      </c>
      <c r="J21" s="215">
        <f>'Soil-errosion1'!J85</f>
        <v>0</v>
      </c>
      <c r="K21" s="215">
        <f>'Soil-errosion1'!K85</f>
        <v>0</v>
      </c>
      <c r="L21" s="215">
        <f>'Soil-errosion1'!L85</f>
        <v>0</v>
      </c>
      <c r="M21" s="215" t="e">
        <f>SUMPRODUCT(C21:H21,'Area&amp;production data'!$F22:$K22)/'Area&amp;production data'!$Q22</f>
        <v>#DIV/0!</v>
      </c>
      <c r="N21" s="215" t="e">
        <f>'Soil-errosion1'!M85</f>
        <v>#DIV/0!</v>
      </c>
      <c r="O21" s="215">
        <f>'Soil-errosion1'!N85</f>
        <v>0</v>
      </c>
      <c r="P21" s="215">
        <f>'Soil-errosion1'!O85</f>
        <v>0</v>
      </c>
      <c r="Q21" s="215">
        <f>'Soil-errosion1'!P85</f>
        <v>0</v>
      </c>
      <c r="R21" s="215">
        <f>'Soil-errosion1'!Q85</f>
        <v>0</v>
      </c>
      <c r="S21" s="215">
        <f>'Soil-errosion1'!R85</f>
        <v>0</v>
      </c>
      <c r="T21" s="215">
        <f>'Soil-errosion1'!S85</f>
        <v>0</v>
      </c>
      <c r="U21" s="215">
        <f>'Soil-errosion1'!T85</f>
        <v>0</v>
      </c>
      <c r="V21" s="215">
        <f>'Soil-errosion1'!U85</f>
        <v>0</v>
      </c>
      <c r="W21" s="215">
        <f>'Soil-errosion1'!V85</f>
        <v>0</v>
      </c>
      <c r="X21" s="215">
        <f>'Soil-errosion1'!W85</f>
        <v>0</v>
      </c>
      <c r="Y21" s="215" t="e">
        <f>SUMPRODUCT(O21:T21,'Area&amp;production data'!$F22:$K22)/'Area&amp;production data'!$Q22</f>
        <v>#DIV/0!</v>
      </c>
      <c r="Z21" s="215" t="e">
        <f>SUMPRODUCT(O21:X21,'Soil-errosion1'!C22:L22)/'Soil-errosion1'!M22</f>
        <v>#DIV/0!</v>
      </c>
      <c r="AA21" s="215">
        <f>'Soil-errosion1'!Y85</f>
        <v>0</v>
      </c>
      <c r="AB21" s="215">
        <f>'Soil-errosion1'!Z85</f>
        <v>0</v>
      </c>
      <c r="AC21" s="215">
        <f>'Soil-errosion1'!AA85</f>
        <v>0</v>
      </c>
      <c r="AD21" s="215">
        <f>'Soil-errosion1'!AB85</f>
        <v>0</v>
      </c>
      <c r="AE21" s="215">
        <f>'Soil-errosion1'!AC85</f>
        <v>0</v>
      </c>
      <c r="AF21" s="215">
        <f>'Soil-errosion1'!AD85</f>
        <v>0</v>
      </c>
      <c r="AG21" s="215">
        <f>'Soil-errosion1'!AE85</f>
        <v>0</v>
      </c>
      <c r="AH21" s="215">
        <f>'Soil-errosion1'!AF85</f>
        <v>0</v>
      </c>
      <c r="AI21" s="215">
        <f>'Soil-errosion1'!AG85</f>
        <v>0</v>
      </c>
      <c r="AJ21" s="215">
        <f>'Soil-errosion1'!AH85</f>
        <v>0</v>
      </c>
      <c r="AK21" s="215" t="e">
        <f>SUMPRODUCT(AA21:AF21,'Area&amp;production data'!$F22:$K22)/'Area&amp;production data'!$Q22</f>
        <v>#DIV/0!</v>
      </c>
      <c r="AL21" s="215" t="e">
        <f>SUMPRODUCT(AA21:AJ21,'Soil-errosion1'!C22:L22)/'Soil-errosion1'!M22</f>
        <v>#DIV/0!</v>
      </c>
      <c r="AM21" s="316">
        <f>C21*'Area(ha)-by-degradation-level'!O22+O21*'Area(ha)-by-degradation-level'!P22+AA21*'Area(ha)-by-degradation-level'!Q22</f>
        <v>0</v>
      </c>
      <c r="AN21" s="316">
        <f>D21*'Area(ha)-by-degradation-level'!S22+P21*'Area(ha)-by-degradation-level'!T22+AB21*'Area(ha)-by-degradation-level'!U22</f>
        <v>0</v>
      </c>
      <c r="AO21" s="316">
        <f>E21*'Area(ha)-by-degradation-level'!W22+Q21*'Area(ha)-by-degradation-level'!X22+AC21*'Area(ha)-by-degradation-level'!Y22</f>
        <v>0</v>
      </c>
      <c r="AP21" s="316">
        <f>F21*'Area(ha)-by-degradation-level'!AA22+R21*'Area(ha)-by-degradation-level'!AB22+AD21*'Area(ha)-by-degradation-level'!AC22</f>
        <v>0</v>
      </c>
      <c r="AQ21" s="316">
        <f>G21*'Area(ha)-by-degradation-level'!AE22+S21*'Area(ha)-by-degradation-level'!AF22+AE21*'Area(ha)-by-degradation-level'!AG22</f>
        <v>0</v>
      </c>
      <c r="AR21" s="316">
        <f>H21*'Area(ha)-by-degradation-level'!AI22+T21*'Area(ha)-by-degradation-level'!AJ22+AF21*'Area(ha)-by-degradation-level'!AK22</f>
        <v>0</v>
      </c>
      <c r="AS21" s="316">
        <f>I21*'Area(ha)-by-degradation-level'!AM22+U21*'Area(ha)-by-degradation-level'!AN22+AG21*'Area(ha)-by-degradation-level'!AO22</f>
        <v>0</v>
      </c>
      <c r="AT21" s="316">
        <f>J21*'Area(ha)-by-degradation-level'!AQ22+V21*'Area(ha)-by-degradation-level'!AR22+AH21*'Area(ha)-by-degradation-level'!AS22</f>
        <v>0</v>
      </c>
      <c r="AU21" s="316">
        <f>K21*'Area(ha)-by-degradation-level'!AU22+W21*'Area(ha)-by-degradation-level'!AV22+AI21*'Area(ha)-by-degradation-level'!AW22</f>
        <v>0</v>
      </c>
      <c r="AV21" s="316">
        <f>L21*'Area(ha)-by-degradation-level'!AY22+X21*'Area(ha)-by-degradation-level'!AZ22+AJ21*'Area(ha)-by-degradation-level'!BA22</f>
        <v>0</v>
      </c>
      <c r="AW21" s="316" t="e">
        <f>SUMPRODUCT(AM21:AR21,'Area&amp;production data'!$F22:$K22)/'Area&amp;production data'!$Q22</f>
        <v>#DIV/0!</v>
      </c>
      <c r="AX21" s="316" t="e">
        <f>SUMPRODUCT(AM21:AV21,'Soil-errosion1'!C22:L22)/'Soil-errosion1'!M22</f>
        <v>#DIV/0!</v>
      </c>
      <c r="AY21" s="41" t="e">
        <f t="shared" si="0"/>
        <v>#DIV/0!</v>
      </c>
    </row>
    <row r="22" spans="1:62" x14ac:dyDescent="0.25">
      <c r="A22" s="13">
        <v>19</v>
      </c>
      <c r="B22" s="13" t="s">
        <v>157</v>
      </c>
      <c r="C22" s="215">
        <f>'Soil-errosion1'!C86</f>
        <v>0</v>
      </c>
      <c r="D22" s="215">
        <f>'Soil-errosion1'!D86</f>
        <v>0</v>
      </c>
      <c r="E22" s="215">
        <f>'Soil-errosion1'!E86</f>
        <v>0</v>
      </c>
      <c r="F22" s="215">
        <f>'Soil-errosion1'!F86</f>
        <v>0</v>
      </c>
      <c r="G22" s="215">
        <f>'Soil-errosion1'!G86</f>
        <v>0</v>
      </c>
      <c r="H22" s="215">
        <f>'Soil-errosion1'!H86</f>
        <v>0</v>
      </c>
      <c r="I22" s="215">
        <f>'Soil-errosion1'!I86</f>
        <v>0</v>
      </c>
      <c r="J22" s="215">
        <f>'Soil-errosion1'!J86</f>
        <v>0</v>
      </c>
      <c r="K22" s="215">
        <f>'Soil-errosion1'!K86</f>
        <v>0</v>
      </c>
      <c r="L22" s="215">
        <f>'Soil-errosion1'!L86</f>
        <v>0</v>
      </c>
      <c r="M22" s="215" t="e">
        <f>SUMPRODUCT(C22:H22,'Area&amp;production data'!$F23:$K23)/'Area&amp;production data'!$Q23</f>
        <v>#DIV/0!</v>
      </c>
      <c r="N22" s="215" t="e">
        <f>'Soil-errosion1'!M86</f>
        <v>#DIV/0!</v>
      </c>
      <c r="O22" s="215">
        <f>'Soil-errosion1'!N86</f>
        <v>0</v>
      </c>
      <c r="P22" s="215">
        <f>'Soil-errosion1'!O86</f>
        <v>0</v>
      </c>
      <c r="Q22" s="215">
        <f>'Soil-errosion1'!P86</f>
        <v>0</v>
      </c>
      <c r="R22" s="215">
        <f>'Soil-errosion1'!Q86</f>
        <v>0</v>
      </c>
      <c r="S22" s="215">
        <f>'Soil-errosion1'!R86</f>
        <v>0</v>
      </c>
      <c r="T22" s="215">
        <f>'Soil-errosion1'!S86</f>
        <v>0</v>
      </c>
      <c r="U22" s="215">
        <f>'Soil-errosion1'!T86</f>
        <v>0</v>
      </c>
      <c r="V22" s="215">
        <f>'Soil-errosion1'!U86</f>
        <v>0</v>
      </c>
      <c r="W22" s="215">
        <f>'Soil-errosion1'!V86</f>
        <v>0</v>
      </c>
      <c r="X22" s="215">
        <f>'Soil-errosion1'!W86</f>
        <v>0</v>
      </c>
      <c r="Y22" s="215" t="e">
        <f>SUMPRODUCT(O22:T22,'Area&amp;production data'!$F23:$K23)/'Area&amp;production data'!$Q23</f>
        <v>#DIV/0!</v>
      </c>
      <c r="Z22" s="215" t="e">
        <f>SUMPRODUCT(O22:X22,'Soil-errosion1'!C23:L23)/'Soil-errosion1'!M23</f>
        <v>#DIV/0!</v>
      </c>
      <c r="AA22" s="215">
        <f>'Soil-errosion1'!Y86</f>
        <v>0</v>
      </c>
      <c r="AB22" s="215">
        <f>'Soil-errosion1'!Z86</f>
        <v>0</v>
      </c>
      <c r="AC22" s="215">
        <f>'Soil-errosion1'!AA86</f>
        <v>0</v>
      </c>
      <c r="AD22" s="215">
        <f>'Soil-errosion1'!AB86</f>
        <v>0</v>
      </c>
      <c r="AE22" s="215">
        <f>'Soil-errosion1'!AC86</f>
        <v>0</v>
      </c>
      <c r="AF22" s="215">
        <f>'Soil-errosion1'!AD86</f>
        <v>0</v>
      </c>
      <c r="AG22" s="215">
        <f>'Soil-errosion1'!AE86</f>
        <v>0</v>
      </c>
      <c r="AH22" s="215">
        <f>'Soil-errosion1'!AF86</f>
        <v>0</v>
      </c>
      <c r="AI22" s="215">
        <f>'Soil-errosion1'!AG86</f>
        <v>0</v>
      </c>
      <c r="AJ22" s="215">
        <f>'Soil-errosion1'!AH86</f>
        <v>0</v>
      </c>
      <c r="AK22" s="215" t="e">
        <f>SUMPRODUCT(AA22:AF22,'Area&amp;production data'!$F23:$K23)/'Area&amp;production data'!$Q23</f>
        <v>#DIV/0!</v>
      </c>
      <c r="AL22" s="215" t="e">
        <f>SUMPRODUCT(AA22:AJ22,'Soil-errosion1'!C23:L23)/'Soil-errosion1'!M23</f>
        <v>#DIV/0!</v>
      </c>
      <c r="AM22" s="316">
        <f>C22*'Area(ha)-by-degradation-level'!O23+O22*'Area(ha)-by-degradation-level'!P23+AA22*'Area(ha)-by-degradation-level'!Q23</f>
        <v>0</v>
      </c>
      <c r="AN22" s="316">
        <f>D22*'Area(ha)-by-degradation-level'!S23+P22*'Area(ha)-by-degradation-level'!T23+AB22*'Area(ha)-by-degradation-level'!U23</f>
        <v>0</v>
      </c>
      <c r="AO22" s="316">
        <f>E22*'Area(ha)-by-degradation-level'!W23+Q22*'Area(ha)-by-degradation-level'!X23+AC22*'Area(ha)-by-degradation-level'!Y23</f>
        <v>0</v>
      </c>
      <c r="AP22" s="316">
        <f>F22*'Area(ha)-by-degradation-level'!AA23+R22*'Area(ha)-by-degradation-level'!AB23+AD22*'Area(ha)-by-degradation-level'!AC23</f>
        <v>0</v>
      </c>
      <c r="AQ22" s="316">
        <f>G22*'Area(ha)-by-degradation-level'!AE23+S22*'Area(ha)-by-degradation-level'!AF23+AE22*'Area(ha)-by-degradation-level'!AG23</f>
        <v>0</v>
      </c>
      <c r="AR22" s="316">
        <f>H22*'Area(ha)-by-degradation-level'!AI23+T22*'Area(ha)-by-degradation-level'!AJ23+AF22*'Area(ha)-by-degradation-level'!AK23</f>
        <v>0</v>
      </c>
      <c r="AS22" s="316">
        <f>I22*'Area(ha)-by-degradation-level'!AM23+U22*'Area(ha)-by-degradation-level'!AN23+AG22*'Area(ha)-by-degradation-level'!AO23</f>
        <v>0</v>
      </c>
      <c r="AT22" s="316">
        <f>J22*'Area(ha)-by-degradation-level'!AQ23+V22*'Area(ha)-by-degradation-level'!AR23+AH22*'Area(ha)-by-degradation-level'!AS23</f>
        <v>0</v>
      </c>
      <c r="AU22" s="316">
        <f>K22*'Area(ha)-by-degradation-level'!AU23+W22*'Area(ha)-by-degradation-level'!AV23+AI22*'Area(ha)-by-degradation-level'!AW23</f>
        <v>0</v>
      </c>
      <c r="AV22" s="316">
        <f>L22*'Area(ha)-by-degradation-level'!AY23+X22*'Area(ha)-by-degradation-level'!AZ23+AJ22*'Area(ha)-by-degradation-level'!BA23</f>
        <v>0</v>
      </c>
      <c r="AW22" s="316" t="e">
        <f>SUMPRODUCT(AM22:AR22,'Area&amp;production data'!$F23:$K23)/'Area&amp;production data'!$Q23</f>
        <v>#DIV/0!</v>
      </c>
      <c r="AX22" s="316" t="e">
        <f>SUMPRODUCT(AM22:AV22,'Soil-errosion1'!C23:L23)/'Soil-errosion1'!M23</f>
        <v>#DIV/0!</v>
      </c>
      <c r="AY22" s="41" t="e">
        <f t="shared" si="0"/>
        <v>#DIV/0!</v>
      </c>
      <c r="BB22" s="92" t="e">
        <f>SUM(AY22:AY25,AY27)</f>
        <v>#DIV/0!</v>
      </c>
      <c r="BC22" s="30" t="e">
        <f>BB22/AY28</f>
        <v>#DIV/0!</v>
      </c>
    </row>
    <row r="23" spans="1:62" x14ac:dyDescent="0.25">
      <c r="A23" s="13">
        <v>20</v>
      </c>
      <c r="B23" s="13" t="s">
        <v>158</v>
      </c>
      <c r="C23" s="215">
        <f>'Soil-errosion1'!C87</f>
        <v>0</v>
      </c>
      <c r="D23" s="215">
        <f>'Soil-errosion1'!D87</f>
        <v>0</v>
      </c>
      <c r="E23" s="215">
        <f>'Soil-errosion1'!E87</f>
        <v>0</v>
      </c>
      <c r="F23" s="215">
        <f>'Soil-errosion1'!F87</f>
        <v>0</v>
      </c>
      <c r="G23" s="215">
        <f>'Soil-errosion1'!G87</f>
        <v>0</v>
      </c>
      <c r="H23" s="215">
        <f>'Soil-errosion1'!H87</f>
        <v>0</v>
      </c>
      <c r="I23" s="215">
        <f>'Soil-errosion1'!I87</f>
        <v>0</v>
      </c>
      <c r="J23" s="215">
        <f>'Soil-errosion1'!J87</f>
        <v>0</v>
      </c>
      <c r="K23" s="215">
        <f>'Soil-errosion1'!K87</f>
        <v>0</v>
      </c>
      <c r="L23" s="215">
        <f>'Soil-errosion1'!L87</f>
        <v>0</v>
      </c>
      <c r="M23" s="215" t="e">
        <f>SUMPRODUCT(C23:H23,'Area&amp;production data'!$F24:$K24)/'Area&amp;production data'!$Q24</f>
        <v>#DIV/0!</v>
      </c>
      <c r="N23" s="215" t="e">
        <f>'Soil-errosion1'!M87</f>
        <v>#DIV/0!</v>
      </c>
      <c r="O23" s="215">
        <f>'Soil-errosion1'!N87</f>
        <v>0</v>
      </c>
      <c r="P23" s="215">
        <f>'Soil-errosion1'!O87</f>
        <v>0</v>
      </c>
      <c r="Q23" s="215">
        <f>'Soil-errosion1'!P87</f>
        <v>0</v>
      </c>
      <c r="R23" s="215">
        <f>'Soil-errosion1'!Q87</f>
        <v>0</v>
      </c>
      <c r="S23" s="215">
        <f>'Soil-errosion1'!R87</f>
        <v>0</v>
      </c>
      <c r="T23" s="215">
        <f>'Soil-errosion1'!S87</f>
        <v>0</v>
      </c>
      <c r="U23" s="215">
        <f>'Soil-errosion1'!T87</f>
        <v>0</v>
      </c>
      <c r="V23" s="215">
        <f>'Soil-errosion1'!U87</f>
        <v>0</v>
      </c>
      <c r="W23" s="215">
        <f>'Soil-errosion1'!V87</f>
        <v>0</v>
      </c>
      <c r="X23" s="215">
        <f>'Soil-errosion1'!W87</f>
        <v>0</v>
      </c>
      <c r="Y23" s="215" t="e">
        <f>SUMPRODUCT(O23:T23,'Area&amp;production data'!$F24:$K24)/'Area&amp;production data'!$Q24</f>
        <v>#DIV/0!</v>
      </c>
      <c r="Z23" s="215" t="e">
        <f>SUMPRODUCT(O23:X23,'Soil-errosion1'!C24:L24)/'Soil-errosion1'!M24</f>
        <v>#DIV/0!</v>
      </c>
      <c r="AA23" s="215">
        <f>'Soil-errosion1'!Y87</f>
        <v>0</v>
      </c>
      <c r="AB23" s="215">
        <f>'Soil-errosion1'!Z87</f>
        <v>0</v>
      </c>
      <c r="AC23" s="215">
        <f>'Soil-errosion1'!AA87</f>
        <v>0</v>
      </c>
      <c r="AD23" s="215">
        <f>'Soil-errosion1'!AB87</f>
        <v>0</v>
      </c>
      <c r="AE23" s="215">
        <f>'Soil-errosion1'!AC87</f>
        <v>0</v>
      </c>
      <c r="AF23" s="215">
        <f>'Soil-errosion1'!AD87</f>
        <v>0</v>
      </c>
      <c r="AG23" s="215">
        <f>'Soil-errosion1'!AE87</f>
        <v>0</v>
      </c>
      <c r="AH23" s="215">
        <f>'Soil-errosion1'!AF87</f>
        <v>0</v>
      </c>
      <c r="AI23" s="215">
        <f>'Soil-errosion1'!AG87</f>
        <v>0</v>
      </c>
      <c r="AJ23" s="215">
        <f>'Soil-errosion1'!AH87</f>
        <v>0</v>
      </c>
      <c r="AK23" s="215" t="e">
        <f>SUMPRODUCT(AA23:AF23,'Area&amp;production data'!$F24:$K24)/'Area&amp;production data'!$Q24</f>
        <v>#DIV/0!</v>
      </c>
      <c r="AL23" s="215" t="e">
        <f>SUMPRODUCT(AA23:AJ23,'Soil-errosion1'!C24:L24)/'Soil-errosion1'!M24</f>
        <v>#DIV/0!</v>
      </c>
      <c r="AM23" s="316">
        <f>C23*'Area(ha)-by-degradation-level'!O24+O23*'Area(ha)-by-degradation-level'!P24+AA23*'Area(ha)-by-degradation-level'!Q24</f>
        <v>0</v>
      </c>
      <c r="AN23" s="316">
        <f>D23*'Area(ha)-by-degradation-level'!S24+P23*'Area(ha)-by-degradation-level'!T24+AB23*'Area(ha)-by-degradation-level'!U24</f>
        <v>0</v>
      </c>
      <c r="AO23" s="316">
        <f>E23*'Area(ha)-by-degradation-level'!W24+Q23*'Area(ha)-by-degradation-level'!X24+AC23*'Area(ha)-by-degradation-level'!Y24</f>
        <v>0</v>
      </c>
      <c r="AP23" s="316">
        <f>F23*'Area(ha)-by-degradation-level'!AA24+R23*'Area(ha)-by-degradation-level'!AB24+AD23*'Area(ha)-by-degradation-level'!AC24</f>
        <v>0</v>
      </c>
      <c r="AQ23" s="316">
        <f>G23*'Area(ha)-by-degradation-level'!AE24+S23*'Area(ha)-by-degradation-level'!AF24+AE23*'Area(ha)-by-degradation-level'!AG24</f>
        <v>0</v>
      </c>
      <c r="AR23" s="316">
        <f>H23*'Area(ha)-by-degradation-level'!AI24+T23*'Area(ha)-by-degradation-level'!AJ24+AF23*'Area(ha)-by-degradation-level'!AK24</f>
        <v>0</v>
      </c>
      <c r="AS23" s="316">
        <f>I23*'Area(ha)-by-degradation-level'!AM24+U23*'Area(ha)-by-degradation-level'!AN24+AG23*'Area(ha)-by-degradation-level'!AO24</f>
        <v>0</v>
      </c>
      <c r="AT23" s="316">
        <f>J23*'Area(ha)-by-degradation-level'!AQ24+V23*'Area(ha)-by-degradation-level'!AR24+AH23*'Area(ha)-by-degradation-level'!AS24</f>
        <v>0</v>
      </c>
      <c r="AU23" s="316">
        <f>K23*'Area(ha)-by-degradation-level'!AU24+W23*'Area(ha)-by-degradation-level'!AV24+AI23*'Area(ha)-by-degradation-level'!AW24</f>
        <v>0</v>
      </c>
      <c r="AV23" s="316">
        <f>L23*'Area(ha)-by-degradation-level'!AY24+X23*'Area(ha)-by-degradation-level'!AZ24+AJ23*'Area(ha)-by-degradation-level'!BA24</f>
        <v>0</v>
      </c>
      <c r="AW23" s="316" t="e">
        <f>SUMPRODUCT(AM23:AR23,'Area&amp;production data'!$F24:$K24)/'Area&amp;production data'!$Q24</f>
        <v>#DIV/0!</v>
      </c>
      <c r="AX23" s="316" t="e">
        <f>SUMPRODUCT(AM23:AV23,'Soil-errosion1'!C24:L24)/'Soil-errosion1'!M24</f>
        <v>#DIV/0!</v>
      </c>
      <c r="AY23" s="41" t="e">
        <f t="shared" si="0"/>
        <v>#DIV/0!</v>
      </c>
      <c r="AZ23" s="76"/>
    </row>
    <row r="24" spans="1:62" x14ac:dyDescent="0.25">
      <c r="A24" s="13">
        <v>21</v>
      </c>
      <c r="B24" s="13" t="s">
        <v>159</v>
      </c>
      <c r="C24" s="215">
        <f>'Soil-errosion1'!C88</f>
        <v>0</v>
      </c>
      <c r="D24" s="215">
        <f>'Soil-errosion1'!D88</f>
        <v>0</v>
      </c>
      <c r="E24" s="215">
        <f>'Soil-errosion1'!E88</f>
        <v>0</v>
      </c>
      <c r="F24" s="215">
        <f>'Soil-errosion1'!F88</f>
        <v>0</v>
      </c>
      <c r="G24" s="215">
        <f>'Soil-errosion1'!G88</f>
        <v>0</v>
      </c>
      <c r="H24" s="215">
        <f>'Soil-errosion1'!H88</f>
        <v>0</v>
      </c>
      <c r="I24" s="215">
        <f>'Soil-errosion1'!I88</f>
        <v>0</v>
      </c>
      <c r="J24" s="215">
        <f>'Soil-errosion1'!J88</f>
        <v>0</v>
      </c>
      <c r="K24" s="215">
        <f>'Soil-errosion1'!K88</f>
        <v>0</v>
      </c>
      <c r="L24" s="215">
        <f>'Soil-errosion1'!L88</f>
        <v>0</v>
      </c>
      <c r="M24" s="215" t="e">
        <f>SUMPRODUCT(C24:H24,'Area&amp;production data'!$F25:$K25)/'Area&amp;production data'!$Q25</f>
        <v>#DIV/0!</v>
      </c>
      <c r="N24" s="215" t="e">
        <f>'Soil-errosion1'!M88</f>
        <v>#DIV/0!</v>
      </c>
      <c r="O24" s="215">
        <f>'Soil-errosion1'!N88</f>
        <v>0</v>
      </c>
      <c r="P24" s="215">
        <f>'Soil-errosion1'!O88</f>
        <v>0</v>
      </c>
      <c r="Q24" s="215">
        <f>'Soil-errosion1'!P88</f>
        <v>0</v>
      </c>
      <c r="R24" s="215">
        <f>'Soil-errosion1'!Q88</f>
        <v>0</v>
      </c>
      <c r="S24" s="215">
        <f>'Soil-errosion1'!R88</f>
        <v>0</v>
      </c>
      <c r="T24" s="215">
        <f>'Soil-errosion1'!S88</f>
        <v>0</v>
      </c>
      <c r="U24" s="215">
        <f>'Soil-errosion1'!T88</f>
        <v>0</v>
      </c>
      <c r="V24" s="215">
        <f>'Soil-errosion1'!U88</f>
        <v>0</v>
      </c>
      <c r="W24" s="215">
        <f>'Soil-errosion1'!V88</f>
        <v>0</v>
      </c>
      <c r="X24" s="215">
        <f>'Soil-errosion1'!W88</f>
        <v>0</v>
      </c>
      <c r="Y24" s="215" t="e">
        <f>SUMPRODUCT(O24:T24,'Area&amp;production data'!$F25:$K25)/'Area&amp;production data'!$Q25</f>
        <v>#DIV/0!</v>
      </c>
      <c r="Z24" s="215" t="e">
        <f>SUMPRODUCT(O24:X24,'Soil-errosion1'!C25:L25)/'Soil-errosion1'!M25</f>
        <v>#DIV/0!</v>
      </c>
      <c r="AA24" s="215">
        <f>'Soil-errosion1'!Y88</f>
        <v>0</v>
      </c>
      <c r="AB24" s="215">
        <f>'Soil-errosion1'!Z88</f>
        <v>0</v>
      </c>
      <c r="AC24" s="215">
        <f>'Soil-errosion1'!AA88</f>
        <v>0</v>
      </c>
      <c r="AD24" s="215">
        <f>'Soil-errosion1'!AB88</f>
        <v>0</v>
      </c>
      <c r="AE24" s="215">
        <f>'Soil-errosion1'!AC88</f>
        <v>0</v>
      </c>
      <c r="AF24" s="215">
        <f>'Soil-errosion1'!AD88</f>
        <v>0</v>
      </c>
      <c r="AG24" s="215">
        <f>'Soil-errosion1'!AE88</f>
        <v>0</v>
      </c>
      <c r="AH24" s="215">
        <f>'Soil-errosion1'!AF88</f>
        <v>0</v>
      </c>
      <c r="AI24" s="215">
        <f>'Soil-errosion1'!AG88</f>
        <v>0</v>
      </c>
      <c r="AJ24" s="215">
        <f>'Soil-errosion1'!AH88</f>
        <v>0</v>
      </c>
      <c r="AK24" s="215" t="e">
        <f>SUMPRODUCT(AA24:AF24,'Area&amp;production data'!$F25:$K25)/'Area&amp;production data'!$Q25</f>
        <v>#DIV/0!</v>
      </c>
      <c r="AL24" s="215" t="e">
        <f>SUMPRODUCT(AA24:AJ24,'Soil-errosion1'!C25:L25)/'Soil-errosion1'!M25</f>
        <v>#DIV/0!</v>
      </c>
      <c r="AM24" s="316">
        <f>C24*'Area(ha)-by-degradation-level'!O25+O24*'Area(ha)-by-degradation-level'!P25+AA24*'Area(ha)-by-degradation-level'!Q25</f>
        <v>0</v>
      </c>
      <c r="AN24" s="316">
        <f>D24*'Area(ha)-by-degradation-level'!S25+P24*'Area(ha)-by-degradation-level'!T25+AB24*'Area(ha)-by-degradation-level'!U25</f>
        <v>0</v>
      </c>
      <c r="AO24" s="316">
        <f>E24*'Area(ha)-by-degradation-level'!W25+Q24*'Area(ha)-by-degradation-level'!X25+AC24*'Area(ha)-by-degradation-level'!Y25</f>
        <v>0</v>
      </c>
      <c r="AP24" s="316">
        <f>F24*'Area(ha)-by-degradation-level'!AA25+R24*'Area(ha)-by-degradation-level'!AB25+AD24*'Area(ha)-by-degradation-level'!AC25</f>
        <v>0</v>
      </c>
      <c r="AQ24" s="316">
        <f>G24*'Area(ha)-by-degradation-level'!AE25+S24*'Area(ha)-by-degradation-level'!AF25+AE24*'Area(ha)-by-degradation-level'!AG25</f>
        <v>0</v>
      </c>
      <c r="AR24" s="316">
        <f>H24*'Area(ha)-by-degradation-level'!AI25+T24*'Area(ha)-by-degradation-level'!AJ25+AF24*'Area(ha)-by-degradation-level'!AK25</f>
        <v>0</v>
      </c>
      <c r="AS24" s="316">
        <f>I24*'Area(ha)-by-degradation-level'!AM25+U24*'Area(ha)-by-degradation-level'!AN25+AG24*'Area(ha)-by-degradation-level'!AO25</f>
        <v>0</v>
      </c>
      <c r="AT24" s="316">
        <f>J24*'Area(ha)-by-degradation-level'!AQ25+V24*'Area(ha)-by-degradation-level'!AR25+AH24*'Area(ha)-by-degradation-level'!AS25</f>
        <v>0</v>
      </c>
      <c r="AU24" s="316">
        <f>K24*'Area(ha)-by-degradation-level'!AU25+W24*'Area(ha)-by-degradation-level'!AV25+AI24*'Area(ha)-by-degradation-level'!AW25</f>
        <v>0</v>
      </c>
      <c r="AV24" s="316">
        <f>L24*'Area(ha)-by-degradation-level'!AY25+X24*'Area(ha)-by-degradation-level'!AZ25+AJ24*'Area(ha)-by-degradation-level'!BA25</f>
        <v>0</v>
      </c>
      <c r="AW24" s="316" t="e">
        <f>SUMPRODUCT(AM24:AR24,'Area&amp;production data'!$F25:$K25)/'Area&amp;production data'!$Q25</f>
        <v>#DIV/0!</v>
      </c>
      <c r="AX24" s="316" t="e">
        <f>SUMPRODUCT(AM24:AV24,'Soil-errosion1'!C25:L25)/'Soil-errosion1'!M25</f>
        <v>#DIV/0!</v>
      </c>
      <c r="AY24" s="41" t="e">
        <f t="shared" si="0"/>
        <v>#DIV/0!</v>
      </c>
    </row>
    <row r="25" spans="1:62" x14ac:dyDescent="0.25">
      <c r="A25" s="13">
        <v>22</v>
      </c>
      <c r="B25" s="13" t="s">
        <v>160</v>
      </c>
      <c r="C25" s="215">
        <f>'Soil-errosion1'!C89</f>
        <v>0</v>
      </c>
      <c r="D25" s="215">
        <f>'Soil-errosion1'!D89</f>
        <v>0</v>
      </c>
      <c r="E25" s="215">
        <f>'Soil-errosion1'!E89</f>
        <v>0</v>
      </c>
      <c r="F25" s="215">
        <f>'Soil-errosion1'!F89</f>
        <v>0</v>
      </c>
      <c r="G25" s="215">
        <f>'Soil-errosion1'!G89</f>
        <v>0</v>
      </c>
      <c r="H25" s="215">
        <f>'Soil-errosion1'!H89</f>
        <v>0</v>
      </c>
      <c r="I25" s="215">
        <f>'Soil-errosion1'!I89</f>
        <v>0</v>
      </c>
      <c r="J25" s="215">
        <f>'Soil-errosion1'!J89</f>
        <v>0</v>
      </c>
      <c r="K25" s="215">
        <f>'Soil-errosion1'!K89</f>
        <v>0</v>
      </c>
      <c r="L25" s="215">
        <f>'Soil-errosion1'!L89</f>
        <v>0</v>
      </c>
      <c r="M25" s="215" t="e">
        <f>SUMPRODUCT(C25:H25,'Area&amp;production data'!$F26:$K26)/'Area&amp;production data'!$Q26</f>
        <v>#DIV/0!</v>
      </c>
      <c r="N25" s="215" t="e">
        <f>'Soil-errosion1'!M89</f>
        <v>#DIV/0!</v>
      </c>
      <c r="O25" s="215">
        <f>'Soil-errosion1'!N89</f>
        <v>0</v>
      </c>
      <c r="P25" s="215">
        <f>'Soil-errosion1'!O89</f>
        <v>0</v>
      </c>
      <c r="Q25" s="215">
        <f>'Soil-errosion1'!P89</f>
        <v>0</v>
      </c>
      <c r="R25" s="215">
        <f>'Soil-errosion1'!Q89</f>
        <v>0</v>
      </c>
      <c r="S25" s="215">
        <f>'Soil-errosion1'!R89</f>
        <v>0</v>
      </c>
      <c r="T25" s="215">
        <f>'Soil-errosion1'!S89</f>
        <v>0</v>
      </c>
      <c r="U25" s="215">
        <f>'Soil-errosion1'!T89</f>
        <v>0</v>
      </c>
      <c r="V25" s="215">
        <f>'Soil-errosion1'!U89</f>
        <v>0</v>
      </c>
      <c r="W25" s="215">
        <f>'Soil-errosion1'!V89</f>
        <v>0</v>
      </c>
      <c r="X25" s="215">
        <f>'Soil-errosion1'!W89</f>
        <v>0</v>
      </c>
      <c r="Y25" s="215" t="e">
        <f>SUMPRODUCT(O25:T25,'Area&amp;production data'!$F26:$K26)/'Area&amp;production data'!$Q26</f>
        <v>#DIV/0!</v>
      </c>
      <c r="Z25" s="215" t="e">
        <f>SUMPRODUCT(O25:X25,'Soil-errosion1'!C26:L26)/'Soil-errosion1'!M26</f>
        <v>#DIV/0!</v>
      </c>
      <c r="AA25" s="215">
        <f>'Soil-errosion1'!Y89</f>
        <v>0</v>
      </c>
      <c r="AB25" s="215">
        <f>'Soil-errosion1'!Z89</f>
        <v>0</v>
      </c>
      <c r="AC25" s="215">
        <f>'Soil-errosion1'!AA89</f>
        <v>0</v>
      </c>
      <c r="AD25" s="215">
        <f>'Soil-errosion1'!AB89</f>
        <v>0</v>
      </c>
      <c r="AE25" s="215">
        <f>'Soil-errosion1'!AC89</f>
        <v>0</v>
      </c>
      <c r="AF25" s="215">
        <f>'Soil-errosion1'!AD89</f>
        <v>0</v>
      </c>
      <c r="AG25" s="215">
        <f>'Soil-errosion1'!AE89</f>
        <v>0</v>
      </c>
      <c r="AH25" s="215">
        <f>'Soil-errosion1'!AF89</f>
        <v>0</v>
      </c>
      <c r="AI25" s="215">
        <f>'Soil-errosion1'!AG89</f>
        <v>0</v>
      </c>
      <c r="AJ25" s="215">
        <f>'Soil-errosion1'!AH89</f>
        <v>0</v>
      </c>
      <c r="AK25" s="215" t="e">
        <f>SUMPRODUCT(AA25:AF25,'Area&amp;production data'!$F26:$K26)/'Area&amp;production data'!$Q26</f>
        <v>#DIV/0!</v>
      </c>
      <c r="AL25" s="215" t="e">
        <f>SUMPRODUCT(AA25:AJ25,'Soil-errosion1'!C26:L26)/'Soil-errosion1'!M26</f>
        <v>#DIV/0!</v>
      </c>
      <c r="AM25" s="316">
        <f>C25*'Area(ha)-by-degradation-level'!O26+O25*'Area(ha)-by-degradation-level'!P26+AA25*'Area(ha)-by-degradation-level'!Q26</f>
        <v>0</v>
      </c>
      <c r="AN25" s="316">
        <f>D25*'Area(ha)-by-degradation-level'!S26+P25*'Area(ha)-by-degradation-level'!T26+AB25*'Area(ha)-by-degradation-level'!U26</f>
        <v>0</v>
      </c>
      <c r="AO25" s="316">
        <f>E25*'Area(ha)-by-degradation-level'!W26+Q25*'Area(ha)-by-degradation-level'!X26+AC25*'Area(ha)-by-degradation-level'!Y26</f>
        <v>0</v>
      </c>
      <c r="AP25" s="316">
        <f>F25*'Area(ha)-by-degradation-level'!AA26+R25*'Area(ha)-by-degradation-level'!AB26+AD25*'Area(ha)-by-degradation-level'!AC26</f>
        <v>0</v>
      </c>
      <c r="AQ25" s="316">
        <f>G25*'Area(ha)-by-degradation-level'!AE26+S25*'Area(ha)-by-degradation-level'!AF26+AE25*'Area(ha)-by-degradation-level'!AG26</f>
        <v>0</v>
      </c>
      <c r="AR25" s="316">
        <f>H25*'Area(ha)-by-degradation-level'!AI26+T25*'Area(ha)-by-degradation-level'!AJ26+AF25*'Area(ha)-by-degradation-level'!AK26</f>
        <v>0</v>
      </c>
      <c r="AS25" s="316">
        <f>I25*'Area(ha)-by-degradation-level'!AM26+U25*'Area(ha)-by-degradation-level'!AN26+AG25*'Area(ha)-by-degradation-level'!AO26</f>
        <v>0</v>
      </c>
      <c r="AT25" s="316">
        <f>J25*'Area(ha)-by-degradation-level'!AQ26+V25*'Area(ha)-by-degradation-level'!AR26+AH25*'Area(ha)-by-degradation-level'!AS26</f>
        <v>0</v>
      </c>
      <c r="AU25" s="316">
        <f>K25*'Area(ha)-by-degradation-level'!AU26+W25*'Area(ha)-by-degradation-level'!AV26+AI25*'Area(ha)-by-degradation-level'!AW26</f>
        <v>0</v>
      </c>
      <c r="AV25" s="316">
        <f>L25*'Area(ha)-by-degradation-level'!AY26+X25*'Area(ha)-by-degradation-level'!AZ26+AJ25*'Area(ha)-by-degradation-level'!BA26</f>
        <v>0</v>
      </c>
      <c r="AW25" s="316" t="e">
        <f>SUMPRODUCT(AM25:AR25,'Area&amp;production data'!$F26:$K26)/'Area&amp;production data'!$Q26</f>
        <v>#DIV/0!</v>
      </c>
      <c r="AX25" s="316" t="e">
        <f>SUMPRODUCT(AM25:AV25,'Soil-errosion1'!C26:L26)/'Soil-errosion1'!M26</f>
        <v>#DIV/0!</v>
      </c>
      <c r="AY25" s="41" t="e">
        <f t="shared" si="0"/>
        <v>#DIV/0!</v>
      </c>
    </row>
    <row r="26" spans="1:62" x14ac:dyDescent="0.25">
      <c r="A26" s="13">
        <v>23</v>
      </c>
      <c r="B26" s="13" t="s">
        <v>161</v>
      </c>
      <c r="C26" s="215">
        <f>'Soil-errosion1'!C90</f>
        <v>0</v>
      </c>
      <c r="D26" s="215">
        <f>'Soil-errosion1'!D90</f>
        <v>0</v>
      </c>
      <c r="E26" s="215">
        <f>'Soil-errosion1'!E90</f>
        <v>0</v>
      </c>
      <c r="F26" s="215">
        <f>'Soil-errosion1'!F90</f>
        <v>0</v>
      </c>
      <c r="G26" s="215">
        <f>'Soil-errosion1'!G90</f>
        <v>0</v>
      </c>
      <c r="H26" s="215">
        <f>'Soil-errosion1'!H90</f>
        <v>0</v>
      </c>
      <c r="I26" s="215">
        <f>'Soil-errosion1'!I90</f>
        <v>0</v>
      </c>
      <c r="J26" s="215">
        <f>'Soil-errosion1'!J90</f>
        <v>0</v>
      </c>
      <c r="K26" s="215">
        <f>'Soil-errosion1'!K90</f>
        <v>0</v>
      </c>
      <c r="L26" s="215">
        <f>'Soil-errosion1'!L90</f>
        <v>0</v>
      </c>
      <c r="M26" s="215" t="e">
        <f>SUMPRODUCT(C26:H26,'Area&amp;production data'!$F27:$K27)/'Area&amp;production data'!$Q27</f>
        <v>#DIV/0!</v>
      </c>
      <c r="N26" s="215" t="e">
        <f>'Soil-errosion1'!M90</f>
        <v>#DIV/0!</v>
      </c>
      <c r="O26" s="215">
        <f>'Soil-errosion1'!N90</f>
        <v>0</v>
      </c>
      <c r="P26" s="215">
        <f>'Soil-errosion1'!O90</f>
        <v>0</v>
      </c>
      <c r="Q26" s="215">
        <f>'Soil-errosion1'!P90</f>
        <v>0</v>
      </c>
      <c r="R26" s="215">
        <f>'Soil-errosion1'!Q90</f>
        <v>0</v>
      </c>
      <c r="S26" s="215">
        <f>'Soil-errosion1'!R90</f>
        <v>0</v>
      </c>
      <c r="T26" s="215">
        <f>'Soil-errosion1'!S90</f>
        <v>0</v>
      </c>
      <c r="U26" s="215">
        <f>'Soil-errosion1'!T90</f>
        <v>0</v>
      </c>
      <c r="V26" s="215">
        <f>'Soil-errosion1'!U90</f>
        <v>0</v>
      </c>
      <c r="W26" s="215">
        <f>'Soil-errosion1'!V90</f>
        <v>0</v>
      </c>
      <c r="X26" s="215">
        <f>'Soil-errosion1'!W90</f>
        <v>0</v>
      </c>
      <c r="Y26" s="215" t="e">
        <f>SUMPRODUCT(O26:T26,'Area&amp;production data'!$F27:$K27)/'Area&amp;production data'!$Q27</f>
        <v>#DIV/0!</v>
      </c>
      <c r="Z26" s="215" t="e">
        <f>SUMPRODUCT(O26:X26,'Soil-errosion1'!C27:L27)/'Soil-errosion1'!M27</f>
        <v>#DIV/0!</v>
      </c>
      <c r="AA26" s="215">
        <f>'Soil-errosion1'!Y90</f>
        <v>0</v>
      </c>
      <c r="AB26" s="215">
        <f>'Soil-errosion1'!Z90</f>
        <v>0</v>
      </c>
      <c r="AC26" s="215">
        <f>'Soil-errosion1'!AA90</f>
        <v>0</v>
      </c>
      <c r="AD26" s="215">
        <f>'Soil-errosion1'!AB90</f>
        <v>0</v>
      </c>
      <c r="AE26" s="215">
        <f>'Soil-errosion1'!AC90</f>
        <v>0</v>
      </c>
      <c r="AF26" s="215">
        <f>'Soil-errosion1'!AD90</f>
        <v>0</v>
      </c>
      <c r="AG26" s="215">
        <f>'Soil-errosion1'!AE90</f>
        <v>0</v>
      </c>
      <c r="AH26" s="215">
        <f>'Soil-errosion1'!AF90</f>
        <v>0</v>
      </c>
      <c r="AI26" s="215">
        <f>'Soil-errosion1'!AG90</f>
        <v>0</v>
      </c>
      <c r="AJ26" s="215">
        <f>'Soil-errosion1'!AH90</f>
        <v>0</v>
      </c>
      <c r="AK26" s="215" t="e">
        <f>SUMPRODUCT(AA26:AF26,'Area&amp;production data'!$F27:$K27)/'Area&amp;production data'!$Q27</f>
        <v>#DIV/0!</v>
      </c>
      <c r="AL26" s="215" t="e">
        <f>SUMPRODUCT(AA26:AJ26,'Soil-errosion1'!C27:L27)/'Soil-errosion1'!M27</f>
        <v>#DIV/0!</v>
      </c>
      <c r="AM26" s="316">
        <f>C26*'Area(ha)-by-degradation-level'!O27+O26*'Area(ha)-by-degradation-level'!P27+AA26*'Area(ha)-by-degradation-level'!Q27</f>
        <v>0</v>
      </c>
      <c r="AN26" s="316">
        <f>D26*'Area(ha)-by-degradation-level'!S27+P26*'Area(ha)-by-degradation-level'!T27+AB26*'Area(ha)-by-degradation-level'!U27</f>
        <v>0</v>
      </c>
      <c r="AO26" s="316">
        <f>E26*'Area(ha)-by-degradation-level'!W27+Q26*'Area(ha)-by-degradation-level'!X27+AC26*'Area(ha)-by-degradation-level'!Y27</f>
        <v>0</v>
      </c>
      <c r="AP26" s="316">
        <f>F26*'Area(ha)-by-degradation-level'!AA27+R26*'Area(ha)-by-degradation-level'!AB27+AD26*'Area(ha)-by-degradation-level'!AC27</f>
        <v>0</v>
      </c>
      <c r="AQ26" s="316">
        <f>G26*'Area(ha)-by-degradation-level'!AE27+S26*'Area(ha)-by-degradation-level'!AF27+AE26*'Area(ha)-by-degradation-level'!AG27</f>
        <v>0</v>
      </c>
      <c r="AR26" s="316">
        <f>H26*'Area(ha)-by-degradation-level'!AI27+T26*'Area(ha)-by-degradation-level'!AJ27+AF26*'Area(ha)-by-degradation-level'!AK27</f>
        <v>0</v>
      </c>
      <c r="AS26" s="316">
        <f>I26*'Area(ha)-by-degradation-level'!AM27+U26*'Area(ha)-by-degradation-level'!AN27+AG26*'Area(ha)-by-degradation-level'!AO27</f>
        <v>0</v>
      </c>
      <c r="AT26" s="316">
        <f>J26*'Area(ha)-by-degradation-level'!AQ27+V26*'Area(ha)-by-degradation-level'!AR27+AH26*'Area(ha)-by-degradation-level'!AS27</f>
        <v>0</v>
      </c>
      <c r="AU26" s="316">
        <f>K26*'Area(ha)-by-degradation-level'!AU27+W26*'Area(ha)-by-degradation-level'!AV27+AI26*'Area(ha)-by-degradation-level'!AW27</f>
        <v>0</v>
      </c>
      <c r="AV26" s="316">
        <f>L26*'Area(ha)-by-degradation-level'!AY27+X26*'Area(ha)-by-degradation-level'!AZ27+AJ26*'Area(ha)-by-degradation-level'!BA27</f>
        <v>0</v>
      </c>
      <c r="AW26" s="316" t="e">
        <f>SUMPRODUCT(AM26:AR26,'Area&amp;production data'!$F27:$K27)/'Area&amp;production data'!$Q27</f>
        <v>#DIV/0!</v>
      </c>
      <c r="AX26" s="316" t="e">
        <f>SUMPRODUCT(AM26:AV26,'Soil-errosion1'!C27:L27)/'Soil-errosion1'!M27</f>
        <v>#DIV/0!</v>
      </c>
      <c r="AY26" s="41" t="e">
        <f t="shared" si="0"/>
        <v>#DIV/0!</v>
      </c>
    </row>
    <row r="27" spans="1:62" x14ac:dyDescent="0.25">
      <c r="A27" s="13">
        <v>24</v>
      </c>
      <c r="B27" s="13" t="s">
        <v>162</v>
      </c>
      <c r="C27" s="215">
        <f>'Soil-errosion1'!C91</f>
        <v>0</v>
      </c>
      <c r="D27" s="215">
        <f>'Soil-errosion1'!D91</f>
        <v>0</v>
      </c>
      <c r="E27" s="215">
        <f>'Soil-errosion1'!E91</f>
        <v>0</v>
      </c>
      <c r="F27" s="215">
        <f>'Soil-errosion1'!F91</f>
        <v>0</v>
      </c>
      <c r="G27" s="215">
        <f>'Soil-errosion1'!G91</f>
        <v>0</v>
      </c>
      <c r="H27" s="215">
        <f>'Soil-errosion1'!H91</f>
        <v>0</v>
      </c>
      <c r="I27" s="215">
        <f>'Soil-errosion1'!I91</f>
        <v>0</v>
      </c>
      <c r="J27" s="215">
        <f>'Soil-errosion1'!J91</f>
        <v>0</v>
      </c>
      <c r="K27" s="215">
        <f>'Soil-errosion1'!K91</f>
        <v>0</v>
      </c>
      <c r="L27" s="215">
        <f>'Soil-errosion1'!L91</f>
        <v>0</v>
      </c>
      <c r="M27" s="215" t="e">
        <f>SUMPRODUCT(C27:H27,'Area&amp;production data'!$F28:$K28)/'Area&amp;production data'!$Q28</f>
        <v>#DIV/0!</v>
      </c>
      <c r="N27" s="215" t="e">
        <f>'Soil-errosion1'!M91</f>
        <v>#DIV/0!</v>
      </c>
      <c r="O27" s="215">
        <f>'Soil-errosion1'!N91</f>
        <v>0</v>
      </c>
      <c r="P27" s="215">
        <f>'Soil-errosion1'!O91</f>
        <v>0</v>
      </c>
      <c r="Q27" s="215">
        <f>'Soil-errosion1'!P91</f>
        <v>0</v>
      </c>
      <c r="R27" s="215">
        <f>'Soil-errosion1'!Q91</f>
        <v>0</v>
      </c>
      <c r="S27" s="215">
        <f>'Soil-errosion1'!R91</f>
        <v>0</v>
      </c>
      <c r="T27" s="215">
        <f>'Soil-errosion1'!S91</f>
        <v>0</v>
      </c>
      <c r="U27" s="215">
        <f>'Soil-errosion1'!T91</f>
        <v>0</v>
      </c>
      <c r="V27" s="215">
        <f>'Soil-errosion1'!U91</f>
        <v>0</v>
      </c>
      <c r="W27" s="215">
        <f>'Soil-errosion1'!V91</f>
        <v>0</v>
      </c>
      <c r="X27" s="215">
        <f>'Soil-errosion1'!W91</f>
        <v>0</v>
      </c>
      <c r="Y27" s="215" t="e">
        <f>SUMPRODUCT(O27:T27,'Area&amp;production data'!$F28:$K28)/'Area&amp;production data'!$Q28</f>
        <v>#DIV/0!</v>
      </c>
      <c r="Z27" s="215" t="e">
        <f>SUMPRODUCT(O27:X27,'Soil-errosion1'!C28:L28)/'Soil-errosion1'!M28</f>
        <v>#DIV/0!</v>
      </c>
      <c r="AA27" s="215">
        <f>'Soil-errosion1'!Y91</f>
        <v>0</v>
      </c>
      <c r="AB27" s="215">
        <f>'Soil-errosion1'!Z91</f>
        <v>0</v>
      </c>
      <c r="AC27" s="215">
        <f>'Soil-errosion1'!AA91</f>
        <v>0</v>
      </c>
      <c r="AD27" s="215">
        <f>'Soil-errosion1'!AB91</f>
        <v>0</v>
      </c>
      <c r="AE27" s="215">
        <f>'Soil-errosion1'!AC91</f>
        <v>0</v>
      </c>
      <c r="AF27" s="215">
        <f>'Soil-errosion1'!AD91</f>
        <v>0</v>
      </c>
      <c r="AG27" s="215">
        <f>'Soil-errosion1'!AE91</f>
        <v>0</v>
      </c>
      <c r="AH27" s="215">
        <f>'Soil-errosion1'!AF91</f>
        <v>0</v>
      </c>
      <c r="AI27" s="215">
        <f>'Soil-errosion1'!AG91</f>
        <v>0</v>
      </c>
      <c r="AJ27" s="215">
        <f>'Soil-errosion1'!AH91</f>
        <v>0</v>
      </c>
      <c r="AK27" s="215" t="e">
        <f>SUMPRODUCT(AA27:AF27,'Area&amp;production data'!$F28:$K28)/'Area&amp;production data'!$Q28</f>
        <v>#DIV/0!</v>
      </c>
      <c r="AL27" s="215" t="e">
        <f>SUMPRODUCT(AA27:AJ27,'Soil-errosion1'!C28:L28)/'Soil-errosion1'!M28</f>
        <v>#DIV/0!</v>
      </c>
      <c r="AM27" s="316">
        <f>C27*'Area(ha)-by-degradation-level'!O28+O27*'Area(ha)-by-degradation-level'!P28+AA27*'Area(ha)-by-degradation-level'!Q28</f>
        <v>0</v>
      </c>
      <c r="AN27" s="316">
        <f>D27*'Area(ha)-by-degradation-level'!S28+P27*'Area(ha)-by-degradation-level'!T28+AB27*'Area(ha)-by-degradation-level'!U28</f>
        <v>0</v>
      </c>
      <c r="AO27" s="316">
        <f>E27*'Area(ha)-by-degradation-level'!W28+Q27*'Area(ha)-by-degradation-level'!X28+AC27*'Area(ha)-by-degradation-level'!Y28</f>
        <v>0</v>
      </c>
      <c r="AP27" s="316">
        <f>F27*'Area(ha)-by-degradation-level'!AA28+R27*'Area(ha)-by-degradation-level'!AB28+AD27*'Area(ha)-by-degradation-level'!AC28</f>
        <v>0</v>
      </c>
      <c r="AQ27" s="316">
        <f>G27*'Area(ha)-by-degradation-level'!AE28+S27*'Area(ha)-by-degradation-level'!AF28+AE27*'Area(ha)-by-degradation-level'!AG28</f>
        <v>0</v>
      </c>
      <c r="AR27" s="316">
        <f>H27*'Area(ha)-by-degradation-level'!AI28+T27*'Area(ha)-by-degradation-level'!AJ28+AF27*'Area(ha)-by-degradation-level'!AK28</f>
        <v>0</v>
      </c>
      <c r="AS27" s="316">
        <f>I27*'Area(ha)-by-degradation-level'!AM28+U27*'Area(ha)-by-degradation-level'!AN28+AG27*'Area(ha)-by-degradation-level'!AO28</f>
        <v>0</v>
      </c>
      <c r="AT27" s="316">
        <f>J27*'Area(ha)-by-degradation-level'!AQ28+V27*'Area(ha)-by-degradation-level'!AR28+AH27*'Area(ha)-by-degradation-level'!AS28</f>
        <v>0</v>
      </c>
      <c r="AU27" s="316">
        <f>K27*'Area(ha)-by-degradation-level'!AU28+W27*'Area(ha)-by-degradation-level'!AV28+AI27*'Area(ha)-by-degradation-level'!AW28</f>
        <v>0</v>
      </c>
      <c r="AV27" s="316">
        <f>L27*'Area(ha)-by-degradation-level'!AY28+X27*'Area(ha)-by-degradation-level'!AZ28+AJ27*'Area(ha)-by-degradation-level'!BA28</f>
        <v>0</v>
      </c>
      <c r="AW27" s="316" t="e">
        <f>SUMPRODUCT(AM27:AR27,'Area&amp;production data'!$F28:$K28)/'Area&amp;production data'!$Q28</f>
        <v>#DIV/0!</v>
      </c>
      <c r="AX27" s="316" t="e">
        <f>SUMPRODUCT(AM27:AV27,'Soil-errosion1'!C28:L28)/'Soil-errosion1'!M28</f>
        <v>#DIV/0!</v>
      </c>
      <c r="AY27" s="41" t="e">
        <f t="shared" si="0"/>
        <v>#DIV/0!</v>
      </c>
    </row>
    <row r="28" spans="1:62" s="1" customFormat="1" x14ac:dyDescent="0.25">
      <c r="A28" s="15"/>
      <c r="B28" s="15" t="s">
        <v>233</v>
      </c>
      <c r="C28" s="316" t="e">
        <f>SUMPRODUCT(C4:C27,'Area&amp;production data'!$F5:$F28)/'Area&amp;production data'!$F29</f>
        <v>#DIV/0!</v>
      </c>
      <c r="D28" s="316" t="e">
        <f>SUMPRODUCT(D4:D27,'Area&amp;production data'!$G5:$G28)/'Area&amp;production data'!$G29</f>
        <v>#DIV/0!</v>
      </c>
      <c r="E28" s="316" t="e">
        <f>SUMPRODUCT(E4:E27,'Area&amp;production data'!$H5:$H28)/'Area&amp;production data'!$H29</f>
        <v>#DIV/0!</v>
      </c>
      <c r="F28" s="316" t="e">
        <f>SUMPRODUCT(F4:F27,'Area&amp;production data'!$I5:$I28)/'Area&amp;production data'!$I29</f>
        <v>#DIV/0!</v>
      </c>
      <c r="G28" s="316" t="e">
        <f>SUMPRODUCT(G4:G27,'Area&amp;production data'!$J5:$J28)/'Area&amp;production data'!$J29</f>
        <v>#DIV/0!</v>
      </c>
      <c r="H28" s="316" t="e">
        <f>SUMPRODUCT(H4:H27,'Area&amp;production data'!$K5:$K28)/'Area&amp;production data'!$K29</f>
        <v>#DIV/0!</v>
      </c>
      <c r="I28" s="316" t="e">
        <f>SUMPRODUCT(I4:I27,'Area&amp;production data'!$L5:$L28)/'Area&amp;production data'!$L29</f>
        <v>#DIV/0!</v>
      </c>
      <c r="J28" s="316" t="e">
        <f>SUMPRODUCT(J4:J27,'Area&amp;production data'!$M5:$M28)/'Area&amp;production data'!$M29</f>
        <v>#DIV/0!</v>
      </c>
      <c r="K28" s="316" t="e">
        <f>SUMPRODUCT(K4:K27,'Area&amp;production data'!$N5:$N28)/'Area&amp;production data'!$N29</f>
        <v>#DIV/0!</v>
      </c>
      <c r="L28" s="316" t="e">
        <f>SUMPRODUCT(L4:L27,'Area&amp;production data'!$O5:$O28)/'Area&amp;production data'!$O29</f>
        <v>#DIV/0!</v>
      </c>
      <c r="M28" s="316" t="e">
        <f>SUMPRODUCT(M4:M27,'Area&amp;production data'!$Q5:$Q28)/'Area&amp;production data'!$Q29</f>
        <v>#DIV/0!</v>
      </c>
      <c r="N28" s="316" t="e">
        <f>SUMPRODUCT(N4:N27,'Soil-errosion1'!M5:M28)/'Soil-errosion1'!M29</f>
        <v>#DIV/0!</v>
      </c>
      <c r="O28" s="316" t="e">
        <f>SUMPRODUCT(O4:O27,'Area&amp;production data'!$F5:$F28)/'Area&amp;production data'!$F29</f>
        <v>#DIV/0!</v>
      </c>
      <c r="P28" s="316" t="e">
        <f>SUMPRODUCT(P4:P27,'Area&amp;production data'!$G5:$G28)/'Area&amp;production data'!$G29</f>
        <v>#DIV/0!</v>
      </c>
      <c r="Q28" s="316" t="e">
        <f>SUMPRODUCT(Q4:Q27,'Area&amp;production data'!$H5:$H28)/'Area&amp;production data'!$H29</f>
        <v>#DIV/0!</v>
      </c>
      <c r="R28" s="316" t="e">
        <f>SUMPRODUCT(R4:R27,'Area&amp;production data'!$I5:$I28)/'Area&amp;production data'!$I29</f>
        <v>#DIV/0!</v>
      </c>
      <c r="S28" s="316" t="e">
        <f>SUMPRODUCT(S4:S27,'Area&amp;production data'!$J5:$J28)/'Area&amp;production data'!$J29</f>
        <v>#DIV/0!</v>
      </c>
      <c r="T28" s="316" t="e">
        <f>SUMPRODUCT(T4:T27,'Area&amp;production data'!$K5:$K28)/'Area&amp;production data'!$K29</f>
        <v>#DIV/0!</v>
      </c>
      <c r="U28" s="316" t="e">
        <f>SUMPRODUCT(U4:U27,'Area&amp;production data'!$L5:$L28)/'Area&amp;production data'!$L29</f>
        <v>#DIV/0!</v>
      </c>
      <c r="V28" s="316" t="e">
        <f>SUMPRODUCT(V4:V27,'Area&amp;production data'!$M5:$M28)/'Area&amp;production data'!$M29</f>
        <v>#DIV/0!</v>
      </c>
      <c r="W28" s="316" t="e">
        <f>SUMPRODUCT(W4:W27,'Area&amp;production data'!$N5:$N28)/'Area&amp;production data'!$N29</f>
        <v>#DIV/0!</v>
      </c>
      <c r="X28" s="316" t="e">
        <f>SUMPRODUCT(X4:X27,'Area&amp;production data'!$O5:$O28)/'Area&amp;production data'!$O29</f>
        <v>#DIV/0!</v>
      </c>
      <c r="Y28" s="316" t="e">
        <f>SUMPRODUCT(Y4:Y27,'Area&amp;production data'!$Q5:$Q28)/'Area&amp;production data'!$Q29</f>
        <v>#DIV/0!</v>
      </c>
      <c r="Z28" s="316" t="e">
        <f>SUMPRODUCT(Z4:Z27,'Soil-errosion1'!M5:M28)/'Soil-errosion1'!M29</f>
        <v>#DIV/0!</v>
      </c>
      <c r="AA28" s="316" t="e">
        <f>SUMPRODUCT(AA4:AA27,'Area&amp;production data'!$F5:$F28)/'Area&amp;production data'!$F29</f>
        <v>#DIV/0!</v>
      </c>
      <c r="AB28" s="316" t="e">
        <f>SUMPRODUCT(AB4:AB27,'Area&amp;production data'!$G5:$G28)/'Area&amp;production data'!$G29</f>
        <v>#DIV/0!</v>
      </c>
      <c r="AC28" s="316" t="e">
        <f>SUMPRODUCT(AC4:AC27,'Area&amp;production data'!$H5:$H28)/'Area&amp;production data'!$H29</f>
        <v>#DIV/0!</v>
      </c>
      <c r="AD28" s="316" t="e">
        <f>SUMPRODUCT(AD4:AD27,'Area&amp;production data'!$I5:$I28)/'Area&amp;production data'!$I29</f>
        <v>#DIV/0!</v>
      </c>
      <c r="AE28" s="316" t="e">
        <f>SUMPRODUCT(AE4:AE27,'Area&amp;production data'!$J5:$J28)/'Area&amp;production data'!$J29</f>
        <v>#DIV/0!</v>
      </c>
      <c r="AF28" s="316" t="e">
        <f>SUMPRODUCT(AF4:AF27,'Area&amp;production data'!$K5:$K28)/'Area&amp;production data'!$K29</f>
        <v>#DIV/0!</v>
      </c>
      <c r="AG28" s="316" t="e">
        <f>SUMPRODUCT(AG4:AG27,'Area&amp;production data'!$L5:$L28)/'Area&amp;production data'!$L29</f>
        <v>#DIV/0!</v>
      </c>
      <c r="AH28" s="316" t="e">
        <f>SUMPRODUCT(AH4:AH27,'Area&amp;production data'!$M5:$M28)/'Area&amp;production data'!$M29</f>
        <v>#DIV/0!</v>
      </c>
      <c r="AI28" s="316" t="e">
        <f>SUMPRODUCT(AI4:AI27,'Area&amp;production data'!$N5:$N28)/'Area&amp;production data'!$N29</f>
        <v>#DIV/0!</v>
      </c>
      <c r="AJ28" s="316" t="e">
        <f>SUMPRODUCT(AJ4:AJ27,'Area&amp;production data'!$O5:$O28)/'Area&amp;production data'!$O29</f>
        <v>#DIV/0!</v>
      </c>
      <c r="AK28" s="316" t="e">
        <f>SUMPRODUCT(AK4:AK27,'Area&amp;production data'!$Q5:$Q28)/'Area&amp;production data'!$Q29</f>
        <v>#DIV/0!</v>
      </c>
      <c r="AL28" s="316" t="e">
        <f>SUMPRODUCT(AL4:AL27,'Soil-errosion1'!M5:M28)/'Soil-errosion1'!M29</f>
        <v>#DIV/0!</v>
      </c>
      <c r="AM28" s="316" t="e">
        <f>SUMPRODUCT(AM4:AM27,'Soil-errosion1'!C5:C28)/'Soil-errosion1'!C29</f>
        <v>#DIV/0!</v>
      </c>
      <c r="AN28" s="316" t="e">
        <f>SUMPRODUCT(AN4:AN27,'Soil-errosion1'!D5:D28)/'Soil-errosion1'!D29</f>
        <v>#DIV/0!</v>
      </c>
      <c r="AO28" s="316" t="e">
        <f>SUMPRODUCT(AO4:AO27,'Soil-errosion1'!E5:E28)/'Soil-errosion1'!E29</f>
        <v>#DIV/0!</v>
      </c>
      <c r="AP28" s="316" t="e">
        <f>SUMPRODUCT(AP4:AP27,'Soil-errosion1'!F5:F28)/'Soil-errosion1'!F29</f>
        <v>#DIV/0!</v>
      </c>
      <c r="AQ28" s="316" t="e">
        <f>SUMPRODUCT(AQ4:AQ27,'Soil-errosion1'!G5:G28)/'Soil-errosion1'!G29</f>
        <v>#DIV/0!</v>
      </c>
      <c r="AR28" s="316" t="e">
        <f>SUMPRODUCT(AR4:AR27,'Soil-errosion1'!H5:H28)/'Soil-errosion1'!H29</f>
        <v>#DIV/0!</v>
      </c>
      <c r="AS28" s="316" t="e">
        <f>SUMPRODUCT(AS4:AS27,'Soil-errosion1'!I5:I28)/'Soil-errosion1'!I29</f>
        <v>#DIV/0!</v>
      </c>
      <c r="AT28" s="316" t="e">
        <f>SUMPRODUCT(AT4:AT27,'Soil-errosion1'!J5:J28)/'Soil-errosion1'!J29</f>
        <v>#DIV/0!</v>
      </c>
      <c r="AU28" s="316" t="e">
        <f>SUMPRODUCT(AU4:AU27,'Soil-errosion1'!K5:K28)/'Soil-errosion1'!K29</f>
        <v>#DIV/0!</v>
      </c>
      <c r="AV28" s="316" t="e">
        <f>SUMPRODUCT(AV4:AV27,'Soil-errosion1'!L5:L28)/'Soil-errosion1'!L29</f>
        <v>#DIV/0!</v>
      </c>
      <c r="AW28" s="316" t="e">
        <f>SUMPRODUCT(AW4:AW27,'Soil-errosion1'!M5:M28)/'Soil-errosion1'!M29</f>
        <v>#DIV/0!</v>
      </c>
      <c r="AX28" s="316" t="e">
        <f>SUMPRODUCT(AX4:AX27,'Soil-errosion1'!M5:M28)/'Soil-errosion1'!M29</f>
        <v>#DIV/0!</v>
      </c>
      <c r="AY28" s="41"/>
    </row>
    <row r="29" spans="1:62" x14ac:dyDescent="0.25">
      <c r="C29" s="52"/>
      <c r="D29" s="52"/>
      <c r="E29" s="52"/>
      <c r="F29" s="52"/>
      <c r="G29" s="52"/>
      <c r="H29" s="52"/>
      <c r="I29" s="52"/>
      <c r="J29" s="52"/>
      <c r="K29" s="52"/>
      <c r="L29" s="566" t="s">
        <v>234</v>
      </c>
      <c r="M29" s="566" t="s">
        <v>235</v>
      </c>
      <c r="N29" s="566" t="s">
        <v>236</v>
      </c>
      <c r="O29" s="566" t="s">
        <v>213</v>
      </c>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row>
    <row r="30" spans="1:62" x14ac:dyDescent="0.25">
      <c r="C30" s="52"/>
      <c r="D30" s="827" t="s">
        <v>237</v>
      </c>
      <c r="E30" s="827"/>
      <c r="F30" s="827"/>
      <c r="G30" s="52"/>
      <c r="H30" s="52"/>
      <c r="I30" s="52"/>
      <c r="J30" s="52"/>
      <c r="K30" s="52"/>
      <c r="L30" s="566" t="e">
        <f>M28</f>
        <v>#DIV/0!</v>
      </c>
      <c r="M30" s="566" t="e">
        <f>Y28</f>
        <v>#DIV/0!</v>
      </c>
      <c r="N30" s="566" t="e">
        <f>AK28</f>
        <v>#DIV/0!</v>
      </c>
      <c r="O30" s="566" t="e">
        <f>AX28</f>
        <v>#DIV/0!</v>
      </c>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row>
    <row r="31" spans="1:62" x14ac:dyDescent="0.25">
      <c r="C31" s="52"/>
      <c r="D31" s="80" t="s">
        <v>234</v>
      </c>
      <c r="E31" s="80" t="s">
        <v>235</v>
      </c>
      <c r="F31" s="80" t="s">
        <v>238</v>
      </c>
      <c r="G31" s="52"/>
      <c r="H31" s="52"/>
      <c r="I31" s="52"/>
      <c r="J31" s="52"/>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row>
    <row r="32" spans="1:62" x14ac:dyDescent="0.25">
      <c r="B32" s="63" t="s">
        <v>239</v>
      </c>
      <c r="C32" s="52"/>
      <c r="D32" s="828">
        <f>'Cereals-all-year'!G126</f>
        <v>1400</v>
      </c>
      <c r="E32" s="828"/>
      <c r="F32" s="828"/>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row>
    <row r="33" spans="1:62" x14ac:dyDescent="0.25">
      <c r="B33" t="s">
        <v>1159</v>
      </c>
      <c r="C33" s="52"/>
      <c r="D33" s="829">
        <f>D32*'Soil-errosion1'!M29</f>
        <v>0</v>
      </c>
      <c r="E33" s="829"/>
      <c r="F33" s="829"/>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row>
    <row r="35" spans="1:62" ht="26.1" customHeight="1" x14ac:dyDescent="0.25">
      <c r="A35" s="13"/>
      <c r="B35" s="13" t="s">
        <v>101</v>
      </c>
      <c r="C35" s="755" t="s">
        <v>240</v>
      </c>
      <c r="D35" s="755"/>
      <c r="E35" s="755"/>
      <c r="F35" s="755"/>
      <c r="G35" s="755"/>
      <c r="H35" s="755"/>
      <c r="I35" s="755"/>
      <c r="J35" s="755"/>
      <c r="K35" s="755"/>
      <c r="L35" s="755"/>
      <c r="M35" s="755"/>
      <c r="N35" s="755"/>
      <c r="O35" s="755" t="s">
        <v>241</v>
      </c>
      <c r="P35" s="755"/>
      <c r="Q35" s="755"/>
      <c r="R35" s="755"/>
      <c r="S35" s="755"/>
      <c r="T35" s="755"/>
      <c r="U35" s="755"/>
      <c r="V35" s="755"/>
      <c r="W35" s="755"/>
      <c r="X35" s="755"/>
      <c r="Y35" s="755"/>
      <c r="Z35" s="755"/>
      <c r="AA35" s="755" t="s">
        <v>242</v>
      </c>
      <c r="AB35" s="755"/>
      <c r="AC35" s="755"/>
      <c r="AD35" s="755"/>
      <c r="AE35" s="755"/>
      <c r="AF35" s="755"/>
      <c r="AG35" s="755"/>
      <c r="AH35" s="755"/>
      <c r="AI35" s="755"/>
      <c r="AJ35" s="755"/>
      <c r="AK35" s="755"/>
      <c r="AL35" s="755"/>
      <c r="AM35" s="755" t="s">
        <v>243</v>
      </c>
      <c r="AN35" s="755"/>
      <c r="AO35" s="755"/>
      <c r="AP35" s="755"/>
      <c r="AQ35" s="755"/>
      <c r="AR35" s="755"/>
      <c r="AS35" s="755"/>
      <c r="AT35" s="755"/>
      <c r="AU35" s="755"/>
      <c r="AV35" s="755"/>
      <c r="AW35" s="755"/>
      <c r="AX35" s="755"/>
    </row>
    <row r="36" spans="1:62" ht="45" x14ac:dyDescent="0.25">
      <c r="A36" s="13"/>
      <c r="B36" s="13"/>
      <c r="C36" s="16" t="s">
        <v>24</v>
      </c>
      <c r="D36" s="16" t="s">
        <v>26</v>
      </c>
      <c r="E36" s="85" t="s">
        <v>28</v>
      </c>
      <c r="F36" s="85" t="s">
        <v>30</v>
      </c>
      <c r="G36" s="85" t="s">
        <v>121</v>
      </c>
      <c r="H36" s="85" t="s">
        <v>131</v>
      </c>
      <c r="I36" s="85" t="s">
        <v>123</v>
      </c>
      <c r="J36" s="85" t="s">
        <v>38</v>
      </c>
      <c r="K36" s="85" t="s">
        <v>124</v>
      </c>
      <c r="L36" s="85" t="s">
        <v>125</v>
      </c>
      <c r="M36" s="232" t="s">
        <v>231</v>
      </c>
      <c r="N36" s="232" t="s">
        <v>232</v>
      </c>
      <c r="O36" s="16" t="s">
        <v>24</v>
      </c>
      <c r="P36" s="16" t="s">
        <v>26</v>
      </c>
      <c r="Q36" s="85" t="s">
        <v>28</v>
      </c>
      <c r="R36" s="85" t="s">
        <v>30</v>
      </c>
      <c r="S36" s="85" t="s">
        <v>121</v>
      </c>
      <c r="T36" s="85" t="s">
        <v>131</v>
      </c>
      <c r="U36" s="85" t="s">
        <v>123</v>
      </c>
      <c r="V36" s="85" t="s">
        <v>38</v>
      </c>
      <c r="W36" s="85" t="s">
        <v>124</v>
      </c>
      <c r="X36" s="85" t="s">
        <v>125</v>
      </c>
      <c r="Y36" s="232" t="s">
        <v>231</v>
      </c>
      <c r="Z36" s="232" t="s">
        <v>232</v>
      </c>
      <c r="AA36" s="16" t="s">
        <v>24</v>
      </c>
      <c r="AB36" s="16" t="s">
        <v>26</v>
      </c>
      <c r="AC36" s="85" t="s">
        <v>28</v>
      </c>
      <c r="AD36" s="85" t="s">
        <v>30</v>
      </c>
      <c r="AE36" s="85" t="s">
        <v>121</v>
      </c>
      <c r="AF36" s="85" t="s">
        <v>131</v>
      </c>
      <c r="AG36" s="85" t="s">
        <v>123</v>
      </c>
      <c r="AH36" s="85" t="s">
        <v>38</v>
      </c>
      <c r="AI36" s="85" t="s">
        <v>124</v>
      </c>
      <c r="AJ36" s="85" t="s">
        <v>125</v>
      </c>
      <c r="AK36" s="232" t="s">
        <v>231</v>
      </c>
      <c r="AL36" s="232" t="s">
        <v>232</v>
      </c>
      <c r="AM36" s="16" t="s">
        <v>24</v>
      </c>
      <c r="AN36" s="16" t="s">
        <v>26</v>
      </c>
      <c r="AO36" s="85" t="s">
        <v>28</v>
      </c>
      <c r="AP36" s="85" t="s">
        <v>30</v>
      </c>
      <c r="AQ36" s="85" t="s">
        <v>121</v>
      </c>
      <c r="AR36" s="85" t="s">
        <v>131</v>
      </c>
      <c r="AS36" s="85" t="s">
        <v>123</v>
      </c>
      <c r="AT36" s="85" t="s">
        <v>38</v>
      </c>
      <c r="AU36" s="85" t="s">
        <v>124</v>
      </c>
      <c r="AV36" s="85" t="s">
        <v>125</v>
      </c>
      <c r="AW36" s="232" t="s">
        <v>231</v>
      </c>
      <c r="AX36" s="232" t="s">
        <v>232</v>
      </c>
    </row>
    <row r="37" spans="1:62" x14ac:dyDescent="0.25">
      <c r="A37" s="13">
        <v>1</v>
      </c>
      <c r="B37" s="13" t="s">
        <v>139</v>
      </c>
      <c r="C37" s="421">
        <f>C4/$D$32</f>
        <v>0</v>
      </c>
      <c r="D37" s="421">
        <f t="shared" ref="D37:N37" si="1">D4/$D$32</f>
        <v>0</v>
      </c>
      <c r="E37" s="421">
        <f>E4/$D$32</f>
        <v>0</v>
      </c>
      <c r="F37" s="421">
        <f t="shared" si="1"/>
        <v>0</v>
      </c>
      <c r="G37" s="421">
        <f t="shared" si="1"/>
        <v>0</v>
      </c>
      <c r="H37" s="421">
        <f t="shared" si="1"/>
        <v>0</v>
      </c>
      <c r="I37" s="421">
        <f t="shared" si="1"/>
        <v>0</v>
      </c>
      <c r="J37" s="421">
        <f t="shared" si="1"/>
        <v>0</v>
      </c>
      <c r="K37" s="421">
        <f t="shared" si="1"/>
        <v>0</v>
      </c>
      <c r="L37" s="421">
        <f t="shared" si="1"/>
        <v>0</v>
      </c>
      <c r="M37" s="421" t="e">
        <f t="shared" si="1"/>
        <v>#DIV/0!</v>
      </c>
      <c r="N37" s="421" t="e">
        <f t="shared" si="1"/>
        <v>#DIV/0!</v>
      </c>
      <c r="O37" s="421">
        <f>O4/$D$32</f>
        <v>0</v>
      </c>
      <c r="P37" s="421">
        <f t="shared" ref="P37:Z37" si="2">P4/$D$32</f>
        <v>0</v>
      </c>
      <c r="Q37" s="421">
        <f t="shared" si="2"/>
        <v>0</v>
      </c>
      <c r="R37" s="421">
        <f t="shared" si="2"/>
        <v>0</v>
      </c>
      <c r="S37" s="421">
        <f t="shared" si="2"/>
        <v>0</v>
      </c>
      <c r="T37" s="421">
        <f t="shared" si="2"/>
        <v>0</v>
      </c>
      <c r="U37" s="421">
        <f t="shared" si="2"/>
        <v>0</v>
      </c>
      <c r="V37" s="421">
        <f t="shared" si="2"/>
        <v>0</v>
      </c>
      <c r="W37" s="421">
        <f t="shared" si="2"/>
        <v>0</v>
      </c>
      <c r="X37" s="421">
        <f t="shared" si="2"/>
        <v>0</v>
      </c>
      <c r="Y37" s="421" t="e">
        <f t="shared" si="2"/>
        <v>#DIV/0!</v>
      </c>
      <c r="Z37" s="421" t="e">
        <f t="shared" si="2"/>
        <v>#DIV/0!</v>
      </c>
      <c r="AA37" s="421">
        <f>AA4/$D$32</f>
        <v>0</v>
      </c>
      <c r="AB37" s="421">
        <f t="shared" ref="AB37:AL37" si="3">AB4/$D$32</f>
        <v>0</v>
      </c>
      <c r="AC37" s="421">
        <f t="shared" si="3"/>
        <v>0</v>
      </c>
      <c r="AD37" s="421">
        <f t="shared" si="3"/>
        <v>0</v>
      </c>
      <c r="AE37" s="421">
        <f t="shared" si="3"/>
        <v>0</v>
      </c>
      <c r="AF37" s="421">
        <f t="shared" si="3"/>
        <v>0</v>
      </c>
      <c r="AG37" s="421">
        <f t="shared" si="3"/>
        <v>0</v>
      </c>
      <c r="AH37" s="421">
        <f t="shared" si="3"/>
        <v>0</v>
      </c>
      <c r="AI37" s="421">
        <f t="shared" si="3"/>
        <v>0</v>
      </c>
      <c r="AJ37" s="421">
        <f t="shared" si="3"/>
        <v>0</v>
      </c>
      <c r="AK37" s="421" t="e">
        <f t="shared" si="3"/>
        <v>#DIV/0!</v>
      </c>
      <c r="AL37" s="421" t="e">
        <f t="shared" si="3"/>
        <v>#DIV/0!</v>
      </c>
      <c r="AM37" s="421">
        <f>AM4/$D$32</f>
        <v>0</v>
      </c>
      <c r="AN37" s="421">
        <f t="shared" ref="AN37:AV37" si="4">AN4/$D$32</f>
        <v>0</v>
      </c>
      <c r="AO37" s="421">
        <f t="shared" si="4"/>
        <v>0</v>
      </c>
      <c r="AP37" s="421">
        <f t="shared" si="4"/>
        <v>0</v>
      </c>
      <c r="AQ37" s="421">
        <f t="shared" si="4"/>
        <v>0</v>
      </c>
      <c r="AR37" s="421">
        <f t="shared" si="4"/>
        <v>0</v>
      </c>
      <c r="AS37" s="421">
        <f t="shared" si="4"/>
        <v>0</v>
      </c>
      <c r="AT37" s="421">
        <f t="shared" si="4"/>
        <v>0</v>
      </c>
      <c r="AU37" s="421">
        <f t="shared" si="4"/>
        <v>0</v>
      </c>
      <c r="AV37" s="421">
        <f t="shared" si="4"/>
        <v>0</v>
      </c>
      <c r="AW37" s="421" t="e">
        <f>AW4/$D$32</f>
        <v>#DIV/0!</v>
      </c>
      <c r="AX37" s="421" t="e">
        <f>AX4/$D$32</f>
        <v>#DIV/0!</v>
      </c>
    </row>
    <row r="38" spans="1:62" x14ac:dyDescent="0.25">
      <c r="A38" s="13">
        <v>2</v>
      </c>
      <c r="B38" s="13" t="s">
        <v>140</v>
      </c>
      <c r="C38" s="421">
        <f t="shared" ref="C38:N38" si="5">C5/$D$32</f>
        <v>0</v>
      </c>
      <c r="D38" s="421">
        <f t="shared" si="5"/>
        <v>0</v>
      </c>
      <c r="E38" s="421">
        <f t="shared" si="5"/>
        <v>0</v>
      </c>
      <c r="F38" s="421">
        <f t="shared" si="5"/>
        <v>0</v>
      </c>
      <c r="G38" s="421">
        <f t="shared" si="5"/>
        <v>0</v>
      </c>
      <c r="H38" s="421">
        <f t="shared" si="5"/>
        <v>0</v>
      </c>
      <c r="I38" s="421">
        <f t="shared" si="5"/>
        <v>0</v>
      </c>
      <c r="J38" s="421">
        <f t="shared" si="5"/>
        <v>0</v>
      </c>
      <c r="K38" s="421">
        <f t="shared" si="5"/>
        <v>0</v>
      </c>
      <c r="L38" s="421">
        <f t="shared" si="5"/>
        <v>0</v>
      </c>
      <c r="M38" s="421" t="e">
        <f t="shared" si="5"/>
        <v>#DIV/0!</v>
      </c>
      <c r="N38" s="421" t="e">
        <f t="shared" si="5"/>
        <v>#DIV/0!</v>
      </c>
      <c r="O38" s="421">
        <f t="shared" ref="O38:AX38" si="6">O5/$D$32</f>
        <v>0</v>
      </c>
      <c r="P38" s="421">
        <f t="shared" si="6"/>
        <v>0</v>
      </c>
      <c r="Q38" s="421">
        <f t="shared" si="6"/>
        <v>0</v>
      </c>
      <c r="R38" s="421">
        <f t="shared" si="6"/>
        <v>0</v>
      </c>
      <c r="S38" s="421">
        <f t="shared" si="6"/>
        <v>0</v>
      </c>
      <c r="T38" s="421">
        <f t="shared" si="6"/>
        <v>0</v>
      </c>
      <c r="U38" s="421">
        <f t="shared" si="6"/>
        <v>0</v>
      </c>
      <c r="V38" s="421">
        <f t="shared" si="6"/>
        <v>0</v>
      </c>
      <c r="W38" s="421">
        <f t="shared" si="6"/>
        <v>0</v>
      </c>
      <c r="X38" s="421">
        <f t="shared" si="6"/>
        <v>0</v>
      </c>
      <c r="Y38" s="421" t="e">
        <f t="shared" si="6"/>
        <v>#DIV/0!</v>
      </c>
      <c r="Z38" s="421" t="e">
        <f t="shared" si="6"/>
        <v>#DIV/0!</v>
      </c>
      <c r="AA38" s="421">
        <f t="shared" si="6"/>
        <v>0</v>
      </c>
      <c r="AB38" s="421">
        <f t="shared" si="6"/>
        <v>0</v>
      </c>
      <c r="AC38" s="421">
        <f t="shared" si="6"/>
        <v>0</v>
      </c>
      <c r="AD38" s="421">
        <f t="shared" si="6"/>
        <v>0</v>
      </c>
      <c r="AE38" s="421">
        <f t="shared" si="6"/>
        <v>0</v>
      </c>
      <c r="AF38" s="421">
        <f t="shared" si="6"/>
        <v>0</v>
      </c>
      <c r="AG38" s="421">
        <f t="shared" si="6"/>
        <v>0</v>
      </c>
      <c r="AH38" s="421">
        <f t="shared" si="6"/>
        <v>0</v>
      </c>
      <c r="AI38" s="421">
        <f t="shared" si="6"/>
        <v>0</v>
      </c>
      <c r="AJ38" s="421">
        <f t="shared" si="6"/>
        <v>0</v>
      </c>
      <c r="AK38" s="421" t="e">
        <f t="shared" si="6"/>
        <v>#DIV/0!</v>
      </c>
      <c r="AL38" s="421" t="e">
        <f t="shared" si="6"/>
        <v>#DIV/0!</v>
      </c>
      <c r="AM38" s="421">
        <f t="shared" si="6"/>
        <v>0</v>
      </c>
      <c r="AN38" s="421">
        <f t="shared" si="6"/>
        <v>0</v>
      </c>
      <c r="AO38" s="421">
        <f t="shared" si="6"/>
        <v>0</v>
      </c>
      <c r="AP38" s="421">
        <f t="shared" si="6"/>
        <v>0</v>
      </c>
      <c r="AQ38" s="421">
        <f t="shared" si="6"/>
        <v>0</v>
      </c>
      <c r="AR38" s="421">
        <f t="shared" si="6"/>
        <v>0</v>
      </c>
      <c r="AS38" s="421">
        <f t="shared" si="6"/>
        <v>0</v>
      </c>
      <c r="AT38" s="421">
        <f t="shared" si="6"/>
        <v>0</v>
      </c>
      <c r="AU38" s="421">
        <f t="shared" si="6"/>
        <v>0</v>
      </c>
      <c r="AV38" s="421">
        <f t="shared" si="6"/>
        <v>0</v>
      </c>
      <c r="AW38" s="421" t="e">
        <f t="shared" si="6"/>
        <v>#DIV/0!</v>
      </c>
      <c r="AX38" s="421" t="e">
        <f t="shared" si="6"/>
        <v>#DIV/0!</v>
      </c>
    </row>
    <row r="39" spans="1:62" x14ac:dyDescent="0.25">
      <c r="A39" s="13">
        <v>3</v>
      </c>
      <c r="B39" s="13" t="s">
        <v>141</v>
      </c>
      <c r="C39" s="421">
        <f t="shared" ref="C39:N39" si="7">C6/$D$32</f>
        <v>0</v>
      </c>
      <c r="D39" s="421">
        <f t="shared" si="7"/>
        <v>0</v>
      </c>
      <c r="E39" s="421">
        <f t="shared" si="7"/>
        <v>0</v>
      </c>
      <c r="F39" s="421">
        <f t="shared" si="7"/>
        <v>0</v>
      </c>
      <c r="G39" s="421">
        <f t="shared" si="7"/>
        <v>0</v>
      </c>
      <c r="H39" s="421">
        <f t="shared" si="7"/>
        <v>0</v>
      </c>
      <c r="I39" s="421">
        <f t="shared" si="7"/>
        <v>0</v>
      </c>
      <c r="J39" s="421">
        <f t="shared" si="7"/>
        <v>0</v>
      </c>
      <c r="K39" s="421">
        <f t="shared" si="7"/>
        <v>0</v>
      </c>
      <c r="L39" s="421">
        <f t="shared" si="7"/>
        <v>0</v>
      </c>
      <c r="M39" s="421" t="e">
        <f t="shared" si="7"/>
        <v>#DIV/0!</v>
      </c>
      <c r="N39" s="421" t="e">
        <f t="shared" si="7"/>
        <v>#DIV/0!</v>
      </c>
      <c r="O39" s="421">
        <f t="shared" ref="O39:AX39" si="8">O6/$D$32</f>
        <v>0</v>
      </c>
      <c r="P39" s="421">
        <f t="shared" si="8"/>
        <v>0</v>
      </c>
      <c r="Q39" s="421">
        <f t="shared" si="8"/>
        <v>0</v>
      </c>
      <c r="R39" s="421">
        <f t="shared" si="8"/>
        <v>0</v>
      </c>
      <c r="S39" s="421">
        <f t="shared" si="8"/>
        <v>0</v>
      </c>
      <c r="T39" s="421">
        <f t="shared" si="8"/>
        <v>0</v>
      </c>
      <c r="U39" s="421">
        <f t="shared" si="8"/>
        <v>0</v>
      </c>
      <c r="V39" s="421">
        <f t="shared" si="8"/>
        <v>0</v>
      </c>
      <c r="W39" s="421">
        <f t="shared" si="8"/>
        <v>0</v>
      </c>
      <c r="X39" s="421">
        <f t="shared" si="8"/>
        <v>0</v>
      </c>
      <c r="Y39" s="421" t="e">
        <f t="shared" si="8"/>
        <v>#DIV/0!</v>
      </c>
      <c r="Z39" s="421" t="e">
        <f t="shared" si="8"/>
        <v>#DIV/0!</v>
      </c>
      <c r="AA39" s="421">
        <f t="shared" si="8"/>
        <v>0</v>
      </c>
      <c r="AB39" s="421">
        <f t="shared" si="8"/>
        <v>0</v>
      </c>
      <c r="AC39" s="421">
        <f t="shared" si="8"/>
        <v>0</v>
      </c>
      <c r="AD39" s="421">
        <f t="shared" si="8"/>
        <v>0</v>
      </c>
      <c r="AE39" s="421">
        <f t="shared" si="8"/>
        <v>0</v>
      </c>
      <c r="AF39" s="421">
        <f t="shared" si="8"/>
        <v>0</v>
      </c>
      <c r="AG39" s="421">
        <f t="shared" si="8"/>
        <v>0</v>
      </c>
      <c r="AH39" s="421">
        <f t="shared" si="8"/>
        <v>0</v>
      </c>
      <c r="AI39" s="421">
        <f t="shared" si="8"/>
        <v>0</v>
      </c>
      <c r="AJ39" s="421">
        <f t="shared" si="8"/>
        <v>0</v>
      </c>
      <c r="AK39" s="421" t="e">
        <f t="shared" si="8"/>
        <v>#DIV/0!</v>
      </c>
      <c r="AL39" s="421" t="e">
        <f t="shared" si="8"/>
        <v>#DIV/0!</v>
      </c>
      <c r="AM39" s="421">
        <f t="shared" si="8"/>
        <v>0</v>
      </c>
      <c r="AN39" s="421">
        <f t="shared" si="8"/>
        <v>0</v>
      </c>
      <c r="AO39" s="421">
        <f t="shared" si="8"/>
        <v>0</v>
      </c>
      <c r="AP39" s="421">
        <f t="shared" si="8"/>
        <v>0</v>
      </c>
      <c r="AQ39" s="421">
        <f t="shared" si="8"/>
        <v>0</v>
      </c>
      <c r="AR39" s="421">
        <f t="shared" si="8"/>
        <v>0</v>
      </c>
      <c r="AS39" s="421">
        <f t="shared" si="8"/>
        <v>0</v>
      </c>
      <c r="AT39" s="421">
        <f t="shared" si="8"/>
        <v>0</v>
      </c>
      <c r="AU39" s="421">
        <f t="shared" si="8"/>
        <v>0</v>
      </c>
      <c r="AV39" s="421">
        <f t="shared" si="8"/>
        <v>0</v>
      </c>
      <c r="AW39" s="421" t="e">
        <f t="shared" si="8"/>
        <v>#DIV/0!</v>
      </c>
      <c r="AX39" s="421" t="e">
        <f t="shared" si="8"/>
        <v>#DIV/0!</v>
      </c>
    </row>
    <row r="40" spans="1:62" x14ac:dyDescent="0.25">
      <c r="A40" s="13">
        <v>4</v>
      </c>
      <c r="B40" s="13" t="s">
        <v>142</v>
      </c>
      <c r="C40" s="421">
        <f t="shared" ref="C40:N40" si="9">C7/$D$32</f>
        <v>0</v>
      </c>
      <c r="D40" s="421">
        <f t="shared" si="9"/>
        <v>0</v>
      </c>
      <c r="E40" s="421">
        <f t="shared" si="9"/>
        <v>0</v>
      </c>
      <c r="F40" s="421">
        <f t="shared" si="9"/>
        <v>0</v>
      </c>
      <c r="G40" s="421">
        <f t="shared" si="9"/>
        <v>0</v>
      </c>
      <c r="H40" s="421">
        <f t="shared" si="9"/>
        <v>0</v>
      </c>
      <c r="I40" s="421">
        <f t="shared" si="9"/>
        <v>0</v>
      </c>
      <c r="J40" s="421">
        <f t="shared" si="9"/>
        <v>0</v>
      </c>
      <c r="K40" s="421">
        <f t="shared" si="9"/>
        <v>0</v>
      </c>
      <c r="L40" s="421">
        <f t="shared" si="9"/>
        <v>0</v>
      </c>
      <c r="M40" s="421" t="e">
        <f t="shared" si="9"/>
        <v>#DIV/0!</v>
      </c>
      <c r="N40" s="421" t="e">
        <f t="shared" si="9"/>
        <v>#DIV/0!</v>
      </c>
      <c r="O40" s="421">
        <f t="shared" ref="O40:AX40" si="10">O7/$D$32</f>
        <v>0</v>
      </c>
      <c r="P40" s="421">
        <f t="shared" si="10"/>
        <v>0</v>
      </c>
      <c r="Q40" s="421">
        <f t="shared" si="10"/>
        <v>0</v>
      </c>
      <c r="R40" s="421">
        <f t="shared" si="10"/>
        <v>0</v>
      </c>
      <c r="S40" s="421">
        <f t="shared" si="10"/>
        <v>0</v>
      </c>
      <c r="T40" s="421">
        <f t="shared" si="10"/>
        <v>0</v>
      </c>
      <c r="U40" s="421">
        <f t="shared" si="10"/>
        <v>0</v>
      </c>
      <c r="V40" s="421">
        <f t="shared" si="10"/>
        <v>0</v>
      </c>
      <c r="W40" s="421">
        <f t="shared" si="10"/>
        <v>0</v>
      </c>
      <c r="X40" s="421">
        <f t="shared" si="10"/>
        <v>0</v>
      </c>
      <c r="Y40" s="421" t="e">
        <f t="shared" si="10"/>
        <v>#DIV/0!</v>
      </c>
      <c r="Z40" s="421" t="e">
        <f t="shared" si="10"/>
        <v>#DIV/0!</v>
      </c>
      <c r="AA40" s="421">
        <f t="shared" si="10"/>
        <v>0</v>
      </c>
      <c r="AB40" s="421">
        <f t="shared" si="10"/>
        <v>0</v>
      </c>
      <c r="AC40" s="421">
        <f t="shared" si="10"/>
        <v>0</v>
      </c>
      <c r="AD40" s="421">
        <f t="shared" si="10"/>
        <v>0</v>
      </c>
      <c r="AE40" s="421">
        <f t="shared" si="10"/>
        <v>0</v>
      </c>
      <c r="AF40" s="421">
        <f t="shared" si="10"/>
        <v>0</v>
      </c>
      <c r="AG40" s="421">
        <f t="shared" si="10"/>
        <v>0</v>
      </c>
      <c r="AH40" s="421">
        <f t="shared" si="10"/>
        <v>0</v>
      </c>
      <c r="AI40" s="421">
        <f t="shared" si="10"/>
        <v>0</v>
      </c>
      <c r="AJ40" s="421">
        <f t="shared" si="10"/>
        <v>0</v>
      </c>
      <c r="AK40" s="421" t="e">
        <f t="shared" si="10"/>
        <v>#DIV/0!</v>
      </c>
      <c r="AL40" s="421" t="e">
        <f t="shared" si="10"/>
        <v>#DIV/0!</v>
      </c>
      <c r="AM40" s="421">
        <f t="shared" si="10"/>
        <v>0</v>
      </c>
      <c r="AN40" s="421">
        <f t="shared" si="10"/>
        <v>0</v>
      </c>
      <c r="AO40" s="421">
        <f t="shared" si="10"/>
        <v>0</v>
      </c>
      <c r="AP40" s="421">
        <f t="shared" si="10"/>
        <v>0</v>
      </c>
      <c r="AQ40" s="421">
        <f t="shared" si="10"/>
        <v>0</v>
      </c>
      <c r="AR40" s="421">
        <f t="shared" si="10"/>
        <v>0</v>
      </c>
      <c r="AS40" s="421">
        <f t="shared" si="10"/>
        <v>0</v>
      </c>
      <c r="AT40" s="421">
        <f t="shared" si="10"/>
        <v>0</v>
      </c>
      <c r="AU40" s="421">
        <f t="shared" si="10"/>
        <v>0</v>
      </c>
      <c r="AV40" s="421">
        <f t="shared" si="10"/>
        <v>0</v>
      </c>
      <c r="AW40" s="421" t="e">
        <f t="shared" si="10"/>
        <v>#DIV/0!</v>
      </c>
      <c r="AX40" s="421" t="e">
        <f t="shared" si="10"/>
        <v>#DIV/0!</v>
      </c>
    </row>
    <row r="41" spans="1:62" x14ac:dyDescent="0.25">
      <c r="A41" s="13">
        <v>5</v>
      </c>
      <c r="B41" s="13" t="s">
        <v>143</v>
      </c>
      <c r="C41" s="421">
        <f t="shared" ref="C41:N41" si="11">C8/$D$32</f>
        <v>0</v>
      </c>
      <c r="D41" s="421">
        <f t="shared" si="11"/>
        <v>0</v>
      </c>
      <c r="E41" s="421">
        <f t="shared" si="11"/>
        <v>0</v>
      </c>
      <c r="F41" s="421">
        <f t="shared" si="11"/>
        <v>0</v>
      </c>
      <c r="G41" s="421">
        <f t="shared" si="11"/>
        <v>0</v>
      </c>
      <c r="H41" s="421">
        <f t="shared" si="11"/>
        <v>0</v>
      </c>
      <c r="I41" s="421">
        <f t="shared" si="11"/>
        <v>0</v>
      </c>
      <c r="J41" s="421">
        <f t="shared" si="11"/>
        <v>0</v>
      </c>
      <c r="K41" s="421">
        <f t="shared" si="11"/>
        <v>0</v>
      </c>
      <c r="L41" s="421">
        <f t="shared" si="11"/>
        <v>0</v>
      </c>
      <c r="M41" s="421" t="e">
        <f t="shared" si="11"/>
        <v>#DIV/0!</v>
      </c>
      <c r="N41" s="421" t="e">
        <f t="shared" si="11"/>
        <v>#DIV/0!</v>
      </c>
      <c r="O41" s="421">
        <f t="shared" ref="O41:AX41" si="12">O8/$D$32</f>
        <v>0</v>
      </c>
      <c r="P41" s="421">
        <f t="shared" si="12"/>
        <v>0</v>
      </c>
      <c r="Q41" s="421">
        <f t="shared" si="12"/>
        <v>0</v>
      </c>
      <c r="R41" s="421">
        <f t="shared" si="12"/>
        <v>0</v>
      </c>
      <c r="S41" s="421">
        <f t="shared" si="12"/>
        <v>0</v>
      </c>
      <c r="T41" s="421">
        <f t="shared" si="12"/>
        <v>0</v>
      </c>
      <c r="U41" s="421">
        <f t="shared" si="12"/>
        <v>0</v>
      </c>
      <c r="V41" s="421">
        <f t="shared" si="12"/>
        <v>0</v>
      </c>
      <c r="W41" s="421">
        <f t="shared" si="12"/>
        <v>0</v>
      </c>
      <c r="X41" s="421">
        <f t="shared" si="12"/>
        <v>0</v>
      </c>
      <c r="Y41" s="421" t="e">
        <f t="shared" si="12"/>
        <v>#DIV/0!</v>
      </c>
      <c r="Z41" s="421" t="e">
        <f t="shared" si="12"/>
        <v>#DIV/0!</v>
      </c>
      <c r="AA41" s="421">
        <f t="shared" si="12"/>
        <v>0</v>
      </c>
      <c r="AB41" s="421">
        <f t="shared" si="12"/>
        <v>0</v>
      </c>
      <c r="AC41" s="421">
        <f t="shared" si="12"/>
        <v>0</v>
      </c>
      <c r="AD41" s="421">
        <f t="shared" si="12"/>
        <v>0</v>
      </c>
      <c r="AE41" s="421">
        <f t="shared" si="12"/>
        <v>0</v>
      </c>
      <c r="AF41" s="421">
        <f t="shared" si="12"/>
        <v>0</v>
      </c>
      <c r="AG41" s="421">
        <f t="shared" si="12"/>
        <v>0</v>
      </c>
      <c r="AH41" s="421">
        <f t="shared" si="12"/>
        <v>0</v>
      </c>
      <c r="AI41" s="421">
        <f t="shared" si="12"/>
        <v>0</v>
      </c>
      <c r="AJ41" s="421">
        <f t="shared" si="12"/>
        <v>0</v>
      </c>
      <c r="AK41" s="421" t="e">
        <f t="shared" si="12"/>
        <v>#DIV/0!</v>
      </c>
      <c r="AL41" s="421" t="e">
        <f t="shared" si="12"/>
        <v>#DIV/0!</v>
      </c>
      <c r="AM41" s="421">
        <f t="shared" si="12"/>
        <v>0</v>
      </c>
      <c r="AN41" s="421">
        <f t="shared" si="12"/>
        <v>0</v>
      </c>
      <c r="AO41" s="421">
        <f t="shared" si="12"/>
        <v>0</v>
      </c>
      <c r="AP41" s="421">
        <f t="shared" si="12"/>
        <v>0</v>
      </c>
      <c r="AQ41" s="421">
        <f t="shared" si="12"/>
        <v>0</v>
      </c>
      <c r="AR41" s="421">
        <f t="shared" si="12"/>
        <v>0</v>
      </c>
      <c r="AS41" s="421">
        <f t="shared" si="12"/>
        <v>0</v>
      </c>
      <c r="AT41" s="421">
        <f t="shared" si="12"/>
        <v>0</v>
      </c>
      <c r="AU41" s="421">
        <f t="shared" si="12"/>
        <v>0</v>
      </c>
      <c r="AV41" s="421">
        <f t="shared" si="12"/>
        <v>0</v>
      </c>
      <c r="AW41" s="421" t="e">
        <f t="shared" si="12"/>
        <v>#DIV/0!</v>
      </c>
      <c r="AX41" s="421" t="e">
        <f t="shared" si="12"/>
        <v>#DIV/0!</v>
      </c>
    </row>
    <row r="42" spans="1:62" x14ac:dyDescent="0.25">
      <c r="A42" s="13">
        <v>6</v>
      </c>
      <c r="B42" s="13" t="s">
        <v>144</v>
      </c>
      <c r="C42" s="421">
        <f t="shared" ref="C42:N42" si="13">C9/$D$32</f>
        <v>0</v>
      </c>
      <c r="D42" s="421">
        <f t="shared" si="13"/>
        <v>0</v>
      </c>
      <c r="E42" s="421">
        <f t="shared" si="13"/>
        <v>0</v>
      </c>
      <c r="F42" s="421">
        <f t="shared" si="13"/>
        <v>0</v>
      </c>
      <c r="G42" s="421">
        <f t="shared" si="13"/>
        <v>0</v>
      </c>
      <c r="H42" s="421">
        <f t="shared" si="13"/>
        <v>0</v>
      </c>
      <c r="I42" s="421">
        <f t="shared" si="13"/>
        <v>0</v>
      </c>
      <c r="J42" s="421">
        <f t="shared" si="13"/>
        <v>0</v>
      </c>
      <c r="K42" s="421">
        <f t="shared" si="13"/>
        <v>0</v>
      </c>
      <c r="L42" s="421">
        <f t="shared" si="13"/>
        <v>0</v>
      </c>
      <c r="M42" s="421" t="e">
        <f t="shared" si="13"/>
        <v>#DIV/0!</v>
      </c>
      <c r="N42" s="421" t="e">
        <f t="shared" si="13"/>
        <v>#DIV/0!</v>
      </c>
      <c r="O42" s="421">
        <f t="shared" ref="O42:AX42" si="14">O9/$D$32</f>
        <v>0</v>
      </c>
      <c r="P42" s="421">
        <f t="shared" si="14"/>
        <v>0</v>
      </c>
      <c r="Q42" s="421">
        <f t="shared" si="14"/>
        <v>0</v>
      </c>
      <c r="R42" s="421">
        <f t="shared" si="14"/>
        <v>0</v>
      </c>
      <c r="S42" s="421">
        <f t="shared" si="14"/>
        <v>0</v>
      </c>
      <c r="T42" s="421">
        <f t="shared" si="14"/>
        <v>0</v>
      </c>
      <c r="U42" s="421">
        <f t="shared" si="14"/>
        <v>0</v>
      </c>
      <c r="V42" s="421">
        <f t="shared" si="14"/>
        <v>0</v>
      </c>
      <c r="W42" s="421">
        <f t="shared" si="14"/>
        <v>0</v>
      </c>
      <c r="X42" s="421">
        <f t="shared" si="14"/>
        <v>0</v>
      </c>
      <c r="Y42" s="421" t="e">
        <f t="shared" si="14"/>
        <v>#DIV/0!</v>
      </c>
      <c r="Z42" s="421" t="e">
        <f t="shared" si="14"/>
        <v>#DIV/0!</v>
      </c>
      <c r="AA42" s="421">
        <f t="shared" si="14"/>
        <v>0</v>
      </c>
      <c r="AB42" s="421">
        <f t="shared" si="14"/>
        <v>0</v>
      </c>
      <c r="AC42" s="421">
        <f t="shared" si="14"/>
        <v>0</v>
      </c>
      <c r="AD42" s="421">
        <f t="shared" si="14"/>
        <v>0</v>
      </c>
      <c r="AE42" s="421">
        <f t="shared" si="14"/>
        <v>0</v>
      </c>
      <c r="AF42" s="421">
        <f t="shared" si="14"/>
        <v>0</v>
      </c>
      <c r="AG42" s="421">
        <f t="shared" si="14"/>
        <v>0</v>
      </c>
      <c r="AH42" s="421">
        <f t="shared" si="14"/>
        <v>0</v>
      </c>
      <c r="AI42" s="421">
        <f t="shared" si="14"/>
        <v>0</v>
      </c>
      <c r="AJ42" s="421">
        <f t="shared" si="14"/>
        <v>0</v>
      </c>
      <c r="AK42" s="421" t="e">
        <f t="shared" si="14"/>
        <v>#DIV/0!</v>
      </c>
      <c r="AL42" s="421" t="e">
        <f t="shared" si="14"/>
        <v>#DIV/0!</v>
      </c>
      <c r="AM42" s="421">
        <f t="shared" si="14"/>
        <v>0</v>
      </c>
      <c r="AN42" s="421">
        <f t="shared" si="14"/>
        <v>0</v>
      </c>
      <c r="AO42" s="421">
        <f t="shared" si="14"/>
        <v>0</v>
      </c>
      <c r="AP42" s="421">
        <f t="shared" si="14"/>
        <v>0</v>
      </c>
      <c r="AQ42" s="421">
        <f t="shared" si="14"/>
        <v>0</v>
      </c>
      <c r="AR42" s="421">
        <f t="shared" si="14"/>
        <v>0</v>
      </c>
      <c r="AS42" s="421">
        <f t="shared" si="14"/>
        <v>0</v>
      </c>
      <c r="AT42" s="421">
        <f t="shared" si="14"/>
        <v>0</v>
      </c>
      <c r="AU42" s="421">
        <f t="shared" si="14"/>
        <v>0</v>
      </c>
      <c r="AV42" s="421">
        <f t="shared" si="14"/>
        <v>0</v>
      </c>
      <c r="AW42" s="421" t="e">
        <f t="shared" si="14"/>
        <v>#DIV/0!</v>
      </c>
      <c r="AX42" s="421" t="e">
        <f t="shared" si="14"/>
        <v>#DIV/0!</v>
      </c>
    </row>
    <row r="43" spans="1:62" x14ac:dyDescent="0.25">
      <c r="A43" s="13">
        <v>7</v>
      </c>
      <c r="B43" s="13" t="s">
        <v>145</v>
      </c>
      <c r="C43" s="421">
        <f t="shared" ref="C43:N43" si="15">C10/$D$32</f>
        <v>0</v>
      </c>
      <c r="D43" s="421">
        <f t="shared" si="15"/>
        <v>0</v>
      </c>
      <c r="E43" s="421">
        <f t="shared" si="15"/>
        <v>0</v>
      </c>
      <c r="F43" s="421">
        <f t="shared" si="15"/>
        <v>0</v>
      </c>
      <c r="G43" s="421">
        <f t="shared" si="15"/>
        <v>0</v>
      </c>
      <c r="H43" s="421">
        <f t="shared" si="15"/>
        <v>0</v>
      </c>
      <c r="I43" s="421">
        <f t="shared" si="15"/>
        <v>0</v>
      </c>
      <c r="J43" s="421">
        <f t="shared" si="15"/>
        <v>0</v>
      </c>
      <c r="K43" s="421">
        <f t="shared" si="15"/>
        <v>0</v>
      </c>
      <c r="L43" s="421">
        <f t="shared" si="15"/>
        <v>0</v>
      </c>
      <c r="M43" s="421" t="e">
        <f t="shared" si="15"/>
        <v>#DIV/0!</v>
      </c>
      <c r="N43" s="421" t="e">
        <f t="shared" si="15"/>
        <v>#DIV/0!</v>
      </c>
      <c r="O43" s="421">
        <f t="shared" ref="O43:AX43" si="16">O10/$D$32</f>
        <v>0</v>
      </c>
      <c r="P43" s="421">
        <f t="shared" si="16"/>
        <v>0</v>
      </c>
      <c r="Q43" s="421">
        <f t="shared" si="16"/>
        <v>0</v>
      </c>
      <c r="R43" s="421">
        <f t="shared" si="16"/>
        <v>0</v>
      </c>
      <c r="S43" s="421">
        <f t="shared" si="16"/>
        <v>0</v>
      </c>
      <c r="T43" s="421">
        <f t="shared" si="16"/>
        <v>0</v>
      </c>
      <c r="U43" s="421">
        <f t="shared" si="16"/>
        <v>0</v>
      </c>
      <c r="V43" s="421">
        <f t="shared" si="16"/>
        <v>0</v>
      </c>
      <c r="W43" s="421">
        <f t="shared" si="16"/>
        <v>0</v>
      </c>
      <c r="X43" s="421">
        <f t="shared" si="16"/>
        <v>0</v>
      </c>
      <c r="Y43" s="421" t="e">
        <f t="shared" si="16"/>
        <v>#DIV/0!</v>
      </c>
      <c r="Z43" s="421" t="e">
        <f t="shared" si="16"/>
        <v>#DIV/0!</v>
      </c>
      <c r="AA43" s="421">
        <f t="shared" si="16"/>
        <v>0</v>
      </c>
      <c r="AB43" s="421">
        <f t="shared" si="16"/>
        <v>0</v>
      </c>
      <c r="AC43" s="421">
        <f t="shared" si="16"/>
        <v>0</v>
      </c>
      <c r="AD43" s="421">
        <f t="shared" si="16"/>
        <v>0</v>
      </c>
      <c r="AE43" s="421">
        <f t="shared" si="16"/>
        <v>0</v>
      </c>
      <c r="AF43" s="421">
        <f t="shared" si="16"/>
        <v>0</v>
      </c>
      <c r="AG43" s="421">
        <f t="shared" si="16"/>
        <v>0</v>
      </c>
      <c r="AH43" s="421">
        <f t="shared" si="16"/>
        <v>0</v>
      </c>
      <c r="AI43" s="421">
        <f t="shared" si="16"/>
        <v>0</v>
      </c>
      <c r="AJ43" s="421">
        <f t="shared" si="16"/>
        <v>0</v>
      </c>
      <c r="AK43" s="421" t="e">
        <f t="shared" si="16"/>
        <v>#DIV/0!</v>
      </c>
      <c r="AL43" s="421" t="e">
        <f t="shared" si="16"/>
        <v>#DIV/0!</v>
      </c>
      <c r="AM43" s="421">
        <f t="shared" si="16"/>
        <v>0</v>
      </c>
      <c r="AN43" s="421">
        <f t="shared" si="16"/>
        <v>0</v>
      </c>
      <c r="AO43" s="421">
        <f t="shared" si="16"/>
        <v>0</v>
      </c>
      <c r="AP43" s="421">
        <f t="shared" si="16"/>
        <v>0</v>
      </c>
      <c r="AQ43" s="421">
        <f t="shared" si="16"/>
        <v>0</v>
      </c>
      <c r="AR43" s="421">
        <f t="shared" si="16"/>
        <v>0</v>
      </c>
      <c r="AS43" s="421">
        <f t="shared" si="16"/>
        <v>0</v>
      </c>
      <c r="AT43" s="421">
        <f t="shared" si="16"/>
        <v>0</v>
      </c>
      <c r="AU43" s="421">
        <f t="shared" si="16"/>
        <v>0</v>
      </c>
      <c r="AV43" s="421">
        <f t="shared" si="16"/>
        <v>0</v>
      </c>
      <c r="AW43" s="421" t="e">
        <f t="shared" si="16"/>
        <v>#DIV/0!</v>
      </c>
      <c r="AX43" s="421" t="e">
        <f t="shared" si="16"/>
        <v>#DIV/0!</v>
      </c>
    </row>
    <row r="44" spans="1:62" x14ac:dyDescent="0.25">
      <c r="A44" s="13">
        <v>8</v>
      </c>
      <c r="B44" s="13" t="s">
        <v>146</v>
      </c>
      <c r="C44" s="421">
        <f t="shared" ref="C44:N44" si="17">C11/$D$32</f>
        <v>0</v>
      </c>
      <c r="D44" s="421">
        <f t="shared" si="17"/>
        <v>0</v>
      </c>
      <c r="E44" s="421">
        <f t="shared" si="17"/>
        <v>0</v>
      </c>
      <c r="F44" s="421">
        <f t="shared" si="17"/>
        <v>0</v>
      </c>
      <c r="G44" s="421">
        <f t="shared" si="17"/>
        <v>0</v>
      </c>
      <c r="H44" s="421">
        <f t="shared" si="17"/>
        <v>0</v>
      </c>
      <c r="I44" s="421">
        <f t="shared" si="17"/>
        <v>0</v>
      </c>
      <c r="J44" s="421">
        <f t="shared" si="17"/>
        <v>0</v>
      </c>
      <c r="K44" s="421">
        <f t="shared" si="17"/>
        <v>0</v>
      </c>
      <c r="L44" s="421">
        <f t="shared" si="17"/>
        <v>0</v>
      </c>
      <c r="M44" s="421" t="e">
        <f t="shared" si="17"/>
        <v>#DIV/0!</v>
      </c>
      <c r="N44" s="421" t="e">
        <f t="shared" si="17"/>
        <v>#DIV/0!</v>
      </c>
      <c r="O44" s="421">
        <f t="shared" ref="O44:AX44" si="18">O11/$D$32</f>
        <v>0</v>
      </c>
      <c r="P44" s="421">
        <f t="shared" si="18"/>
        <v>0</v>
      </c>
      <c r="Q44" s="421">
        <f t="shared" si="18"/>
        <v>0</v>
      </c>
      <c r="R44" s="421">
        <f t="shared" si="18"/>
        <v>0</v>
      </c>
      <c r="S44" s="421">
        <f t="shared" si="18"/>
        <v>0</v>
      </c>
      <c r="T44" s="421">
        <f t="shared" si="18"/>
        <v>0</v>
      </c>
      <c r="U44" s="421">
        <f t="shared" si="18"/>
        <v>0</v>
      </c>
      <c r="V44" s="421">
        <f t="shared" si="18"/>
        <v>0</v>
      </c>
      <c r="W44" s="421">
        <f t="shared" si="18"/>
        <v>0</v>
      </c>
      <c r="X44" s="421">
        <f t="shared" si="18"/>
        <v>0</v>
      </c>
      <c r="Y44" s="421" t="e">
        <f t="shared" si="18"/>
        <v>#DIV/0!</v>
      </c>
      <c r="Z44" s="421" t="e">
        <f t="shared" si="18"/>
        <v>#DIV/0!</v>
      </c>
      <c r="AA44" s="421">
        <f t="shared" si="18"/>
        <v>0</v>
      </c>
      <c r="AB44" s="421">
        <f t="shared" si="18"/>
        <v>0</v>
      </c>
      <c r="AC44" s="421">
        <f t="shared" si="18"/>
        <v>0</v>
      </c>
      <c r="AD44" s="421">
        <f t="shared" si="18"/>
        <v>0</v>
      </c>
      <c r="AE44" s="421">
        <f t="shared" si="18"/>
        <v>0</v>
      </c>
      <c r="AF44" s="421">
        <f t="shared" si="18"/>
        <v>0</v>
      </c>
      <c r="AG44" s="421">
        <f t="shared" si="18"/>
        <v>0</v>
      </c>
      <c r="AH44" s="421">
        <f t="shared" si="18"/>
        <v>0</v>
      </c>
      <c r="AI44" s="421">
        <f t="shared" si="18"/>
        <v>0</v>
      </c>
      <c r="AJ44" s="421">
        <f t="shared" si="18"/>
        <v>0</v>
      </c>
      <c r="AK44" s="421" t="e">
        <f t="shared" si="18"/>
        <v>#DIV/0!</v>
      </c>
      <c r="AL44" s="421" t="e">
        <f t="shared" si="18"/>
        <v>#DIV/0!</v>
      </c>
      <c r="AM44" s="421">
        <f t="shared" si="18"/>
        <v>0</v>
      </c>
      <c r="AN44" s="421">
        <f t="shared" si="18"/>
        <v>0</v>
      </c>
      <c r="AO44" s="421">
        <f t="shared" si="18"/>
        <v>0</v>
      </c>
      <c r="AP44" s="421">
        <f t="shared" si="18"/>
        <v>0</v>
      </c>
      <c r="AQ44" s="421">
        <f t="shared" si="18"/>
        <v>0</v>
      </c>
      <c r="AR44" s="421">
        <f t="shared" si="18"/>
        <v>0</v>
      </c>
      <c r="AS44" s="421">
        <f t="shared" si="18"/>
        <v>0</v>
      </c>
      <c r="AT44" s="421">
        <f t="shared" si="18"/>
        <v>0</v>
      </c>
      <c r="AU44" s="421">
        <f t="shared" si="18"/>
        <v>0</v>
      </c>
      <c r="AV44" s="421">
        <f t="shared" si="18"/>
        <v>0</v>
      </c>
      <c r="AW44" s="421" t="e">
        <f t="shared" si="18"/>
        <v>#DIV/0!</v>
      </c>
      <c r="AX44" s="421" t="e">
        <f t="shared" si="18"/>
        <v>#DIV/0!</v>
      </c>
    </row>
    <row r="45" spans="1:62" x14ac:dyDescent="0.25">
      <c r="A45" s="13">
        <v>9</v>
      </c>
      <c r="B45" s="13" t="s">
        <v>147</v>
      </c>
      <c r="C45" s="421">
        <f t="shared" ref="C45:N45" si="19">C12/$D$32</f>
        <v>0</v>
      </c>
      <c r="D45" s="421">
        <f t="shared" si="19"/>
        <v>0</v>
      </c>
      <c r="E45" s="421">
        <f t="shared" si="19"/>
        <v>0</v>
      </c>
      <c r="F45" s="421">
        <f t="shared" si="19"/>
        <v>0</v>
      </c>
      <c r="G45" s="421">
        <f t="shared" si="19"/>
        <v>0</v>
      </c>
      <c r="H45" s="421">
        <f t="shared" si="19"/>
        <v>0</v>
      </c>
      <c r="I45" s="421">
        <f t="shared" si="19"/>
        <v>0</v>
      </c>
      <c r="J45" s="421">
        <f t="shared" si="19"/>
        <v>0</v>
      </c>
      <c r="K45" s="421">
        <f t="shared" si="19"/>
        <v>0</v>
      </c>
      <c r="L45" s="421">
        <f t="shared" si="19"/>
        <v>0</v>
      </c>
      <c r="M45" s="421" t="e">
        <f t="shared" si="19"/>
        <v>#DIV/0!</v>
      </c>
      <c r="N45" s="421" t="e">
        <f t="shared" si="19"/>
        <v>#DIV/0!</v>
      </c>
      <c r="O45" s="421">
        <f t="shared" ref="O45:AX45" si="20">O12/$D$32</f>
        <v>0</v>
      </c>
      <c r="P45" s="421">
        <f t="shared" si="20"/>
        <v>0</v>
      </c>
      <c r="Q45" s="421">
        <f t="shared" si="20"/>
        <v>0</v>
      </c>
      <c r="R45" s="421">
        <f t="shared" si="20"/>
        <v>0</v>
      </c>
      <c r="S45" s="421">
        <f t="shared" si="20"/>
        <v>0</v>
      </c>
      <c r="T45" s="421">
        <f t="shared" si="20"/>
        <v>0</v>
      </c>
      <c r="U45" s="421">
        <f t="shared" si="20"/>
        <v>0</v>
      </c>
      <c r="V45" s="421">
        <f t="shared" si="20"/>
        <v>0</v>
      </c>
      <c r="W45" s="421">
        <f t="shared" si="20"/>
        <v>0</v>
      </c>
      <c r="X45" s="421">
        <f t="shared" si="20"/>
        <v>0</v>
      </c>
      <c r="Y45" s="421" t="e">
        <f t="shared" si="20"/>
        <v>#DIV/0!</v>
      </c>
      <c r="Z45" s="421" t="e">
        <f t="shared" si="20"/>
        <v>#DIV/0!</v>
      </c>
      <c r="AA45" s="421">
        <f t="shared" si="20"/>
        <v>0</v>
      </c>
      <c r="AB45" s="421">
        <f t="shared" si="20"/>
        <v>0</v>
      </c>
      <c r="AC45" s="421">
        <f t="shared" si="20"/>
        <v>0</v>
      </c>
      <c r="AD45" s="421">
        <f t="shared" si="20"/>
        <v>0</v>
      </c>
      <c r="AE45" s="421">
        <f t="shared" si="20"/>
        <v>0</v>
      </c>
      <c r="AF45" s="421">
        <f t="shared" si="20"/>
        <v>0</v>
      </c>
      <c r="AG45" s="421">
        <f t="shared" si="20"/>
        <v>0</v>
      </c>
      <c r="AH45" s="421">
        <f t="shared" si="20"/>
        <v>0</v>
      </c>
      <c r="AI45" s="421">
        <f t="shared" si="20"/>
        <v>0</v>
      </c>
      <c r="AJ45" s="421">
        <f t="shared" si="20"/>
        <v>0</v>
      </c>
      <c r="AK45" s="421" t="e">
        <f t="shared" si="20"/>
        <v>#DIV/0!</v>
      </c>
      <c r="AL45" s="421" t="e">
        <f t="shared" si="20"/>
        <v>#DIV/0!</v>
      </c>
      <c r="AM45" s="421">
        <f t="shared" si="20"/>
        <v>0</v>
      </c>
      <c r="AN45" s="421">
        <f t="shared" si="20"/>
        <v>0</v>
      </c>
      <c r="AO45" s="421">
        <f t="shared" si="20"/>
        <v>0</v>
      </c>
      <c r="AP45" s="421">
        <f t="shared" si="20"/>
        <v>0</v>
      </c>
      <c r="AQ45" s="421">
        <f t="shared" si="20"/>
        <v>0</v>
      </c>
      <c r="AR45" s="421">
        <f t="shared" si="20"/>
        <v>0</v>
      </c>
      <c r="AS45" s="421">
        <f t="shared" si="20"/>
        <v>0</v>
      </c>
      <c r="AT45" s="421">
        <f t="shared" si="20"/>
        <v>0</v>
      </c>
      <c r="AU45" s="421">
        <f t="shared" si="20"/>
        <v>0</v>
      </c>
      <c r="AV45" s="421">
        <f t="shared" si="20"/>
        <v>0</v>
      </c>
      <c r="AW45" s="421" t="e">
        <f t="shared" si="20"/>
        <v>#DIV/0!</v>
      </c>
      <c r="AX45" s="421" t="e">
        <f t="shared" si="20"/>
        <v>#DIV/0!</v>
      </c>
    </row>
    <row r="46" spans="1:62" x14ac:dyDescent="0.25">
      <c r="A46" s="13">
        <v>10</v>
      </c>
      <c r="B46" s="13" t="s">
        <v>148</v>
      </c>
      <c r="C46" s="421">
        <f t="shared" ref="C46:N46" si="21">C13/$D$32</f>
        <v>0</v>
      </c>
      <c r="D46" s="421">
        <f t="shared" si="21"/>
        <v>0</v>
      </c>
      <c r="E46" s="421">
        <f t="shared" si="21"/>
        <v>0</v>
      </c>
      <c r="F46" s="421">
        <f t="shared" si="21"/>
        <v>0</v>
      </c>
      <c r="G46" s="421">
        <f t="shared" si="21"/>
        <v>0</v>
      </c>
      <c r="H46" s="421">
        <f t="shared" si="21"/>
        <v>0</v>
      </c>
      <c r="I46" s="421">
        <f t="shared" si="21"/>
        <v>0</v>
      </c>
      <c r="J46" s="421">
        <f t="shared" si="21"/>
        <v>0</v>
      </c>
      <c r="K46" s="421">
        <f t="shared" si="21"/>
        <v>0</v>
      </c>
      <c r="L46" s="421">
        <f t="shared" si="21"/>
        <v>0</v>
      </c>
      <c r="M46" s="421" t="e">
        <f t="shared" si="21"/>
        <v>#DIV/0!</v>
      </c>
      <c r="N46" s="421" t="e">
        <f t="shared" si="21"/>
        <v>#DIV/0!</v>
      </c>
      <c r="O46" s="421">
        <f t="shared" ref="O46:AX46" si="22">O13/$D$32</f>
        <v>0</v>
      </c>
      <c r="P46" s="421">
        <f t="shared" si="22"/>
        <v>0</v>
      </c>
      <c r="Q46" s="421">
        <f t="shared" si="22"/>
        <v>0</v>
      </c>
      <c r="R46" s="421">
        <f t="shared" si="22"/>
        <v>0</v>
      </c>
      <c r="S46" s="421">
        <f t="shared" si="22"/>
        <v>0</v>
      </c>
      <c r="T46" s="421">
        <f t="shared" si="22"/>
        <v>0</v>
      </c>
      <c r="U46" s="421">
        <f t="shared" si="22"/>
        <v>0</v>
      </c>
      <c r="V46" s="421">
        <f t="shared" si="22"/>
        <v>0</v>
      </c>
      <c r="W46" s="421">
        <f t="shared" si="22"/>
        <v>0</v>
      </c>
      <c r="X46" s="421">
        <f t="shared" si="22"/>
        <v>0</v>
      </c>
      <c r="Y46" s="421" t="e">
        <f t="shared" si="22"/>
        <v>#DIV/0!</v>
      </c>
      <c r="Z46" s="421" t="e">
        <f t="shared" si="22"/>
        <v>#DIV/0!</v>
      </c>
      <c r="AA46" s="421">
        <f t="shared" si="22"/>
        <v>0</v>
      </c>
      <c r="AB46" s="421">
        <f t="shared" si="22"/>
        <v>0</v>
      </c>
      <c r="AC46" s="421">
        <f t="shared" si="22"/>
        <v>0</v>
      </c>
      <c r="AD46" s="421">
        <f t="shared" si="22"/>
        <v>0</v>
      </c>
      <c r="AE46" s="421">
        <f t="shared" si="22"/>
        <v>0</v>
      </c>
      <c r="AF46" s="421">
        <f t="shared" si="22"/>
        <v>0</v>
      </c>
      <c r="AG46" s="421">
        <f t="shared" si="22"/>
        <v>0</v>
      </c>
      <c r="AH46" s="421">
        <f t="shared" si="22"/>
        <v>0</v>
      </c>
      <c r="AI46" s="421">
        <f t="shared" si="22"/>
        <v>0</v>
      </c>
      <c r="AJ46" s="421">
        <f t="shared" si="22"/>
        <v>0</v>
      </c>
      <c r="AK46" s="421" t="e">
        <f t="shared" si="22"/>
        <v>#DIV/0!</v>
      </c>
      <c r="AL46" s="421" t="e">
        <f t="shared" si="22"/>
        <v>#DIV/0!</v>
      </c>
      <c r="AM46" s="421">
        <f t="shared" si="22"/>
        <v>0</v>
      </c>
      <c r="AN46" s="421">
        <f t="shared" si="22"/>
        <v>0</v>
      </c>
      <c r="AO46" s="421">
        <f t="shared" si="22"/>
        <v>0</v>
      </c>
      <c r="AP46" s="421">
        <f t="shared" si="22"/>
        <v>0</v>
      </c>
      <c r="AQ46" s="421">
        <f t="shared" si="22"/>
        <v>0</v>
      </c>
      <c r="AR46" s="421">
        <f t="shared" si="22"/>
        <v>0</v>
      </c>
      <c r="AS46" s="421">
        <f t="shared" si="22"/>
        <v>0</v>
      </c>
      <c r="AT46" s="421">
        <f t="shared" si="22"/>
        <v>0</v>
      </c>
      <c r="AU46" s="421">
        <f t="shared" si="22"/>
        <v>0</v>
      </c>
      <c r="AV46" s="421">
        <f t="shared" si="22"/>
        <v>0</v>
      </c>
      <c r="AW46" s="421" t="e">
        <f t="shared" si="22"/>
        <v>#DIV/0!</v>
      </c>
      <c r="AX46" s="421" t="e">
        <f t="shared" si="22"/>
        <v>#DIV/0!</v>
      </c>
    </row>
    <row r="47" spans="1:62" x14ac:dyDescent="0.25">
      <c r="A47" s="13">
        <v>11</v>
      </c>
      <c r="B47" s="13" t="s">
        <v>149</v>
      </c>
      <c r="C47" s="421">
        <f t="shared" ref="C47:N47" si="23">C14/$D$32</f>
        <v>0</v>
      </c>
      <c r="D47" s="421">
        <f t="shared" si="23"/>
        <v>0</v>
      </c>
      <c r="E47" s="421">
        <f t="shared" si="23"/>
        <v>0</v>
      </c>
      <c r="F47" s="421">
        <f t="shared" si="23"/>
        <v>0</v>
      </c>
      <c r="G47" s="421">
        <f t="shared" si="23"/>
        <v>0</v>
      </c>
      <c r="H47" s="421">
        <f t="shared" si="23"/>
        <v>0</v>
      </c>
      <c r="I47" s="421">
        <f t="shared" si="23"/>
        <v>0</v>
      </c>
      <c r="J47" s="421">
        <f t="shared" si="23"/>
        <v>0</v>
      </c>
      <c r="K47" s="421">
        <f t="shared" si="23"/>
        <v>0</v>
      </c>
      <c r="L47" s="421">
        <f t="shared" si="23"/>
        <v>0</v>
      </c>
      <c r="M47" s="421" t="e">
        <f t="shared" si="23"/>
        <v>#DIV/0!</v>
      </c>
      <c r="N47" s="421" t="e">
        <f t="shared" si="23"/>
        <v>#DIV/0!</v>
      </c>
      <c r="O47" s="421">
        <f t="shared" ref="O47:AX47" si="24">O14/$D$32</f>
        <v>0</v>
      </c>
      <c r="P47" s="421">
        <f t="shared" si="24"/>
        <v>0</v>
      </c>
      <c r="Q47" s="421">
        <f t="shared" si="24"/>
        <v>0</v>
      </c>
      <c r="R47" s="421">
        <f t="shared" si="24"/>
        <v>0</v>
      </c>
      <c r="S47" s="421">
        <f t="shared" si="24"/>
        <v>0</v>
      </c>
      <c r="T47" s="421">
        <f t="shared" si="24"/>
        <v>0</v>
      </c>
      <c r="U47" s="421">
        <f t="shared" si="24"/>
        <v>0</v>
      </c>
      <c r="V47" s="421">
        <f t="shared" si="24"/>
        <v>0</v>
      </c>
      <c r="W47" s="421">
        <f t="shared" si="24"/>
        <v>0</v>
      </c>
      <c r="X47" s="421">
        <f t="shared" si="24"/>
        <v>0</v>
      </c>
      <c r="Y47" s="421" t="e">
        <f t="shared" si="24"/>
        <v>#DIV/0!</v>
      </c>
      <c r="Z47" s="421" t="e">
        <f t="shared" si="24"/>
        <v>#DIV/0!</v>
      </c>
      <c r="AA47" s="421">
        <f t="shared" si="24"/>
        <v>0</v>
      </c>
      <c r="AB47" s="421">
        <f t="shared" si="24"/>
        <v>0</v>
      </c>
      <c r="AC47" s="421">
        <f t="shared" si="24"/>
        <v>0</v>
      </c>
      <c r="AD47" s="421">
        <f t="shared" si="24"/>
        <v>0</v>
      </c>
      <c r="AE47" s="421">
        <f t="shared" si="24"/>
        <v>0</v>
      </c>
      <c r="AF47" s="421">
        <f t="shared" si="24"/>
        <v>0</v>
      </c>
      <c r="AG47" s="421">
        <f t="shared" si="24"/>
        <v>0</v>
      </c>
      <c r="AH47" s="421">
        <f t="shared" si="24"/>
        <v>0</v>
      </c>
      <c r="AI47" s="421">
        <f t="shared" si="24"/>
        <v>0</v>
      </c>
      <c r="AJ47" s="421">
        <f t="shared" si="24"/>
        <v>0</v>
      </c>
      <c r="AK47" s="421" t="e">
        <f t="shared" si="24"/>
        <v>#DIV/0!</v>
      </c>
      <c r="AL47" s="421" t="e">
        <f t="shared" si="24"/>
        <v>#DIV/0!</v>
      </c>
      <c r="AM47" s="421">
        <f t="shared" si="24"/>
        <v>0</v>
      </c>
      <c r="AN47" s="421">
        <f t="shared" si="24"/>
        <v>0</v>
      </c>
      <c r="AO47" s="421">
        <f t="shared" si="24"/>
        <v>0</v>
      </c>
      <c r="AP47" s="421">
        <f t="shared" si="24"/>
        <v>0</v>
      </c>
      <c r="AQ47" s="421">
        <f t="shared" si="24"/>
        <v>0</v>
      </c>
      <c r="AR47" s="421">
        <f t="shared" si="24"/>
        <v>0</v>
      </c>
      <c r="AS47" s="421">
        <f t="shared" si="24"/>
        <v>0</v>
      </c>
      <c r="AT47" s="421">
        <f t="shared" si="24"/>
        <v>0</v>
      </c>
      <c r="AU47" s="421">
        <f t="shared" si="24"/>
        <v>0</v>
      </c>
      <c r="AV47" s="421">
        <f t="shared" si="24"/>
        <v>0</v>
      </c>
      <c r="AW47" s="421" t="e">
        <f t="shared" si="24"/>
        <v>#DIV/0!</v>
      </c>
      <c r="AX47" s="421" t="e">
        <f t="shared" si="24"/>
        <v>#DIV/0!</v>
      </c>
    </row>
    <row r="48" spans="1:62" x14ac:dyDescent="0.25">
      <c r="A48" s="13">
        <v>12</v>
      </c>
      <c r="B48" s="13" t="s">
        <v>150</v>
      </c>
      <c r="C48" s="421">
        <f t="shared" ref="C48:N48" si="25">C15/$D$32</f>
        <v>0</v>
      </c>
      <c r="D48" s="421">
        <f t="shared" si="25"/>
        <v>0</v>
      </c>
      <c r="E48" s="421">
        <f t="shared" si="25"/>
        <v>0</v>
      </c>
      <c r="F48" s="421">
        <f t="shared" si="25"/>
        <v>0</v>
      </c>
      <c r="G48" s="421">
        <f t="shared" si="25"/>
        <v>0</v>
      </c>
      <c r="H48" s="421">
        <f t="shared" si="25"/>
        <v>0</v>
      </c>
      <c r="I48" s="421">
        <f t="shared" si="25"/>
        <v>0</v>
      </c>
      <c r="J48" s="421">
        <f t="shared" si="25"/>
        <v>0</v>
      </c>
      <c r="K48" s="421">
        <f t="shared" si="25"/>
        <v>0</v>
      </c>
      <c r="L48" s="421">
        <f t="shared" si="25"/>
        <v>0</v>
      </c>
      <c r="M48" s="421" t="e">
        <f t="shared" si="25"/>
        <v>#DIV/0!</v>
      </c>
      <c r="N48" s="421" t="e">
        <f t="shared" si="25"/>
        <v>#DIV/0!</v>
      </c>
      <c r="O48" s="421">
        <f t="shared" ref="O48:AX48" si="26">O15/$D$32</f>
        <v>0</v>
      </c>
      <c r="P48" s="421">
        <f t="shared" si="26"/>
        <v>0</v>
      </c>
      <c r="Q48" s="421">
        <f t="shared" si="26"/>
        <v>0</v>
      </c>
      <c r="R48" s="421">
        <f t="shared" si="26"/>
        <v>0</v>
      </c>
      <c r="S48" s="421">
        <f t="shared" si="26"/>
        <v>0</v>
      </c>
      <c r="T48" s="421">
        <f t="shared" si="26"/>
        <v>0</v>
      </c>
      <c r="U48" s="421">
        <f t="shared" si="26"/>
        <v>0</v>
      </c>
      <c r="V48" s="421">
        <f t="shared" si="26"/>
        <v>0</v>
      </c>
      <c r="W48" s="421">
        <f t="shared" si="26"/>
        <v>0</v>
      </c>
      <c r="X48" s="421">
        <f t="shared" si="26"/>
        <v>0</v>
      </c>
      <c r="Y48" s="421" t="e">
        <f t="shared" si="26"/>
        <v>#DIV/0!</v>
      </c>
      <c r="Z48" s="421" t="e">
        <f t="shared" si="26"/>
        <v>#DIV/0!</v>
      </c>
      <c r="AA48" s="421">
        <f t="shared" si="26"/>
        <v>0</v>
      </c>
      <c r="AB48" s="421">
        <f t="shared" si="26"/>
        <v>0</v>
      </c>
      <c r="AC48" s="421">
        <f t="shared" si="26"/>
        <v>0</v>
      </c>
      <c r="AD48" s="421">
        <f t="shared" si="26"/>
        <v>0</v>
      </c>
      <c r="AE48" s="421">
        <f t="shared" si="26"/>
        <v>0</v>
      </c>
      <c r="AF48" s="421">
        <f t="shared" si="26"/>
        <v>0</v>
      </c>
      <c r="AG48" s="421">
        <f t="shared" si="26"/>
        <v>0</v>
      </c>
      <c r="AH48" s="421">
        <f t="shared" si="26"/>
        <v>0</v>
      </c>
      <c r="AI48" s="421">
        <f t="shared" si="26"/>
        <v>0</v>
      </c>
      <c r="AJ48" s="421">
        <f t="shared" si="26"/>
        <v>0</v>
      </c>
      <c r="AK48" s="421" t="e">
        <f t="shared" si="26"/>
        <v>#DIV/0!</v>
      </c>
      <c r="AL48" s="421" t="e">
        <f t="shared" si="26"/>
        <v>#DIV/0!</v>
      </c>
      <c r="AM48" s="421">
        <f t="shared" si="26"/>
        <v>0</v>
      </c>
      <c r="AN48" s="421">
        <f t="shared" si="26"/>
        <v>0</v>
      </c>
      <c r="AO48" s="421">
        <f t="shared" si="26"/>
        <v>0</v>
      </c>
      <c r="AP48" s="421">
        <f t="shared" si="26"/>
        <v>0</v>
      </c>
      <c r="AQ48" s="421">
        <f t="shared" si="26"/>
        <v>0</v>
      </c>
      <c r="AR48" s="421">
        <f t="shared" si="26"/>
        <v>0</v>
      </c>
      <c r="AS48" s="421">
        <f t="shared" si="26"/>
        <v>0</v>
      </c>
      <c r="AT48" s="421">
        <f t="shared" si="26"/>
        <v>0</v>
      </c>
      <c r="AU48" s="421">
        <f t="shared" si="26"/>
        <v>0</v>
      </c>
      <c r="AV48" s="421">
        <f t="shared" si="26"/>
        <v>0</v>
      </c>
      <c r="AW48" s="421" t="e">
        <f t="shared" si="26"/>
        <v>#DIV/0!</v>
      </c>
      <c r="AX48" s="421" t="e">
        <f t="shared" si="26"/>
        <v>#DIV/0!</v>
      </c>
    </row>
    <row r="49" spans="1:50" x14ac:dyDescent="0.25">
      <c r="A49" s="13">
        <v>13</v>
      </c>
      <c r="B49" s="13" t="s">
        <v>151</v>
      </c>
      <c r="C49" s="421">
        <f t="shared" ref="C49:N49" si="27">C16/$D$32</f>
        <v>0</v>
      </c>
      <c r="D49" s="421">
        <f t="shared" si="27"/>
        <v>0</v>
      </c>
      <c r="E49" s="421">
        <f t="shared" si="27"/>
        <v>0</v>
      </c>
      <c r="F49" s="421">
        <f t="shared" si="27"/>
        <v>0</v>
      </c>
      <c r="G49" s="421">
        <f t="shared" si="27"/>
        <v>0</v>
      </c>
      <c r="H49" s="421">
        <f t="shared" si="27"/>
        <v>0</v>
      </c>
      <c r="I49" s="421">
        <f t="shared" si="27"/>
        <v>0</v>
      </c>
      <c r="J49" s="421">
        <f t="shared" si="27"/>
        <v>0</v>
      </c>
      <c r="K49" s="421">
        <f t="shared" si="27"/>
        <v>0</v>
      </c>
      <c r="L49" s="421">
        <f t="shared" si="27"/>
        <v>0</v>
      </c>
      <c r="M49" s="421" t="e">
        <f t="shared" si="27"/>
        <v>#DIV/0!</v>
      </c>
      <c r="N49" s="421" t="e">
        <f t="shared" si="27"/>
        <v>#DIV/0!</v>
      </c>
      <c r="O49" s="421">
        <f t="shared" ref="O49:AX49" si="28">O16/$D$32</f>
        <v>0</v>
      </c>
      <c r="P49" s="421">
        <f t="shared" si="28"/>
        <v>0</v>
      </c>
      <c r="Q49" s="421">
        <f t="shared" si="28"/>
        <v>0</v>
      </c>
      <c r="R49" s="421">
        <f t="shared" si="28"/>
        <v>0</v>
      </c>
      <c r="S49" s="421">
        <f t="shared" si="28"/>
        <v>0</v>
      </c>
      <c r="T49" s="421">
        <f t="shared" si="28"/>
        <v>0</v>
      </c>
      <c r="U49" s="421">
        <f t="shared" si="28"/>
        <v>0</v>
      </c>
      <c r="V49" s="421">
        <f t="shared" si="28"/>
        <v>0</v>
      </c>
      <c r="W49" s="421">
        <f t="shared" si="28"/>
        <v>0</v>
      </c>
      <c r="X49" s="421">
        <f t="shared" si="28"/>
        <v>0</v>
      </c>
      <c r="Y49" s="421" t="e">
        <f t="shared" si="28"/>
        <v>#DIV/0!</v>
      </c>
      <c r="Z49" s="421" t="e">
        <f t="shared" si="28"/>
        <v>#DIV/0!</v>
      </c>
      <c r="AA49" s="421">
        <f t="shared" si="28"/>
        <v>0</v>
      </c>
      <c r="AB49" s="421">
        <f t="shared" si="28"/>
        <v>0</v>
      </c>
      <c r="AC49" s="421">
        <f t="shared" si="28"/>
        <v>0</v>
      </c>
      <c r="AD49" s="421">
        <f t="shared" si="28"/>
        <v>0</v>
      </c>
      <c r="AE49" s="421">
        <f t="shared" si="28"/>
        <v>0</v>
      </c>
      <c r="AF49" s="421">
        <f t="shared" si="28"/>
        <v>0</v>
      </c>
      <c r="AG49" s="421">
        <f t="shared" si="28"/>
        <v>0</v>
      </c>
      <c r="AH49" s="421">
        <f t="shared" si="28"/>
        <v>0</v>
      </c>
      <c r="AI49" s="421">
        <f t="shared" si="28"/>
        <v>0</v>
      </c>
      <c r="AJ49" s="421">
        <f t="shared" si="28"/>
        <v>0</v>
      </c>
      <c r="AK49" s="421" t="e">
        <f t="shared" si="28"/>
        <v>#DIV/0!</v>
      </c>
      <c r="AL49" s="421" t="e">
        <f t="shared" si="28"/>
        <v>#DIV/0!</v>
      </c>
      <c r="AM49" s="421">
        <f t="shared" si="28"/>
        <v>0</v>
      </c>
      <c r="AN49" s="421">
        <f t="shared" si="28"/>
        <v>0</v>
      </c>
      <c r="AO49" s="421">
        <f t="shared" si="28"/>
        <v>0</v>
      </c>
      <c r="AP49" s="421">
        <f t="shared" si="28"/>
        <v>0</v>
      </c>
      <c r="AQ49" s="421">
        <f t="shared" si="28"/>
        <v>0</v>
      </c>
      <c r="AR49" s="421">
        <f t="shared" si="28"/>
        <v>0</v>
      </c>
      <c r="AS49" s="421">
        <f t="shared" si="28"/>
        <v>0</v>
      </c>
      <c r="AT49" s="421">
        <f t="shared" si="28"/>
        <v>0</v>
      </c>
      <c r="AU49" s="421">
        <f t="shared" si="28"/>
        <v>0</v>
      </c>
      <c r="AV49" s="421">
        <f t="shared" si="28"/>
        <v>0</v>
      </c>
      <c r="AW49" s="421" t="e">
        <f t="shared" si="28"/>
        <v>#DIV/0!</v>
      </c>
      <c r="AX49" s="421" t="e">
        <f t="shared" si="28"/>
        <v>#DIV/0!</v>
      </c>
    </row>
    <row r="50" spans="1:50" x14ac:dyDescent="0.25">
      <c r="A50" s="13">
        <v>14</v>
      </c>
      <c r="B50" s="13" t="s">
        <v>152</v>
      </c>
      <c r="C50" s="421">
        <f t="shared" ref="C50:N50" si="29">C17/$D$32</f>
        <v>0</v>
      </c>
      <c r="D50" s="421">
        <f t="shared" si="29"/>
        <v>0</v>
      </c>
      <c r="E50" s="421">
        <f t="shared" si="29"/>
        <v>0</v>
      </c>
      <c r="F50" s="421">
        <f t="shared" si="29"/>
        <v>0</v>
      </c>
      <c r="G50" s="421">
        <f t="shared" si="29"/>
        <v>0</v>
      </c>
      <c r="H50" s="421">
        <f t="shared" si="29"/>
        <v>0</v>
      </c>
      <c r="I50" s="421">
        <f t="shared" si="29"/>
        <v>0</v>
      </c>
      <c r="J50" s="421">
        <f t="shared" si="29"/>
        <v>0</v>
      </c>
      <c r="K50" s="421">
        <f t="shared" si="29"/>
        <v>0</v>
      </c>
      <c r="L50" s="421">
        <f t="shared" si="29"/>
        <v>0</v>
      </c>
      <c r="M50" s="421" t="e">
        <f t="shared" si="29"/>
        <v>#DIV/0!</v>
      </c>
      <c r="N50" s="421" t="e">
        <f t="shared" si="29"/>
        <v>#DIV/0!</v>
      </c>
      <c r="O50" s="421">
        <f t="shared" ref="O50:AX50" si="30">O17/$D$32</f>
        <v>0</v>
      </c>
      <c r="P50" s="421">
        <f t="shared" si="30"/>
        <v>0</v>
      </c>
      <c r="Q50" s="421">
        <f t="shared" si="30"/>
        <v>0</v>
      </c>
      <c r="R50" s="421">
        <f t="shared" si="30"/>
        <v>0</v>
      </c>
      <c r="S50" s="421">
        <f t="shared" si="30"/>
        <v>0</v>
      </c>
      <c r="T50" s="421">
        <f t="shared" si="30"/>
        <v>0</v>
      </c>
      <c r="U50" s="421">
        <f t="shared" si="30"/>
        <v>0</v>
      </c>
      <c r="V50" s="421">
        <f t="shared" si="30"/>
        <v>0</v>
      </c>
      <c r="W50" s="421">
        <f t="shared" si="30"/>
        <v>0</v>
      </c>
      <c r="X50" s="421">
        <f t="shared" si="30"/>
        <v>0</v>
      </c>
      <c r="Y50" s="421" t="e">
        <f t="shared" si="30"/>
        <v>#DIV/0!</v>
      </c>
      <c r="Z50" s="421" t="e">
        <f t="shared" si="30"/>
        <v>#DIV/0!</v>
      </c>
      <c r="AA50" s="421">
        <f t="shared" si="30"/>
        <v>0</v>
      </c>
      <c r="AB50" s="421">
        <f t="shared" si="30"/>
        <v>0</v>
      </c>
      <c r="AC50" s="421">
        <f t="shared" si="30"/>
        <v>0</v>
      </c>
      <c r="AD50" s="421">
        <f t="shared" si="30"/>
        <v>0</v>
      </c>
      <c r="AE50" s="421">
        <f t="shared" si="30"/>
        <v>0</v>
      </c>
      <c r="AF50" s="421">
        <f t="shared" si="30"/>
        <v>0</v>
      </c>
      <c r="AG50" s="421">
        <f t="shared" si="30"/>
        <v>0</v>
      </c>
      <c r="AH50" s="421">
        <f t="shared" si="30"/>
        <v>0</v>
      </c>
      <c r="AI50" s="421">
        <f t="shared" si="30"/>
        <v>0</v>
      </c>
      <c r="AJ50" s="421">
        <f t="shared" si="30"/>
        <v>0</v>
      </c>
      <c r="AK50" s="421" t="e">
        <f t="shared" si="30"/>
        <v>#DIV/0!</v>
      </c>
      <c r="AL50" s="421" t="e">
        <f t="shared" si="30"/>
        <v>#DIV/0!</v>
      </c>
      <c r="AM50" s="421">
        <f t="shared" si="30"/>
        <v>0</v>
      </c>
      <c r="AN50" s="421">
        <f t="shared" si="30"/>
        <v>0</v>
      </c>
      <c r="AO50" s="421">
        <f t="shared" si="30"/>
        <v>0</v>
      </c>
      <c r="AP50" s="421">
        <f t="shared" si="30"/>
        <v>0</v>
      </c>
      <c r="AQ50" s="421">
        <f t="shared" si="30"/>
        <v>0</v>
      </c>
      <c r="AR50" s="421">
        <f t="shared" si="30"/>
        <v>0</v>
      </c>
      <c r="AS50" s="421">
        <f t="shared" si="30"/>
        <v>0</v>
      </c>
      <c r="AT50" s="421">
        <f t="shared" si="30"/>
        <v>0</v>
      </c>
      <c r="AU50" s="421">
        <f t="shared" si="30"/>
        <v>0</v>
      </c>
      <c r="AV50" s="421">
        <f t="shared" si="30"/>
        <v>0</v>
      </c>
      <c r="AW50" s="421" t="e">
        <f t="shared" si="30"/>
        <v>#DIV/0!</v>
      </c>
      <c r="AX50" s="421" t="e">
        <f t="shared" si="30"/>
        <v>#DIV/0!</v>
      </c>
    </row>
    <row r="51" spans="1:50" x14ac:dyDescent="0.25">
      <c r="A51" s="13">
        <v>15</v>
      </c>
      <c r="B51" s="13" t="s">
        <v>153</v>
      </c>
      <c r="C51" s="421">
        <f t="shared" ref="C51:N51" si="31">C18/$D$32</f>
        <v>0</v>
      </c>
      <c r="D51" s="421">
        <f t="shared" si="31"/>
        <v>0</v>
      </c>
      <c r="E51" s="421">
        <f t="shared" si="31"/>
        <v>0</v>
      </c>
      <c r="F51" s="421">
        <f t="shared" si="31"/>
        <v>0</v>
      </c>
      <c r="G51" s="421">
        <f t="shared" si="31"/>
        <v>0</v>
      </c>
      <c r="H51" s="421">
        <f t="shared" si="31"/>
        <v>0</v>
      </c>
      <c r="I51" s="421">
        <f t="shared" si="31"/>
        <v>0</v>
      </c>
      <c r="J51" s="421">
        <f t="shared" si="31"/>
        <v>0</v>
      </c>
      <c r="K51" s="421">
        <f t="shared" si="31"/>
        <v>0</v>
      </c>
      <c r="L51" s="421">
        <f t="shared" si="31"/>
        <v>0</v>
      </c>
      <c r="M51" s="421" t="e">
        <f t="shared" si="31"/>
        <v>#DIV/0!</v>
      </c>
      <c r="N51" s="421" t="e">
        <f t="shared" si="31"/>
        <v>#DIV/0!</v>
      </c>
      <c r="O51" s="421">
        <f t="shared" ref="O51:AX51" si="32">O18/$D$32</f>
        <v>0</v>
      </c>
      <c r="P51" s="421">
        <f t="shared" si="32"/>
        <v>0</v>
      </c>
      <c r="Q51" s="421">
        <f t="shared" si="32"/>
        <v>0</v>
      </c>
      <c r="R51" s="421">
        <f t="shared" si="32"/>
        <v>0</v>
      </c>
      <c r="S51" s="421">
        <f t="shared" si="32"/>
        <v>0</v>
      </c>
      <c r="T51" s="421">
        <f t="shared" si="32"/>
        <v>0</v>
      </c>
      <c r="U51" s="421">
        <f t="shared" si="32"/>
        <v>0</v>
      </c>
      <c r="V51" s="421">
        <f t="shared" si="32"/>
        <v>0</v>
      </c>
      <c r="W51" s="421">
        <f t="shared" si="32"/>
        <v>0</v>
      </c>
      <c r="X51" s="421">
        <f t="shared" si="32"/>
        <v>0</v>
      </c>
      <c r="Y51" s="421" t="e">
        <f t="shared" si="32"/>
        <v>#DIV/0!</v>
      </c>
      <c r="Z51" s="421" t="e">
        <f t="shared" si="32"/>
        <v>#DIV/0!</v>
      </c>
      <c r="AA51" s="421">
        <f t="shared" si="32"/>
        <v>0</v>
      </c>
      <c r="AB51" s="421">
        <f t="shared" si="32"/>
        <v>0</v>
      </c>
      <c r="AC51" s="421">
        <f t="shared" si="32"/>
        <v>0</v>
      </c>
      <c r="AD51" s="421">
        <f t="shared" si="32"/>
        <v>0</v>
      </c>
      <c r="AE51" s="421">
        <f t="shared" si="32"/>
        <v>0</v>
      </c>
      <c r="AF51" s="421">
        <f t="shared" si="32"/>
        <v>0</v>
      </c>
      <c r="AG51" s="421">
        <f t="shared" si="32"/>
        <v>0</v>
      </c>
      <c r="AH51" s="421">
        <f t="shared" si="32"/>
        <v>0</v>
      </c>
      <c r="AI51" s="421">
        <f t="shared" si="32"/>
        <v>0</v>
      </c>
      <c r="AJ51" s="421">
        <f t="shared" si="32"/>
        <v>0</v>
      </c>
      <c r="AK51" s="421" t="e">
        <f t="shared" si="32"/>
        <v>#DIV/0!</v>
      </c>
      <c r="AL51" s="421" t="e">
        <f t="shared" si="32"/>
        <v>#DIV/0!</v>
      </c>
      <c r="AM51" s="421">
        <f t="shared" si="32"/>
        <v>0</v>
      </c>
      <c r="AN51" s="421">
        <f t="shared" si="32"/>
        <v>0</v>
      </c>
      <c r="AO51" s="421">
        <f t="shared" si="32"/>
        <v>0</v>
      </c>
      <c r="AP51" s="421">
        <f t="shared" si="32"/>
        <v>0</v>
      </c>
      <c r="AQ51" s="421">
        <f t="shared" si="32"/>
        <v>0</v>
      </c>
      <c r="AR51" s="421">
        <f t="shared" si="32"/>
        <v>0</v>
      </c>
      <c r="AS51" s="421">
        <f t="shared" si="32"/>
        <v>0</v>
      </c>
      <c r="AT51" s="421">
        <f t="shared" si="32"/>
        <v>0</v>
      </c>
      <c r="AU51" s="421">
        <f t="shared" si="32"/>
        <v>0</v>
      </c>
      <c r="AV51" s="421">
        <f t="shared" si="32"/>
        <v>0</v>
      </c>
      <c r="AW51" s="421" t="e">
        <f t="shared" si="32"/>
        <v>#DIV/0!</v>
      </c>
      <c r="AX51" s="421" t="e">
        <f t="shared" si="32"/>
        <v>#DIV/0!</v>
      </c>
    </row>
    <row r="52" spans="1:50" x14ac:dyDescent="0.25">
      <c r="A52" s="13">
        <v>16</v>
      </c>
      <c r="B52" s="13" t="s">
        <v>154</v>
      </c>
      <c r="C52" s="421">
        <f t="shared" ref="C52:N52" si="33">C19/$D$32</f>
        <v>0</v>
      </c>
      <c r="D52" s="421">
        <f t="shared" si="33"/>
        <v>0</v>
      </c>
      <c r="E52" s="421">
        <f t="shared" si="33"/>
        <v>0</v>
      </c>
      <c r="F52" s="421">
        <f t="shared" si="33"/>
        <v>0</v>
      </c>
      <c r="G52" s="421">
        <f t="shared" si="33"/>
        <v>0</v>
      </c>
      <c r="H52" s="421">
        <f t="shared" si="33"/>
        <v>0</v>
      </c>
      <c r="I52" s="421">
        <f t="shared" si="33"/>
        <v>0</v>
      </c>
      <c r="J52" s="421">
        <f t="shared" si="33"/>
        <v>0</v>
      </c>
      <c r="K52" s="421">
        <f t="shared" si="33"/>
        <v>0</v>
      </c>
      <c r="L52" s="421">
        <f t="shared" si="33"/>
        <v>0</v>
      </c>
      <c r="M52" s="421" t="e">
        <f t="shared" si="33"/>
        <v>#DIV/0!</v>
      </c>
      <c r="N52" s="421" t="e">
        <f t="shared" si="33"/>
        <v>#DIV/0!</v>
      </c>
      <c r="O52" s="421">
        <f t="shared" ref="O52:AX52" si="34">O19/$D$32</f>
        <v>0</v>
      </c>
      <c r="P52" s="421">
        <f t="shared" si="34"/>
        <v>0</v>
      </c>
      <c r="Q52" s="421">
        <f t="shared" si="34"/>
        <v>0</v>
      </c>
      <c r="R52" s="421">
        <f t="shared" si="34"/>
        <v>0</v>
      </c>
      <c r="S52" s="421">
        <f t="shared" si="34"/>
        <v>0</v>
      </c>
      <c r="T52" s="421">
        <f t="shared" si="34"/>
        <v>0</v>
      </c>
      <c r="U52" s="421">
        <f t="shared" si="34"/>
        <v>0</v>
      </c>
      <c r="V52" s="421">
        <f t="shared" si="34"/>
        <v>0</v>
      </c>
      <c r="W52" s="421">
        <f t="shared" si="34"/>
        <v>0</v>
      </c>
      <c r="X52" s="421">
        <f t="shared" si="34"/>
        <v>0</v>
      </c>
      <c r="Y52" s="421" t="e">
        <f t="shared" si="34"/>
        <v>#DIV/0!</v>
      </c>
      <c r="Z52" s="421" t="e">
        <f t="shared" si="34"/>
        <v>#DIV/0!</v>
      </c>
      <c r="AA52" s="421">
        <f t="shared" si="34"/>
        <v>0</v>
      </c>
      <c r="AB52" s="421">
        <f t="shared" si="34"/>
        <v>0</v>
      </c>
      <c r="AC52" s="421">
        <f t="shared" si="34"/>
        <v>0</v>
      </c>
      <c r="AD52" s="421">
        <f t="shared" si="34"/>
        <v>0</v>
      </c>
      <c r="AE52" s="421">
        <f t="shared" si="34"/>
        <v>0</v>
      </c>
      <c r="AF52" s="421">
        <f t="shared" si="34"/>
        <v>0</v>
      </c>
      <c r="AG52" s="421">
        <f t="shared" si="34"/>
        <v>0</v>
      </c>
      <c r="AH52" s="421">
        <f t="shared" si="34"/>
        <v>0</v>
      </c>
      <c r="AI52" s="421">
        <f t="shared" si="34"/>
        <v>0</v>
      </c>
      <c r="AJ52" s="421">
        <f t="shared" si="34"/>
        <v>0</v>
      </c>
      <c r="AK52" s="421" t="e">
        <f t="shared" si="34"/>
        <v>#DIV/0!</v>
      </c>
      <c r="AL52" s="421" t="e">
        <f t="shared" si="34"/>
        <v>#DIV/0!</v>
      </c>
      <c r="AM52" s="421">
        <f t="shared" si="34"/>
        <v>0</v>
      </c>
      <c r="AN52" s="421">
        <f t="shared" si="34"/>
        <v>0</v>
      </c>
      <c r="AO52" s="421">
        <f t="shared" si="34"/>
        <v>0</v>
      </c>
      <c r="AP52" s="421">
        <f t="shared" si="34"/>
        <v>0</v>
      </c>
      <c r="AQ52" s="421">
        <f t="shared" si="34"/>
        <v>0</v>
      </c>
      <c r="AR52" s="421">
        <f t="shared" si="34"/>
        <v>0</v>
      </c>
      <c r="AS52" s="421">
        <f t="shared" si="34"/>
        <v>0</v>
      </c>
      <c r="AT52" s="421">
        <f t="shared" si="34"/>
        <v>0</v>
      </c>
      <c r="AU52" s="421">
        <f t="shared" si="34"/>
        <v>0</v>
      </c>
      <c r="AV52" s="421">
        <f t="shared" si="34"/>
        <v>0</v>
      </c>
      <c r="AW52" s="421" t="e">
        <f t="shared" si="34"/>
        <v>#DIV/0!</v>
      </c>
      <c r="AX52" s="421" t="e">
        <f t="shared" si="34"/>
        <v>#DIV/0!</v>
      </c>
    </row>
    <row r="53" spans="1:50" x14ac:dyDescent="0.25">
      <c r="A53" s="13">
        <v>17</v>
      </c>
      <c r="B53" s="13" t="s">
        <v>155</v>
      </c>
      <c r="C53" s="421">
        <f t="shared" ref="C53:N53" si="35">C20/$D$32</f>
        <v>0</v>
      </c>
      <c r="D53" s="421">
        <f t="shared" si="35"/>
        <v>0</v>
      </c>
      <c r="E53" s="421">
        <f t="shared" si="35"/>
        <v>0</v>
      </c>
      <c r="F53" s="421">
        <f t="shared" si="35"/>
        <v>0</v>
      </c>
      <c r="G53" s="421">
        <f t="shared" si="35"/>
        <v>0</v>
      </c>
      <c r="H53" s="421">
        <f t="shared" si="35"/>
        <v>0</v>
      </c>
      <c r="I53" s="421">
        <f t="shared" si="35"/>
        <v>0</v>
      </c>
      <c r="J53" s="421">
        <f t="shared" si="35"/>
        <v>0</v>
      </c>
      <c r="K53" s="421">
        <f t="shared" si="35"/>
        <v>0</v>
      </c>
      <c r="L53" s="421">
        <f t="shared" si="35"/>
        <v>0</v>
      </c>
      <c r="M53" s="421" t="e">
        <f t="shared" si="35"/>
        <v>#DIV/0!</v>
      </c>
      <c r="N53" s="421" t="e">
        <f t="shared" si="35"/>
        <v>#DIV/0!</v>
      </c>
      <c r="O53" s="421">
        <f t="shared" ref="O53:AX53" si="36">O20/$D$32</f>
        <v>0</v>
      </c>
      <c r="P53" s="421">
        <f t="shared" si="36"/>
        <v>0</v>
      </c>
      <c r="Q53" s="421">
        <f t="shared" si="36"/>
        <v>0</v>
      </c>
      <c r="R53" s="421">
        <f t="shared" si="36"/>
        <v>0</v>
      </c>
      <c r="S53" s="421">
        <f t="shared" si="36"/>
        <v>0</v>
      </c>
      <c r="T53" s="421">
        <f t="shared" si="36"/>
        <v>0</v>
      </c>
      <c r="U53" s="421">
        <f t="shared" si="36"/>
        <v>0</v>
      </c>
      <c r="V53" s="421">
        <f t="shared" si="36"/>
        <v>0</v>
      </c>
      <c r="W53" s="421">
        <f t="shared" si="36"/>
        <v>0</v>
      </c>
      <c r="X53" s="421">
        <f t="shared" si="36"/>
        <v>0</v>
      </c>
      <c r="Y53" s="421" t="e">
        <f t="shared" si="36"/>
        <v>#DIV/0!</v>
      </c>
      <c r="Z53" s="421" t="e">
        <f t="shared" si="36"/>
        <v>#DIV/0!</v>
      </c>
      <c r="AA53" s="421">
        <f t="shared" si="36"/>
        <v>0</v>
      </c>
      <c r="AB53" s="421">
        <f t="shared" si="36"/>
        <v>0</v>
      </c>
      <c r="AC53" s="421">
        <f t="shared" si="36"/>
        <v>0</v>
      </c>
      <c r="AD53" s="421">
        <f t="shared" si="36"/>
        <v>0</v>
      </c>
      <c r="AE53" s="421">
        <f t="shared" si="36"/>
        <v>0</v>
      </c>
      <c r="AF53" s="421">
        <f t="shared" si="36"/>
        <v>0</v>
      </c>
      <c r="AG53" s="421">
        <f t="shared" si="36"/>
        <v>0</v>
      </c>
      <c r="AH53" s="421">
        <f t="shared" si="36"/>
        <v>0</v>
      </c>
      <c r="AI53" s="421">
        <f t="shared" si="36"/>
        <v>0</v>
      </c>
      <c r="AJ53" s="421">
        <f t="shared" si="36"/>
        <v>0</v>
      </c>
      <c r="AK53" s="421" t="e">
        <f t="shared" si="36"/>
        <v>#DIV/0!</v>
      </c>
      <c r="AL53" s="421" t="e">
        <f t="shared" si="36"/>
        <v>#DIV/0!</v>
      </c>
      <c r="AM53" s="421">
        <f t="shared" si="36"/>
        <v>0</v>
      </c>
      <c r="AN53" s="421">
        <f t="shared" si="36"/>
        <v>0</v>
      </c>
      <c r="AO53" s="421">
        <f t="shared" si="36"/>
        <v>0</v>
      </c>
      <c r="AP53" s="421">
        <f t="shared" si="36"/>
        <v>0</v>
      </c>
      <c r="AQ53" s="421">
        <f t="shared" si="36"/>
        <v>0</v>
      </c>
      <c r="AR53" s="421">
        <f t="shared" si="36"/>
        <v>0</v>
      </c>
      <c r="AS53" s="421">
        <f t="shared" si="36"/>
        <v>0</v>
      </c>
      <c r="AT53" s="421">
        <f t="shared" si="36"/>
        <v>0</v>
      </c>
      <c r="AU53" s="421">
        <f t="shared" si="36"/>
        <v>0</v>
      </c>
      <c r="AV53" s="421">
        <f t="shared" si="36"/>
        <v>0</v>
      </c>
      <c r="AW53" s="421" t="e">
        <f t="shared" si="36"/>
        <v>#DIV/0!</v>
      </c>
      <c r="AX53" s="421" t="e">
        <f t="shared" si="36"/>
        <v>#DIV/0!</v>
      </c>
    </row>
    <row r="54" spans="1:50" x14ac:dyDescent="0.25">
      <c r="A54" s="13">
        <v>18</v>
      </c>
      <c r="B54" s="13" t="s">
        <v>156</v>
      </c>
      <c r="C54" s="421">
        <f t="shared" ref="C54:N54" si="37">C21/$D$32</f>
        <v>0</v>
      </c>
      <c r="D54" s="421">
        <f t="shared" si="37"/>
        <v>0</v>
      </c>
      <c r="E54" s="421">
        <f t="shared" si="37"/>
        <v>0</v>
      </c>
      <c r="F54" s="421">
        <f t="shared" si="37"/>
        <v>0</v>
      </c>
      <c r="G54" s="421">
        <f t="shared" si="37"/>
        <v>0</v>
      </c>
      <c r="H54" s="421">
        <f t="shared" si="37"/>
        <v>0</v>
      </c>
      <c r="I54" s="421">
        <f t="shared" si="37"/>
        <v>0</v>
      </c>
      <c r="J54" s="421">
        <f t="shared" si="37"/>
        <v>0</v>
      </c>
      <c r="K54" s="421">
        <f t="shared" si="37"/>
        <v>0</v>
      </c>
      <c r="L54" s="421">
        <f t="shared" si="37"/>
        <v>0</v>
      </c>
      <c r="M54" s="421" t="e">
        <f t="shared" si="37"/>
        <v>#DIV/0!</v>
      </c>
      <c r="N54" s="421" t="e">
        <f t="shared" si="37"/>
        <v>#DIV/0!</v>
      </c>
      <c r="O54" s="421">
        <f t="shared" ref="O54:AX54" si="38">O21/$D$32</f>
        <v>0</v>
      </c>
      <c r="P54" s="421">
        <f t="shared" si="38"/>
        <v>0</v>
      </c>
      <c r="Q54" s="421">
        <f t="shared" si="38"/>
        <v>0</v>
      </c>
      <c r="R54" s="421">
        <f t="shared" si="38"/>
        <v>0</v>
      </c>
      <c r="S54" s="421">
        <f t="shared" si="38"/>
        <v>0</v>
      </c>
      <c r="T54" s="421">
        <f t="shared" si="38"/>
        <v>0</v>
      </c>
      <c r="U54" s="421">
        <f t="shared" si="38"/>
        <v>0</v>
      </c>
      <c r="V54" s="421">
        <f t="shared" si="38"/>
        <v>0</v>
      </c>
      <c r="W54" s="421">
        <f t="shared" si="38"/>
        <v>0</v>
      </c>
      <c r="X54" s="421">
        <f t="shared" si="38"/>
        <v>0</v>
      </c>
      <c r="Y54" s="421" t="e">
        <f t="shared" si="38"/>
        <v>#DIV/0!</v>
      </c>
      <c r="Z54" s="421" t="e">
        <f t="shared" si="38"/>
        <v>#DIV/0!</v>
      </c>
      <c r="AA54" s="421">
        <f t="shared" si="38"/>
        <v>0</v>
      </c>
      <c r="AB54" s="421">
        <f t="shared" si="38"/>
        <v>0</v>
      </c>
      <c r="AC54" s="421">
        <f t="shared" si="38"/>
        <v>0</v>
      </c>
      <c r="AD54" s="421">
        <f t="shared" si="38"/>
        <v>0</v>
      </c>
      <c r="AE54" s="421">
        <f t="shared" si="38"/>
        <v>0</v>
      </c>
      <c r="AF54" s="421">
        <f t="shared" si="38"/>
        <v>0</v>
      </c>
      <c r="AG54" s="421">
        <f t="shared" si="38"/>
        <v>0</v>
      </c>
      <c r="AH54" s="421">
        <f t="shared" si="38"/>
        <v>0</v>
      </c>
      <c r="AI54" s="421">
        <f t="shared" si="38"/>
        <v>0</v>
      </c>
      <c r="AJ54" s="421">
        <f t="shared" si="38"/>
        <v>0</v>
      </c>
      <c r="AK54" s="421" t="e">
        <f t="shared" si="38"/>
        <v>#DIV/0!</v>
      </c>
      <c r="AL54" s="421" t="e">
        <f t="shared" si="38"/>
        <v>#DIV/0!</v>
      </c>
      <c r="AM54" s="421">
        <f t="shared" si="38"/>
        <v>0</v>
      </c>
      <c r="AN54" s="421">
        <f t="shared" si="38"/>
        <v>0</v>
      </c>
      <c r="AO54" s="421">
        <f t="shared" si="38"/>
        <v>0</v>
      </c>
      <c r="AP54" s="421">
        <f t="shared" si="38"/>
        <v>0</v>
      </c>
      <c r="AQ54" s="421">
        <f t="shared" si="38"/>
        <v>0</v>
      </c>
      <c r="AR54" s="421">
        <f t="shared" si="38"/>
        <v>0</v>
      </c>
      <c r="AS54" s="421">
        <f t="shared" si="38"/>
        <v>0</v>
      </c>
      <c r="AT54" s="421">
        <f t="shared" si="38"/>
        <v>0</v>
      </c>
      <c r="AU54" s="421">
        <f t="shared" si="38"/>
        <v>0</v>
      </c>
      <c r="AV54" s="421">
        <f t="shared" si="38"/>
        <v>0</v>
      </c>
      <c r="AW54" s="421" t="e">
        <f t="shared" si="38"/>
        <v>#DIV/0!</v>
      </c>
      <c r="AX54" s="421" t="e">
        <f t="shared" si="38"/>
        <v>#DIV/0!</v>
      </c>
    </row>
    <row r="55" spans="1:50" x14ac:dyDescent="0.25">
      <c r="A55" s="13">
        <v>19</v>
      </c>
      <c r="B55" s="13" t="s">
        <v>157</v>
      </c>
      <c r="C55" s="421">
        <f t="shared" ref="C55:N55" si="39">C22/$D$32</f>
        <v>0</v>
      </c>
      <c r="D55" s="421">
        <f t="shared" si="39"/>
        <v>0</v>
      </c>
      <c r="E55" s="421">
        <f t="shared" si="39"/>
        <v>0</v>
      </c>
      <c r="F55" s="421">
        <f t="shared" si="39"/>
        <v>0</v>
      </c>
      <c r="G55" s="421">
        <f t="shared" si="39"/>
        <v>0</v>
      </c>
      <c r="H55" s="421">
        <f t="shared" si="39"/>
        <v>0</v>
      </c>
      <c r="I55" s="421">
        <f t="shared" si="39"/>
        <v>0</v>
      </c>
      <c r="J55" s="421">
        <f t="shared" si="39"/>
        <v>0</v>
      </c>
      <c r="K55" s="421">
        <f t="shared" si="39"/>
        <v>0</v>
      </c>
      <c r="L55" s="421">
        <f t="shared" si="39"/>
        <v>0</v>
      </c>
      <c r="M55" s="421" t="e">
        <f t="shared" si="39"/>
        <v>#DIV/0!</v>
      </c>
      <c r="N55" s="421" t="e">
        <f t="shared" si="39"/>
        <v>#DIV/0!</v>
      </c>
      <c r="O55" s="421">
        <f t="shared" ref="O55:AX55" si="40">O22/$D$32</f>
        <v>0</v>
      </c>
      <c r="P55" s="421">
        <f t="shared" si="40"/>
        <v>0</v>
      </c>
      <c r="Q55" s="421">
        <f t="shared" si="40"/>
        <v>0</v>
      </c>
      <c r="R55" s="421">
        <f t="shared" si="40"/>
        <v>0</v>
      </c>
      <c r="S55" s="421">
        <f t="shared" si="40"/>
        <v>0</v>
      </c>
      <c r="T55" s="421">
        <f t="shared" si="40"/>
        <v>0</v>
      </c>
      <c r="U55" s="421">
        <f t="shared" si="40"/>
        <v>0</v>
      </c>
      <c r="V55" s="421">
        <f t="shared" si="40"/>
        <v>0</v>
      </c>
      <c r="W55" s="421">
        <f t="shared" si="40"/>
        <v>0</v>
      </c>
      <c r="X55" s="421">
        <f t="shared" si="40"/>
        <v>0</v>
      </c>
      <c r="Y55" s="421" t="e">
        <f t="shared" si="40"/>
        <v>#DIV/0!</v>
      </c>
      <c r="Z55" s="421" t="e">
        <f t="shared" si="40"/>
        <v>#DIV/0!</v>
      </c>
      <c r="AA55" s="421">
        <f t="shared" si="40"/>
        <v>0</v>
      </c>
      <c r="AB55" s="421">
        <f t="shared" si="40"/>
        <v>0</v>
      </c>
      <c r="AC55" s="421">
        <f t="shared" si="40"/>
        <v>0</v>
      </c>
      <c r="AD55" s="421">
        <f t="shared" si="40"/>
        <v>0</v>
      </c>
      <c r="AE55" s="421">
        <f t="shared" si="40"/>
        <v>0</v>
      </c>
      <c r="AF55" s="421">
        <f t="shared" si="40"/>
        <v>0</v>
      </c>
      <c r="AG55" s="421">
        <f t="shared" si="40"/>
        <v>0</v>
      </c>
      <c r="AH55" s="421">
        <f t="shared" si="40"/>
        <v>0</v>
      </c>
      <c r="AI55" s="421">
        <f t="shared" si="40"/>
        <v>0</v>
      </c>
      <c r="AJ55" s="421">
        <f t="shared" si="40"/>
        <v>0</v>
      </c>
      <c r="AK55" s="421" t="e">
        <f t="shared" si="40"/>
        <v>#DIV/0!</v>
      </c>
      <c r="AL55" s="421" t="e">
        <f t="shared" si="40"/>
        <v>#DIV/0!</v>
      </c>
      <c r="AM55" s="421">
        <f t="shared" si="40"/>
        <v>0</v>
      </c>
      <c r="AN55" s="421">
        <f t="shared" si="40"/>
        <v>0</v>
      </c>
      <c r="AO55" s="421">
        <f t="shared" si="40"/>
        <v>0</v>
      </c>
      <c r="AP55" s="421">
        <f t="shared" si="40"/>
        <v>0</v>
      </c>
      <c r="AQ55" s="421">
        <f t="shared" si="40"/>
        <v>0</v>
      </c>
      <c r="AR55" s="421">
        <f t="shared" si="40"/>
        <v>0</v>
      </c>
      <c r="AS55" s="421">
        <f t="shared" si="40"/>
        <v>0</v>
      </c>
      <c r="AT55" s="421">
        <f t="shared" si="40"/>
        <v>0</v>
      </c>
      <c r="AU55" s="421">
        <f t="shared" si="40"/>
        <v>0</v>
      </c>
      <c r="AV55" s="421">
        <f t="shared" si="40"/>
        <v>0</v>
      </c>
      <c r="AW55" s="421" t="e">
        <f t="shared" si="40"/>
        <v>#DIV/0!</v>
      </c>
      <c r="AX55" s="421" t="e">
        <f t="shared" si="40"/>
        <v>#DIV/0!</v>
      </c>
    </row>
    <row r="56" spans="1:50" x14ac:dyDescent="0.25">
      <c r="A56" s="13">
        <v>20</v>
      </c>
      <c r="B56" s="13" t="s">
        <v>158</v>
      </c>
      <c r="C56" s="421">
        <f t="shared" ref="C56:N56" si="41">C23/$D$32</f>
        <v>0</v>
      </c>
      <c r="D56" s="421">
        <f t="shared" si="41"/>
        <v>0</v>
      </c>
      <c r="E56" s="421">
        <f t="shared" si="41"/>
        <v>0</v>
      </c>
      <c r="F56" s="421">
        <f t="shared" si="41"/>
        <v>0</v>
      </c>
      <c r="G56" s="421">
        <f t="shared" si="41"/>
        <v>0</v>
      </c>
      <c r="H56" s="421">
        <f t="shared" si="41"/>
        <v>0</v>
      </c>
      <c r="I56" s="421">
        <f t="shared" si="41"/>
        <v>0</v>
      </c>
      <c r="J56" s="421">
        <f t="shared" si="41"/>
        <v>0</v>
      </c>
      <c r="K56" s="421">
        <f t="shared" si="41"/>
        <v>0</v>
      </c>
      <c r="L56" s="421">
        <f t="shared" si="41"/>
        <v>0</v>
      </c>
      <c r="M56" s="421" t="e">
        <f t="shared" si="41"/>
        <v>#DIV/0!</v>
      </c>
      <c r="N56" s="421" t="e">
        <f t="shared" si="41"/>
        <v>#DIV/0!</v>
      </c>
      <c r="O56" s="421">
        <f t="shared" ref="O56:AX56" si="42">O23/$D$32</f>
        <v>0</v>
      </c>
      <c r="P56" s="421">
        <f t="shared" si="42"/>
        <v>0</v>
      </c>
      <c r="Q56" s="421">
        <f t="shared" si="42"/>
        <v>0</v>
      </c>
      <c r="R56" s="421">
        <f t="shared" si="42"/>
        <v>0</v>
      </c>
      <c r="S56" s="421">
        <f t="shared" si="42"/>
        <v>0</v>
      </c>
      <c r="T56" s="421">
        <f t="shared" si="42"/>
        <v>0</v>
      </c>
      <c r="U56" s="421">
        <f t="shared" si="42"/>
        <v>0</v>
      </c>
      <c r="V56" s="421">
        <f t="shared" si="42"/>
        <v>0</v>
      </c>
      <c r="W56" s="421">
        <f t="shared" si="42"/>
        <v>0</v>
      </c>
      <c r="X56" s="421">
        <f t="shared" si="42"/>
        <v>0</v>
      </c>
      <c r="Y56" s="421" t="e">
        <f t="shared" si="42"/>
        <v>#DIV/0!</v>
      </c>
      <c r="Z56" s="421" t="e">
        <f t="shared" si="42"/>
        <v>#DIV/0!</v>
      </c>
      <c r="AA56" s="421">
        <f t="shared" si="42"/>
        <v>0</v>
      </c>
      <c r="AB56" s="421">
        <f t="shared" si="42"/>
        <v>0</v>
      </c>
      <c r="AC56" s="421">
        <f t="shared" si="42"/>
        <v>0</v>
      </c>
      <c r="AD56" s="421">
        <f t="shared" si="42"/>
        <v>0</v>
      </c>
      <c r="AE56" s="421">
        <f t="shared" si="42"/>
        <v>0</v>
      </c>
      <c r="AF56" s="421">
        <f t="shared" si="42"/>
        <v>0</v>
      </c>
      <c r="AG56" s="421">
        <f t="shared" si="42"/>
        <v>0</v>
      </c>
      <c r="AH56" s="421">
        <f t="shared" si="42"/>
        <v>0</v>
      </c>
      <c r="AI56" s="421">
        <f t="shared" si="42"/>
        <v>0</v>
      </c>
      <c r="AJ56" s="421">
        <f t="shared" si="42"/>
        <v>0</v>
      </c>
      <c r="AK56" s="421" t="e">
        <f t="shared" si="42"/>
        <v>#DIV/0!</v>
      </c>
      <c r="AL56" s="421" t="e">
        <f t="shared" si="42"/>
        <v>#DIV/0!</v>
      </c>
      <c r="AM56" s="421">
        <f t="shared" si="42"/>
        <v>0</v>
      </c>
      <c r="AN56" s="421">
        <f t="shared" si="42"/>
        <v>0</v>
      </c>
      <c r="AO56" s="421">
        <f t="shared" si="42"/>
        <v>0</v>
      </c>
      <c r="AP56" s="421">
        <f t="shared" si="42"/>
        <v>0</v>
      </c>
      <c r="AQ56" s="421">
        <f t="shared" si="42"/>
        <v>0</v>
      </c>
      <c r="AR56" s="421">
        <f t="shared" si="42"/>
        <v>0</v>
      </c>
      <c r="AS56" s="421">
        <f t="shared" si="42"/>
        <v>0</v>
      </c>
      <c r="AT56" s="421">
        <f t="shared" si="42"/>
        <v>0</v>
      </c>
      <c r="AU56" s="421">
        <f t="shared" si="42"/>
        <v>0</v>
      </c>
      <c r="AV56" s="421">
        <f t="shared" si="42"/>
        <v>0</v>
      </c>
      <c r="AW56" s="421" t="e">
        <f t="shared" si="42"/>
        <v>#DIV/0!</v>
      </c>
      <c r="AX56" s="421" t="e">
        <f t="shared" si="42"/>
        <v>#DIV/0!</v>
      </c>
    </row>
    <row r="57" spans="1:50" x14ac:dyDescent="0.25">
      <c r="A57" s="13">
        <v>21</v>
      </c>
      <c r="B57" s="13" t="s">
        <v>159</v>
      </c>
      <c r="C57" s="421">
        <f t="shared" ref="C57:N57" si="43">C24/$D$32</f>
        <v>0</v>
      </c>
      <c r="D57" s="421">
        <f t="shared" si="43"/>
        <v>0</v>
      </c>
      <c r="E57" s="421">
        <f t="shared" si="43"/>
        <v>0</v>
      </c>
      <c r="F57" s="421">
        <f t="shared" si="43"/>
        <v>0</v>
      </c>
      <c r="G57" s="421">
        <f t="shared" si="43"/>
        <v>0</v>
      </c>
      <c r="H57" s="421">
        <f t="shared" si="43"/>
        <v>0</v>
      </c>
      <c r="I57" s="421">
        <f t="shared" si="43"/>
        <v>0</v>
      </c>
      <c r="J57" s="421">
        <f t="shared" si="43"/>
        <v>0</v>
      </c>
      <c r="K57" s="421">
        <f t="shared" si="43"/>
        <v>0</v>
      </c>
      <c r="L57" s="421">
        <f t="shared" si="43"/>
        <v>0</v>
      </c>
      <c r="M57" s="421" t="e">
        <f t="shared" si="43"/>
        <v>#DIV/0!</v>
      </c>
      <c r="N57" s="421" t="e">
        <f t="shared" si="43"/>
        <v>#DIV/0!</v>
      </c>
      <c r="O57" s="421">
        <f t="shared" ref="O57:AX57" si="44">O24/$D$32</f>
        <v>0</v>
      </c>
      <c r="P57" s="421">
        <f t="shared" si="44"/>
        <v>0</v>
      </c>
      <c r="Q57" s="421">
        <f t="shared" si="44"/>
        <v>0</v>
      </c>
      <c r="R57" s="421">
        <f t="shared" si="44"/>
        <v>0</v>
      </c>
      <c r="S57" s="421">
        <f t="shared" si="44"/>
        <v>0</v>
      </c>
      <c r="T57" s="421">
        <f t="shared" si="44"/>
        <v>0</v>
      </c>
      <c r="U57" s="421">
        <f t="shared" si="44"/>
        <v>0</v>
      </c>
      <c r="V57" s="421">
        <f t="shared" si="44"/>
        <v>0</v>
      </c>
      <c r="W57" s="421">
        <f t="shared" si="44"/>
        <v>0</v>
      </c>
      <c r="X57" s="421">
        <f t="shared" si="44"/>
        <v>0</v>
      </c>
      <c r="Y57" s="421" t="e">
        <f t="shared" si="44"/>
        <v>#DIV/0!</v>
      </c>
      <c r="Z57" s="421" t="e">
        <f t="shared" si="44"/>
        <v>#DIV/0!</v>
      </c>
      <c r="AA57" s="421">
        <f t="shared" si="44"/>
        <v>0</v>
      </c>
      <c r="AB57" s="421">
        <f t="shared" si="44"/>
        <v>0</v>
      </c>
      <c r="AC57" s="421">
        <f t="shared" si="44"/>
        <v>0</v>
      </c>
      <c r="AD57" s="421">
        <f t="shared" si="44"/>
        <v>0</v>
      </c>
      <c r="AE57" s="421">
        <f t="shared" si="44"/>
        <v>0</v>
      </c>
      <c r="AF57" s="421">
        <f t="shared" si="44"/>
        <v>0</v>
      </c>
      <c r="AG57" s="421">
        <f t="shared" si="44"/>
        <v>0</v>
      </c>
      <c r="AH57" s="421">
        <f t="shared" si="44"/>
        <v>0</v>
      </c>
      <c r="AI57" s="421">
        <f t="shared" si="44"/>
        <v>0</v>
      </c>
      <c r="AJ57" s="421">
        <f t="shared" si="44"/>
        <v>0</v>
      </c>
      <c r="AK57" s="421" t="e">
        <f t="shared" si="44"/>
        <v>#DIV/0!</v>
      </c>
      <c r="AL57" s="421" t="e">
        <f t="shared" si="44"/>
        <v>#DIV/0!</v>
      </c>
      <c r="AM57" s="421">
        <f t="shared" si="44"/>
        <v>0</v>
      </c>
      <c r="AN57" s="421">
        <f t="shared" si="44"/>
        <v>0</v>
      </c>
      <c r="AO57" s="421">
        <f t="shared" si="44"/>
        <v>0</v>
      </c>
      <c r="AP57" s="421">
        <f t="shared" si="44"/>
        <v>0</v>
      </c>
      <c r="AQ57" s="421">
        <f t="shared" si="44"/>
        <v>0</v>
      </c>
      <c r="AR57" s="421">
        <f t="shared" si="44"/>
        <v>0</v>
      </c>
      <c r="AS57" s="421">
        <f t="shared" si="44"/>
        <v>0</v>
      </c>
      <c r="AT57" s="421">
        <f t="shared" si="44"/>
        <v>0</v>
      </c>
      <c r="AU57" s="421">
        <f t="shared" si="44"/>
        <v>0</v>
      </c>
      <c r="AV57" s="421">
        <f t="shared" si="44"/>
        <v>0</v>
      </c>
      <c r="AW57" s="421" t="e">
        <f t="shared" si="44"/>
        <v>#DIV/0!</v>
      </c>
      <c r="AX57" s="421" t="e">
        <f t="shared" si="44"/>
        <v>#DIV/0!</v>
      </c>
    </row>
    <row r="58" spans="1:50" x14ac:dyDescent="0.25">
      <c r="A58" s="13">
        <v>22</v>
      </c>
      <c r="B58" s="13" t="s">
        <v>160</v>
      </c>
      <c r="C58" s="421">
        <f t="shared" ref="C58:N58" si="45">C25/$D$32</f>
        <v>0</v>
      </c>
      <c r="D58" s="421">
        <f t="shared" si="45"/>
        <v>0</v>
      </c>
      <c r="E58" s="421">
        <f t="shared" si="45"/>
        <v>0</v>
      </c>
      <c r="F58" s="421">
        <f t="shared" si="45"/>
        <v>0</v>
      </c>
      <c r="G58" s="421">
        <f t="shared" si="45"/>
        <v>0</v>
      </c>
      <c r="H58" s="421">
        <f t="shared" si="45"/>
        <v>0</v>
      </c>
      <c r="I58" s="421">
        <f t="shared" si="45"/>
        <v>0</v>
      </c>
      <c r="J58" s="421">
        <f t="shared" si="45"/>
        <v>0</v>
      </c>
      <c r="K58" s="421">
        <f t="shared" si="45"/>
        <v>0</v>
      </c>
      <c r="L58" s="421">
        <f t="shared" si="45"/>
        <v>0</v>
      </c>
      <c r="M58" s="421" t="e">
        <f t="shared" si="45"/>
        <v>#DIV/0!</v>
      </c>
      <c r="N58" s="421" t="e">
        <f t="shared" si="45"/>
        <v>#DIV/0!</v>
      </c>
      <c r="O58" s="421">
        <f t="shared" ref="O58:AX58" si="46">O25/$D$32</f>
        <v>0</v>
      </c>
      <c r="P58" s="421">
        <f t="shared" si="46"/>
        <v>0</v>
      </c>
      <c r="Q58" s="421">
        <f t="shared" si="46"/>
        <v>0</v>
      </c>
      <c r="R58" s="421">
        <f t="shared" si="46"/>
        <v>0</v>
      </c>
      <c r="S58" s="421">
        <f t="shared" si="46"/>
        <v>0</v>
      </c>
      <c r="T58" s="421">
        <f t="shared" si="46"/>
        <v>0</v>
      </c>
      <c r="U58" s="421">
        <f t="shared" si="46"/>
        <v>0</v>
      </c>
      <c r="V58" s="421">
        <f t="shared" si="46"/>
        <v>0</v>
      </c>
      <c r="W58" s="421">
        <f t="shared" si="46"/>
        <v>0</v>
      </c>
      <c r="X58" s="421">
        <f t="shared" si="46"/>
        <v>0</v>
      </c>
      <c r="Y58" s="421" t="e">
        <f t="shared" si="46"/>
        <v>#DIV/0!</v>
      </c>
      <c r="Z58" s="421" t="e">
        <f t="shared" si="46"/>
        <v>#DIV/0!</v>
      </c>
      <c r="AA58" s="421">
        <f t="shared" si="46"/>
        <v>0</v>
      </c>
      <c r="AB58" s="421">
        <f t="shared" si="46"/>
        <v>0</v>
      </c>
      <c r="AC58" s="421">
        <f t="shared" si="46"/>
        <v>0</v>
      </c>
      <c r="AD58" s="421">
        <f t="shared" si="46"/>
        <v>0</v>
      </c>
      <c r="AE58" s="421">
        <f t="shared" si="46"/>
        <v>0</v>
      </c>
      <c r="AF58" s="421">
        <f t="shared" si="46"/>
        <v>0</v>
      </c>
      <c r="AG58" s="421">
        <f t="shared" si="46"/>
        <v>0</v>
      </c>
      <c r="AH58" s="421">
        <f t="shared" si="46"/>
        <v>0</v>
      </c>
      <c r="AI58" s="421">
        <f t="shared" si="46"/>
        <v>0</v>
      </c>
      <c r="AJ58" s="421">
        <f t="shared" si="46"/>
        <v>0</v>
      </c>
      <c r="AK58" s="421" t="e">
        <f t="shared" si="46"/>
        <v>#DIV/0!</v>
      </c>
      <c r="AL58" s="421" t="e">
        <f t="shared" si="46"/>
        <v>#DIV/0!</v>
      </c>
      <c r="AM58" s="421">
        <f t="shared" si="46"/>
        <v>0</v>
      </c>
      <c r="AN58" s="421">
        <f t="shared" si="46"/>
        <v>0</v>
      </c>
      <c r="AO58" s="421">
        <f t="shared" si="46"/>
        <v>0</v>
      </c>
      <c r="AP58" s="421">
        <f t="shared" si="46"/>
        <v>0</v>
      </c>
      <c r="AQ58" s="421">
        <f t="shared" si="46"/>
        <v>0</v>
      </c>
      <c r="AR58" s="421">
        <f t="shared" si="46"/>
        <v>0</v>
      </c>
      <c r="AS58" s="421">
        <f t="shared" si="46"/>
        <v>0</v>
      </c>
      <c r="AT58" s="421">
        <f t="shared" si="46"/>
        <v>0</v>
      </c>
      <c r="AU58" s="421">
        <f t="shared" si="46"/>
        <v>0</v>
      </c>
      <c r="AV58" s="421">
        <f t="shared" si="46"/>
        <v>0</v>
      </c>
      <c r="AW58" s="421" t="e">
        <f t="shared" si="46"/>
        <v>#DIV/0!</v>
      </c>
      <c r="AX58" s="421" t="e">
        <f t="shared" si="46"/>
        <v>#DIV/0!</v>
      </c>
    </row>
    <row r="59" spans="1:50" x14ac:dyDescent="0.25">
      <c r="A59" s="13">
        <v>23</v>
      </c>
      <c r="B59" s="13" t="s">
        <v>161</v>
      </c>
      <c r="C59" s="421">
        <f t="shared" ref="C59:N59" si="47">C26/$D$32</f>
        <v>0</v>
      </c>
      <c r="D59" s="421">
        <f t="shared" si="47"/>
        <v>0</v>
      </c>
      <c r="E59" s="421">
        <f t="shared" si="47"/>
        <v>0</v>
      </c>
      <c r="F59" s="421">
        <f t="shared" si="47"/>
        <v>0</v>
      </c>
      <c r="G59" s="421">
        <f t="shared" si="47"/>
        <v>0</v>
      </c>
      <c r="H59" s="421">
        <f t="shared" si="47"/>
        <v>0</v>
      </c>
      <c r="I59" s="421">
        <f t="shared" si="47"/>
        <v>0</v>
      </c>
      <c r="J59" s="421">
        <f t="shared" si="47"/>
        <v>0</v>
      </c>
      <c r="K59" s="421">
        <f t="shared" si="47"/>
        <v>0</v>
      </c>
      <c r="L59" s="421">
        <f t="shared" si="47"/>
        <v>0</v>
      </c>
      <c r="M59" s="421" t="e">
        <f t="shared" si="47"/>
        <v>#DIV/0!</v>
      </c>
      <c r="N59" s="421" t="e">
        <f t="shared" si="47"/>
        <v>#DIV/0!</v>
      </c>
      <c r="O59" s="421">
        <f t="shared" ref="O59:AX59" si="48">O26/$D$32</f>
        <v>0</v>
      </c>
      <c r="P59" s="421">
        <f t="shared" si="48"/>
        <v>0</v>
      </c>
      <c r="Q59" s="421">
        <f t="shared" si="48"/>
        <v>0</v>
      </c>
      <c r="R59" s="421">
        <f t="shared" si="48"/>
        <v>0</v>
      </c>
      <c r="S59" s="421">
        <f t="shared" si="48"/>
        <v>0</v>
      </c>
      <c r="T59" s="421">
        <f t="shared" si="48"/>
        <v>0</v>
      </c>
      <c r="U59" s="421">
        <f t="shared" si="48"/>
        <v>0</v>
      </c>
      <c r="V59" s="421">
        <f t="shared" si="48"/>
        <v>0</v>
      </c>
      <c r="W59" s="421">
        <f t="shared" si="48"/>
        <v>0</v>
      </c>
      <c r="X59" s="421">
        <f t="shared" si="48"/>
        <v>0</v>
      </c>
      <c r="Y59" s="421" t="e">
        <f t="shared" si="48"/>
        <v>#DIV/0!</v>
      </c>
      <c r="Z59" s="421" t="e">
        <f t="shared" si="48"/>
        <v>#DIV/0!</v>
      </c>
      <c r="AA59" s="421">
        <f t="shared" si="48"/>
        <v>0</v>
      </c>
      <c r="AB59" s="421">
        <f t="shared" si="48"/>
        <v>0</v>
      </c>
      <c r="AC59" s="421">
        <f t="shared" si="48"/>
        <v>0</v>
      </c>
      <c r="AD59" s="421">
        <f t="shared" si="48"/>
        <v>0</v>
      </c>
      <c r="AE59" s="421">
        <f t="shared" si="48"/>
        <v>0</v>
      </c>
      <c r="AF59" s="421">
        <f t="shared" si="48"/>
        <v>0</v>
      </c>
      <c r="AG59" s="421">
        <f t="shared" si="48"/>
        <v>0</v>
      </c>
      <c r="AH59" s="421">
        <f t="shared" si="48"/>
        <v>0</v>
      </c>
      <c r="AI59" s="421">
        <f t="shared" si="48"/>
        <v>0</v>
      </c>
      <c r="AJ59" s="421">
        <f t="shared" si="48"/>
        <v>0</v>
      </c>
      <c r="AK59" s="421" t="e">
        <f t="shared" si="48"/>
        <v>#DIV/0!</v>
      </c>
      <c r="AL59" s="421" t="e">
        <f t="shared" si="48"/>
        <v>#DIV/0!</v>
      </c>
      <c r="AM59" s="421">
        <f t="shared" si="48"/>
        <v>0</v>
      </c>
      <c r="AN59" s="421">
        <f t="shared" si="48"/>
        <v>0</v>
      </c>
      <c r="AO59" s="421">
        <f t="shared" si="48"/>
        <v>0</v>
      </c>
      <c r="AP59" s="421">
        <f t="shared" si="48"/>
        <v>0</v>
      </c>
      <c r="AQ59" s="421">
        <f t="shared" si="48"/>
        <v>0</v>
      </c>
      <c r="AR59" s="421">
        <f t="shared" si="48"/>
        <v>0</v>
      </c>
      <c r="AS59" s="421">
        <f t="shared" si="48"/>
        <v>0</v>
      </c>
      <c r="AT59" s="421">
        <f t="shared" si="48"/>
        <v>0</v>
      </c>
      <c r="AU59" s="421">
        <f t="shared" si="48"/>
        <v>0</v>
      </c>
      <c r="AV59" s="421">
        <f t="shared" si="48"/>
        <v>0</v>
      </c>
      <c r="AW59" s="421" t="e">
        <f t="shared" si="48"/>
        <v>#DIV/0!</v>
      </c>
      <c r="AX59" s="421" t="e">
        <f t="shared" si="48"/>
        <v>#DIV/0!</v>
      </c>
    </row>
    <row r="60" spans="1:50" x14ac:dyDescent="0.25">
      <c r="A60" s="13">
        <v>24</v>
      </c>
      <c r="B60" s="13" t="s">
        <v>162</v>
      </c>
      <c r="C60" s="421">
        <f t="shared" ref="C60:N60" si="49">C27/$D$32</f>
        <v>0</v>
      </c>
      <c r="D60" s="421">
        <f t="shared" si="49"/>
        <v>0</v>
      </c>
      <c r="E60" s="421">
        <f t="shared" si="49"/>
        <v>0</v>
      </c>
      <c r="F60" s="421">
        <f t="shared" si="49"/>
        <v>0</v>
      </c>
      <c r="G60" s="421">
        <f t="shared" si="49"/>
        <v>0</v>
      </c>
      <c r="H60" s="421">
        <f t="shared" si="49"/>
        <v>0</v>
      </c>
      <c r="I60" s="421">
        <f t="shared" si="49"/>
        <v>0</v>
      </c>
      <c r="J60" s="421">
        <f t="shared" si="49"/>
        <v>0</v>
      </c>
      <c r="K60" s="421">
        <f t="shared" si="49"/>
        <v>0</v>
      </c>
      <c r="L60" s="421">
        <f t="shared" si="49"/>
        <v>0</v>
      </c>
      <c r="M60" s="421" t="e">
        <f t="shared" si="49"/>
        <v>#DIV/0!</v>
      </c>
      <c r="N60" s="421" t="e">
        <f t="shared" si="49"/>
        <v>#DIV/0!</v>
      </c>
      <c r="O60" s="421">
        <f t="shared" ref="O60:AX60" si="50">O27/$D$32</f>
        <v>0</v>
      </c>
      <c r="P60" s="421">
        <f t="shared" si="50"/>
        <v>0</v>
      </c>
      <c r="Q60" s="421">
        <f t="shared" si="50"/>
        <v>0</v>
      </c>
      <c r="R60" s="421">
        <f t="shared" si="50"/>
        <v>0</v>
      </c>
      <c r="S60" s="421">
        <f t="shared" si="50"/>
        <v>0</v>
      </c>
      <c r="T60" s="421">
        <f t="shared" si="50"/>
        <v>0</v>
      </c>
      <c r="U60" s="421">
        <f t="shared" si="50"/>
        <v>0</v>
      </c>
      <c r="V60" s="421">
        <f t="shared" si="50"/>
        <v>0</v>
      </c>
      <c r="W60" s="421">
        <f t="shared" si="50"/>
        <v>0</v>
      </c>
      <c r="X60" s="421">
        <f t="shared" si="50"/>
        <v>0</v>
      </c>
      <c r="Y60" s="421" t="e">
        <f t="shared" si="50"/>
        <v>#DIV/0!</v>
      </c>
      <c r="Z60" s="421" t="e">
        <f t="shared" si="50"/>
        <v>#DIV/0!</v>
      </c>
      <c r="AA60" s="421">
        <f t="shared" si="50"/>
        <v>0</v>
      </c>
      <c r="AB60" s="421">
        <f t="shared" si="50"/>
        <v>0</v>
      </c>
      <c r="AC60" s="421">
        <f t="shared" si="50"/>
        <v>0</v>
      </c>
      <c r="AD60" s="421">
        <f t="shared" si="50"/>
        <v>0</v>
      </c>
      <c r="AE60" s="421">
        <f t="shared" si="50"/>
        <v>0</v>
      </c>
      <c r="AF60" s="421">
        <f t="shared" si="50"/>
        <v>0</v>
      </c>
      <c r="AG60" s="421">
        <f t="shared" si="50"/>
        <v>0</v>
      </c>
      <c r="AH60" s="421">
        <f t="shared" si="50"/>
        <v>0</v>
      </c>
      <c r="AI60" s="421">
        <f t="shared" si="50"/>
        <v>0</v>
      </c>
      <c r="AJ60" s="421">
        <f t="shared" si="50"/>
        <v>0</v>
      </c>
      <c r="AK60" s="421" t="e">
        <f t="shared" si="50"/>
        <v>#DIV/0!</v>
      </c>
      <c r="AL60" s="421" t="e">
        <f t="shared" si="50"/>
        <v>#DIV/0!</v>
      </c>
      <c r="AM60" s="421">
        <f t="shared" si="50"/>
        <v>0</v>
      </c>
      <c r="AN60" s="421">
        <f t="shared" si="50"/>
        <v>0</v>
      </c>
      <c r="AO60" s="421">
        <f t="shared" si="50"/>
        <v>0</v>
      </c>
      <c r="AP60" s="421">
        <f t="shared" si="50"/>
        <v>0</v>
      </c>
      <c r="AQ60" s="421">
        <f t="shared" si="50"/>
        <v>0</v>
      </c>
      <c r="AR60" s="421">
        <f t="shared" si="50"/>
        <v>0</v>
      </c>
      <c r="AS60" s="421">
        <f t="shared" si="50"/>
        <v>0</v>
      </c>
      <c r="AT60" s="421">
        <f t="shared" si="50"/>
        <v>0</v>
      </c>
      <c r="AU60" s="421">
        <f t="shared" si="50"/>
        <v>0</v>
      </c>
      <c r="AV60" s="421">
        <f t="shared" si="50"/>
        <v>0</v>
      </c>
      <c r="AW60" s="421" t="e">
        <f t="shared" si="50"/>
        <v>#DIV/0!</v>
      </c>
      <c r="AX60" s="421" t="e">
        <f t="shared" si="50"/>
        <v>#DIV/0!</v>
      </c>
    </row>
    <row r="61" spans="1:50" s="1" customFormat="1" x14ac:dyDescent="0.25">
      <c r="A61" s="15"/>
      <c r="B61" s="15" t="s">
        <v>233</v>
      </c>
      <c r="C61" s="42" t="e">
        <f t="shared" ref="C61:N61" si="51">C28/$D$32</f>
        <v>#DIV/0!</v>
      </c>
      <c r="D61" s="42" t="e">
        <f t="shared" si="51"/>
        <v>#DIV/0!</v>
      </c>
      <c r="E61" s="42" t="e">
        <f t="shared" si="51"/>
        <v>#DIV/0!</v>
      </c>
      <c r="F61" s="42" t="e">
        <f t="shared" si="51"/>
        <v>#DIV/0!</v>
      </c>
      <c r="G61" s="42" t="e">
        <f t="shared" si="51"/>
        <v>#DIV/0!</v>
      </c>
      <c r="H61" s="42" t="e">
        <f t="shared" si="51"/>
        <v>#DIV/0!</v>
      </c>
      <c r="I61" s="42" t="e">
        <f t="shared" si="51"/>
        <v>#DIV/0!</v>
      </c>
      <c r="J61" s="42" t="e">
        <f t="shared" si="51"/>
        <v>#DIV/0!</v>
      </c>
      <c r="K61" s="42" t="e">
        <f t="shared" si="51"/>
        <v>#DIV/0!</v>
      </c>
      <c r="L61" s="42" t="e">
        <f t="shared" si="51"/>
        <v>#DIV/0!</v>
      </c>
      <c r="M61" s="42" t="e">
        <f t="shared" si="51"/>
        <v>#DIV/0!</v>
      </c>
      <c r="N61" s="42" t="e">
        <f t="shared" si="51"/>
        <v>#DIV/0!</v>
      </c>
      <c r="O61" s="42" t="e">
        <f t="shared" ref="O61:AW61" si="52">O28/$D$32</f>
        <v>#DIV/0!</v>
      </c>
      <c r="P61" s="42" t="e">
        <f t="shared" si="52"/>
        <v>#DIV/0!</v>
      </c>
      <c r="Q61" s="42" t="e">
        <f t="shared" si="52"/>
        <v>#DIV/0!</v>
      </c>
      <c r="R61" s="42" t="e">
        <f t="shared" si="52"/>
        <v>#DIV/0!</v>
      </c>
      <c r="S61" s="42" t="e">
        <f t="shared" si="52"/>
        <v>#DIV/0!</v>
      </c>
      <c r="T61" s="42" t="e">
        <f t="shared" si="52"/>
        <v>#DIV/0!</v>
      </c>
      <c r="U61" s="42" t="e">
        <f t="shared" si="52"/>
        <v>#DIV/0!</v>
      </c>
      <c r="V61" s="42" t="e">
        <f t="shared" si="52"/>
        <v>#DIV/0!</v>
      </c>
      <c r="W61" s="42" t="e">
        <f t="shared" si="52"/>
        <v>#DIV/0!</v>
      </c>
      <c r="X61" s="42" t="e">
        <f t="shared" si="52"/>
        <v>#DIV/0!</v>
      </c>
      <c r="Y61" s="42" t="e">
        <f t="shared" si="52"/>
        <v>#DIV/0!</v>
      </c>
      <c r="Z61" s="42" t="e">
        <f t="shared" si="52"/>
        <v>#DIV/0!</v>
      </c>
      <c r="AA61" s="42" t="e">
        <f t="shared" si="52"/>
        <v>#DIV/0!</v>
      </c>
      <c r="AB61" s="42" t="e">
        <f t="shared" si="52"/>
        <v>#DIV/0!</v>
      </c>
      <c r="AC61" s="42" t="e">
        <f t="shared" si="52"/>
        <v>#DIV/0!</v>
      </c>
      <c r="AD61" s="42" t="e">
        <f t="shared" si="52"/>
        <v>#DIV/0!</v>
      </c>
      <c r="AE61" s="42" t="e">
        <f t="shared" si="52"/>
        <v>#DIV/0!</v>
      </c>
      <c r="AF61" s="42" t="e">
        <f t="shared" si="52"/>
        <v>#DIV/0!</v>
      </c>
      <c r="AG61" s="42" t="e">
        <f t="shared" si="52"/>
        <v>#DIV/0!</v>
      </c>
      <c r="AH61" s="42" t="e">
        <f t="shared" si="52"/>
        <v>#DIV/0!</v>
      </c>
      <c r="AI61" s="42" t="e">
        <f t="shared" si="52"/>
        <v>#DIV/0!</v>
      </c>
      <c r="AJ61" s="42" t="e">
        <f t="shared" si="52"/>
        <v>#DIV/0!</v>
      </c>
      <c r="AK61" s="42" t="e">
        <f t="shared" si="52"/>
        <v>#DIV/0!</v>
      </c>
      <c r="AL61" s="42" t="e">
        <f t="shared" si="52"/>
        <v>#DIV/0!</v>
      </c>
      <c r="AM61" s="42" t="e">
        <f t="shared" si="52"/>
        <v>#DIV/0!</v>
      </c>
      <c r="AN61" s="42" t="e">
        <f t="shared" si="52"/>
        <v>#DIV/0!</v>
      </c>
      <c r="AO61" s="42" t="e">
        <f t="shared" si="52"/>
        <v>#DIV/0!</v>
      </c>
      <c r="AP61" s="42" t="e">
        <f t="shared" si="52"/>
        <v>#DIV/0!</v>
      </c>
      <c r="AQ61" s="42" t="e">
        <f t="shared" si="52"/>
        <v>#DIV/0!</v>
      </c>
      <c r="AR61" s="42" t="e">
        <f t="shared" si="52"/>
        <v>#DIV/0!</v>
      </c>
      <c r="AS61" s="42" t="e">
        <f t="shared" si="52"/>
        <v>#DIV/0!</v>
      </c>
      <c r="AT61" s="42" t="e">
        <f t="shared" si="52"/>
        <v>#DIV/0!</v>
      </c>
      <c r="AU61" s="42" t="e">
        <f t="shared" si="52"/>
        <v>#DIV/0!</v>
      </c>
      <c r="AV61" s="42" t="e">
        <f t="shared" si="52"/>
        <v>#DIV/0!</v>
      </c>
      <c r="AW61" s="42" t="e">
        <f t="shared" si="52"/>
        <v>#DIV/0!</v>
      </c>
      <c r="AX61" s="42" t="e">
        <f>AX28/$D$32</f>
        <v>#DIV/0!</v>
      </c>
    </row>
  </sheetData>
  <mergeCells count="11">
    <mergeCell ref="AM2:AX2"/>
    <mergeCell ref="C35:N35"/>
    <mergeCell ref="O35:Z35"/>
    <mergeCell ref="AA35:AL35"/>
    <mergeCell ref="AM35:AX35"/>
    <mergeCell ref="C2:N2"/>
    <mergeCell ref="O2:Z2"/>
    <mergeCell ref="AA2:AL2"/>
    <mergeCell ref="D30:F30"/>
    <mergeCell ref="D32:F32"/>
    <mergeCell ref="D33:F3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2FF8F-F6B2-425B-A44A-69F8D8F2AEF7}">
  <dimension ref="A1:O27"/>
  <sheetViews>
    <sheetView workbookViewId="0">
      <selection activeCell="C3" sqref="C3:I26"/>
    </sheetView>
  </sheetViews>
  <sheetFormatPr defaultRowHeight="15" x14ac:dyDescent="0.25"/>
  <cols>
    <col min="3" max="3" width="15.7109375" customWidth="1"/>
    <col min="6" max="6" width="10.7109375" customWidth="1"/>
    <col min="11" max="11" width="11.85546875" customWidth="1"/>
    <col min="12" max="12" width="14.140625" customWidth="1"/>
    <col min="13" max="13" width="13.140625" customWidth="1"/>
    <col min="14" max="14" width="14" style="1" customWidth="1"/>
  </cols>
  <sheetData>
    <row r="1" spans="1:15" ht="43.5" customHeight="1" x14ac:dyDescent="0.25">
      <c r="A1" s="755" t="s">
        <v>100</v>
      </c>
      <c r="B1" s="755" t="s">
        <v>101</v>
      </c>
      <c r="C1" s="830" t="s">
        <v>244</v>
      </c>
      <c r="D1" s="755" t="s">
        <v>245</v>
      </c>
      <c r="E1" s="755"/>
      <c r="F1" s="755"/>
      <c r="G1" s="831" t="s">
        <v>246</v>
      </c>
      <c r="H1" s="832"/>
      <c r="I1" s="832"/>
      <c r="J1" s="833"/>
      <c r="K1" s="756" t="s">
        <v>247</v>
      </c>
      <c r="L1" s="756"/>
      <c r="M1" s="756"/>
      <c r="N1" s="756"/>
      <c r="O1" s="830" t="s">
        <v>1160</v>
      </c>
    </row>
    <row r="2" spans="1:15" x14ac:dyDescent="0.25">
      <c r="A2" s="755"/>
      <c r="B2" s="755"/>
      <c r="C2" s="830"/>
      <c r="D2" s="577" t="s">
        <v>136</v>
      </c>
      <c r="E2" s="577" t="s">
        <v>248</v>
      </c>
      <c r="F2" s="577" t="s">
        <v>138</v>
      </c>
      <c r="G2" s="577" t="s">
        <v>136</v>
      </c>
      <c r="H2" s="577" t="s">
        <v>248</v>
      </c>
      <c r="I2" s="577" t="s">
        <v>138</v>
      </c>
      <c r="J2" s="577" t="s">
        <v>213</v>
      </c>
      <c r="K2" s="577" t="s">
        <v>136</v>
      </c>
      <c r="L2" s="577" t="s">
        <v>248</v>
      </c>
      <c r="M2" s="577" t="s">
        <v>138</v>
      </c>
      <c r="N2" s="87" t="s">
        <v>120</v>
      </c>
      <c r="O2" s="830"/>
    </row>
    <row r="3" spans="1:15" x14ac:dyDescent="0.25">
      <c r="A3" s="13">
        <v>1</v>
      </c>
      <c r="B3" s="13" t="s">
        <v>139</v>
      </c>
      <c r="C3" s="305"/>
      <c r="D3" s="696"/>
      <c r="E3" s="696"/>
      <c r="F3" s="696"/>
      <c r="G3" s="317"/>
      <c r="H3" s="317"/>
      <c r="I3" s="317"/>
      <c r="J3" s="215">
        <f>SUMPRODUCT(D3:F3,G3:I3)</f>
        <v>0</v>
      </c>
      <c r="K3" s="242">
        <f t="shared" ref="K3:K26" si="0">D3*$C3*G3</f>
        <v>0</v>
      </c>
      <c r="L3" s="242">
        <f t="shared" ref="L3:L26" si="1">E3*$C3*H3</f>
        <v>0</v>
      </c>
      <c r="M3" s="242">
        <f t="shared" ref="M3:M26" si="2">F3*$C3*I3</f>
        <v>0</v>
      </c>
      <c r="N3" s="214">
        <f>SUM(K3:M3)</f>
        <v>0</v>
      </c>
      <c r="O3" s="216" t="e">
        <f>N3/C3</f>
        <v>#DIV/0!</v>
      </c>
    </row>
    <row r="4" spans="1:15" x14ac:dyDescent="0.25">
      <c r="A4" s="13">
        <v>2</v>
      </c>
      <c r="B4" s="13" t="s">
        <v>140</v>
      </c>
      <c r="C4" s="305"/>
      <c r="D4" s="696"/>
      <c r="E4" s="696"/>
      <c r="F4" s="696"/>
      <c r="G4" s="317"/>
      <c r="H4" s="317"/>
      <c r="I4" s="317"/>
      <c r="J4" s="215">
        <f t="shared" ref="J4:J26" si="3">SUMPRODUCT(D4:F4,G4:I4)</f>
        <v>0</v>
      </c>
      <c r="K4" s="242">
        <f t="shared" si="0"/>
        <v>0</v>
      </c>
      <c r="L4" s="242">
        <f t="shared" si="1"/>
        <v>0</v>
      </c>
      <c r="M4" s="242">
        <f t="shared" si="2"/>
        <v>0</v>
      </c>
      <c r="N4" s="214">
        <f t="shared" ref="N4:N26" si="4">SUM(K4:M4)</f>
        <v>0</v>
      </c>
      <c r="O4" s="216" t="e">
        <f t="shared" ref="O4:O27" si="5">N4/C4</f>
        <v>#DIV/0!</v>
      </c>
    </row>
    <row r="5" spans="1:15" x14ac:dyDescent="0.25">
      <c r="A5" s="13">
        <v>3</v>
      </c>
      <c r="B5" s="13" t="s">
        <v>141</v>
      </c>
      <c r="C5" s="305"/>
      <c r="D5" s="696"/>
      <c r="E5" s="696"/>
      <c r="F5" s="696"/>
      <c r="G5" s="317"/>
      <c r="H5" s="317"/>
      <c r="I5" s="317"/>
      <c r="J5" s="215">
        <f t="shared" si="3"/>
        <v>0</v>
      </c>
      <c r="K5" s="242">
        <f t="shared" si="0"/>
        <v>0</v>
      </c>
      <c r="L5" s="242">
        <f t="shared" si="1"/>
        <v>0</v>
      </c>
      <c r="M5" s="242">
        <f t="shared" si="2"/>
        <v>0</v>
      </c>
      <c r="N5" s="214">
        <f t="shared" si="4"/>
        <v>0</v>
      </c>
      <c r="O5" s="216" t="e">
        <f t="shared" si="5"/>
        <v>#DIV/0!</v>
      </c>
    </row>
    <row r="6" spans="1:15" x14ac:dyDescent="0.25">
      <c r="A6" s="13">
        <v>4</v>
      </c>
      <c r="B6" s="13" t="s">
        <v>142</v>
      </c>
      <c r="C6" s="305"/>
      <c r="D6" s="696"/>
      <c r="E6" s="696"/>
      <c r="F6" s="696"/>
      <c r="G6" s="317"/>
      <c r="H6" s="317"/>
      <c r="I6" s="317"/>
      <c r="J6" s="215">
        <f t="shared" si="3"/>
        <v>0</v>
      </c>
      <c r="K6" s="242">
        <f t="shared" si="0"/>
        <v>0</v>
      </c>
      <c r="L6" s="242">
        <f t="shared" si="1"/>
        <v>0</v>
      </c>
      <c r="M6" s="242">
        <f t="shared" si="2"/>
        <v>0</v>
      </c>
      <c r="N6" s="214">
        <f t="shared" si="4"/>
        <v>0</v>
      </c>
      <c r="O6" s="216" t="e">
        <f t="shared" si="5"/>
        <v>#DIV/0!</v>
      </c>
    </row>
    <row r="7" spans="1:15" x14ac:dyDescent="0.25">
      <c r="A7" s="13">
        <v>5</v>
      </c>
      <c r="B7" s="13" t="s">
        <v>143</v>
      </c>
      <c r="C7" s="305"/>
      <c r="D7" s="696"/>
      <c r="E7" s="696"/>
      <c r="F7" s="696"/>
      <c r="G7" s="317"/>
      <c r="H7" s="317"/>
      <c r="I7" s="317"/>
      <c r="J7" s="215">
        <f t="shared" si="3"/>
        <v>0</v>
      </c>
      <c r="K7" s="242">
        <f t="shared" si="0"/>
        <v>0</v>
      </c>
      <c r="L7" s="242">
        <f t="shared" si="1"/>
        <v>0</v>
      </c>
      <c r="M7" s="242">
        <f t="shared" si="2"/>
        <v>0</v>
      </c>
      <c r="N7" s="214">
        <f t="shared" si="4"/>
        <v>0</v>
      </c>
      <c r="O7" s="216" t="e">
        <f t="shared" si="5"/>
        <v>#DIV/0!</v>
      </c>
    </row>
    <row r="8" spans="1:15" x14ac:dyDescent="0.25">
      <c r="A8" s="13">
        <v>6</v>
      </c>
      <c r="B8" s="13" t="s">
        <v>144</v>
      </c>
      <c r="C8" s="305"/>
      <c r="D8" s="696"/>
      <c r="E8" s="696"/>
      <c r="F8" s="696"/>
      <c r="G8" s="317"/>
      <c r="H8" s="317"/>
      <c r="I8" s="317"/>
      <c r="J8" s="215">
        <f t="shared" si="3"/>
        <v>0</v>
      </c>
      <c r="K8" s="242">
        <f t="shared" si="0"/>
        <v>0</v>
      </c>
      <c r="L8" s="242">
        <f t="shared" si="1"/>
        <v>0</v>
      </c>
      <c r="M8" s="242">
        <f t="shared" si="2"/>
        <v>0</v>
      </c>
      <c r="N8" s="214">
        <f t="shared" si="4"/>
        <v>0</v>
      </c>
      <c r="O8" s="216" t="e">
        <f t="shared" si="5"/>
        <v>#DIV/0!</v>
      </c>
    </row>
    <row r="9" spans="1:15" x14ac:dyDescent="0.25">
      <c r="A9" s="13">
        <v>7</v>
      </c>
      <c r="B9" s="13" t="s">
        <v>145</v>
      </c>
      <c r="C9" s="305"/>
      <c r="D9" s="696"/>
      <c r="E9" s="696"/>
      <c r="F9" s="696"/>
      <c r="G9" s="317"/>
      <c r="H9" s="317"/>
      <c r="I9" s="317"/>
      <c r="J9" s="215">
        <f t="shared" si="3"/>
        <v>0</v>
      </c>
      <c r="K9" s="242">
        <f t="shared" si="0"/>
        <v>0</v>
      </c>
      <c r="L9" s="242">
        <f t="shared" si="1"/>
        <v>0</v>
      </c>
      <c r="M9" s="242">
        <f t="shared" si="2"/>
        <v>0</v>
      </c>
      <c r="N9" s="214">
        <f t="shared" si="4"/>
        <v>0</v>
      </c>
      <c r="O9" s="216" t="e">
        <f t="shared" si="5"/>
        <v>#DIV/0!</v>
      </c>
    </row>
    <row r="10" spans="1:15" x14ac:dyDescent="0.25">
      <c r="A10" s="13">
        <v>8</v>
      </c>
      <c r="B10" s="13" t="s">
        <v>146</v>
      </c>
      <c r="C10" s="305"/>
      <c r="D10" s="696"/>
      <c r="E10" s="696"/>
      <c r="F10" s="696"/>
      <c r="G10" s="317"/>
      <c r="H10" s="317"/>
      <c r="I10" s="317"/>
      <c r="J10" s="215">
        <f t="shared" si="3"/>
        <v>0</v>
      </c>
      <c r="K10" s="242">
        <f t="shared" si="0"/>
        <v>0</v>
      </c>
      <c r="L10" s="242">
        <f t="shared" si="1"/>
        <v>0</v>
      </c>
      <c r="M10" s="242">
        <f t="shared" si="2"/>
        <v>0</v>
      </c>
      <c r="N10" s="214">
        <f t="shared" si="4"/>
        <v>0</v>
      </c>
      <c r="O10" s="216" t="e">
        <f t="shared" si="5"/>
        <v>#DIV/0!</v>
      </c>
    </row>
    <row r="11" spans="1:15" x14ac:dyDescent="0.25">
      <c r="A11" s="13">
        <v>9</v>
      </c>
      <c r="B11" s="13" t="s">
        <v>147</v>
      </c>
      <c r="C11" s="305"/>
      <c r="D11" s="696"/>
      <c r="E11" s="696"/>
      <c r="F11" s="696"/>
      <c r="G11" s="317"/>
      <c r="H11" s="317"/>
      <c r="I11" s="317"/>
      <c r="J11" s="215">
        <f t="shared" si="3"/>
        <v>0</v>
      </c>
      <c r="K11" s="242">
        <f t="shared" si="0"/>
        <v>0</v>
      </c>
      <c r="L11" s="242">
        <f t="shared" si="1"/>
        <v>0</v>
      </c>
      <c r="M11" s="242">
        <f t="shared" si="2"/>
        <v>0</v>
      </c>
      <c r="N11" s="214">
        <f t="shared" si="4"/>
        <v>0</v>
      </c>
      <c r="O11" s="216" t="e">
        <f t="shared" si="5"/>
        <v>#DIV/0!</v>
      </c>
    </row>
    <row r="12" spans="1:15" x14ac:dyDescent="0.25">
      <c r="A12" s="13">
        <v>10</v>
      </c>
      <c r="B12" s="13" t="s">
        <v>148</v>
      </c>
      <c r="C12" s="305"/>
      <c r="D12" s="696"/>
      <c r="E12" s="696"/>
      <c r="F12" s="696"/>
      <c r="G12" s="317"/>
      <c r="H12" s="317"/>
      <c r="I12" s="317"/>
      <c r="J12" s="215">
        <f t="shared" si="3"/>
        <v>0</v>
      </c>
      <c r="K12" s="242">
        <f t="shared" si="0"/>
        <v>0</v>
      </c>
      <c r="L12" s="242">
        <f t="shared" si="1"/>
        <v>0</v>
      </c>
      <c r="M12" s="242">
        <f t="shared" si="2"/>
        <v>0</v>
      </c>
      <c r="N12" s="214">
        <f t="shared" si="4"/>
        <v>0</v>
      </c>
      <c r="O12" s="216" t="e">
        <f t="shared" si="5"/>
        <v>#DIV/0!</v>
      </c>
    </row>
    <row r="13" spans="1:15" x14ac:dyDescent="0.25">
      <c r="A13" s="13">
        <v>11</v>
      </c>
      <c r="B13" s="13" t="s">
        <v>149</v>
      </c>
      <c r="C13" s="305"/>
      <c r="D13" s="696"/>
      <c r="E13" s="696"/>
      <c r="F13" s="696"/>
      <c r="G13" s="317"/>
      <c r="H13" s="317"/>
      <c r="I13" s="317"/>
      <c r="J13" s="215">
        <f t="shared" si="3"/>
        <v>0</v>
      </c>
      <c r="K13" s="242">
        <f t="shared" si="0"/>
        <v>0</v>
      </c>
      <c r="L13" s="242">
        <f t="shared" si="1"/>
        <v>0</v>
      </c>
      <c r="M13" s="242">
        <f t="shared" si="2"/>
        <v>0</v>
      </c>
      <c r="N13" s="214">
        <f t="shared" si="4"/>
        <v>0</v>
      </c>
      <c r="O13" s="216" t="e">
        <f t="shared" si="5"/>
        <v>#DIV/0!</v>
      </c>
    </row>
    <row r="14" spans="1:15" x14ac:dyDescent="0.25">
      <c r="A14" s="13">
        <v>12</v>
      </c>
      <c r="B14" s="13" t="s">
        <v>150</v>
      </c>
      <c r="C14" s="305"/>
      <c r="D14" s="696"/>
      <c r="E14" s="696"/>
      <c r="F14" s="696"/>
      <c r="G14" s="317"/>
      <c r="H14" s="317"/>
      <c r="I14" s="317"/>
      <c r="J14" s="215">
        <f t="shared" si="3"/>
        <v>0</v>
      </c>
      <c r="K14" s="242">
        <f t="shared" si="0"/>
        <v>0</v>
      </c>
      <c r="L14" s="242">
        <f t="shared" si="1"/>
        <v>0</v>
      </c>
      <c r="M14" s="242">
        <f t="shared" si="2"/>
        <v>0</v>
      </c>
      <c r="N14" s="214">
        <f t="shared" si="4"/>
        <v>0</v>
      </c>
      <c r="O14" s="216" t="e">
        <f t="shared" si="5"/>
        <v>#DIV/0!</v>
      </c>
    </row>
    <row r="15" spans="1:15" x14ac:dyDescent="0.25">
      <c r="A15" s="13">
        <v>13</v>
      </c>
      <c r="B15" s="13" t="s">
        <v>151</v>
      </c>
      <c r="C15" s="305"/>
      <c r="D15" s="696"/>
      <c r="E15" s="696"/>
      <c r="F15" s="696"/>
      <c r="G15" s="317"/>
      <c r="H15" s="317"/>
      <c r="I15" s="317"/>
      <c r="J15" s="215">
        <f t="shared" si="3"/>
        <v>0</v>
      </c>
      <c r="K15" s="242">
        <f t="shared" si="0"/>
        <v>0</v>
      </c>
      <c r="L15" s="242">
        <f t="shared" si="1"/>
        <v>0</v>
      </c>
      <c r="M15" s="242">
        <f t="shared" si="2"/>
        <v>0</v>
      </c>
      <c r="N15" s="214">
        <f t="shared" si="4"/>
        <v>0</v>
      </c>
      <c r="O15" s="216" t="e">
        <f t="shared" si="5"/>
        <v>#DIV/0!</v>
      </c>
    </row>
    <row r="16" spans="1:15" x14ac:dyDescent="0.25">
      <c r="A16" s="13">
        <v>14</v>
      </c>
      <c r="B16" s="13" t="s">
        <v>152</v>
      </c>
      <c r="C16" s="305"/>
      <c r="D16" s="696"/>
      <c r="E16" s="696"/>
      <c r="F16" s="696"/>
      <c r="G16" s="317"/>
      <c r="H16" s="317"/>
      <c r="I16" s="317"/>
      <c r="J16" s="215">
        <f t="shared" si="3"/>
        <v>0</v>
      </c>
      <c r="K16" s="242">
        <f t="shared" si="0"/>
        <v>0</v>
      </c>
      <c r="L16" s="242">
        <f t="shared" si="1"/>
        <v>0</v>
      </c>
      <c r="M16" s="242">
        <f t="shared" si="2"/>
        <v>0</v>
      </c>
      <c r="N16" s="214">
        <f t="shared" si="4"/>
        <v>0</v>
      </c>
      <c r="O16" s="216" t="e">
        <f t="shared" si="5"/>
        <v>#DIV/0!</v>
      </c>
    </row>
    <row r="17" spans="1:15" x14ac:dyDescent="0.25">
      <c r="A17" s="13">
        <v>15</v>
      </c>
      <c r="B17" s="13" t="s">
        <v>153</v>
      </c>
      <c r="C17" s="305"/>
      <c r="D17" s="696"/>
      <c r="E17" s="696"/>
      <c r="F17" s="696"/>
      <c r="G17" s="317"/>
      <c r="H17" s="317"/>
      <c r="I17" s="317"/>
      <c r="J17" s="215">
        <f t="shared" si="3"/>
        <v>0</v>
      </c>
      <c r="K17" s="242">
        <f t="shared" si="0"/>
        <v>0</v>
      </c>
      <c r="L17" s="242">
        <f t="shared" si="1"/>
        <v>0</v>
      </c>
      <c r="M17" s="242">
        <f t="shared" si="2"/>
        <v>0</v>
      </c>
      <c r="N17" s="214">
        <f t="shared" si="4"/>
        <v>0</v>
      </c>
      <c r="O17" s="216" t="e">
        <f t="shared" si="5"/>
        <v>#DIV/0!</v>
      </c>
    </row>
    <row r="18" spans="1:15" x14ac:dyDescent="0.25">
      <c r="A18" s="13">
        <v>16</v>
      </c>
      <c r="B18" s="13" t="s">
        <v>154</v>
      </c>
      <c r="C18" s="305"/>
      <c r="D18" s="696"/>
      <c r="E18" s="696"/>
      <c r="F18" s="696"/>
      <c r="G18" s="317"/>
      <c r="H18" s="317"/>
      <c r="I18" s="317"/>
      <c r="J18" s="215">
        <f t="shared" si="3"/>
        <v>0</v>
      </c>
      <c r="K18" s="242">
        <f t="shared" si="0"/>
        <v>0</v>
      </c>
      <c r="L18" s="242">
        <f t="shared" si="1"/>
        <v>0</v>
      </c>
      <c r="M18" s="242">
        <f t="shared" si="2"/>
        <v>0</v>
      </c>
      <c r="N18" s="214">
        <f t="shared" si="4"/>
        <v>0</v>
      </c>
      <c r="O18" s="216" t="e">
        <f t="shared" si="5"/>
        <v>#DIV/0!</v>
      </c>
    </row>
    <row r="19" spans="1:15" x14ac:dyDescent="0.25">
      <c r="A19" s="13">
        <v>17</v>
      </c>
      <c r="B19" s="13" t="s">
        <v>155</v>
      </c>
      <c r="C19" s="305"/>
      <c r="D19" s="696"/>
      <c r="E19" s="696"/>
      <c r="F19" s="696"/>
      <c r="G19" s="317"/>
      <c r="H19" s="317"/>
      <c r="I19" s="317"/>
      <c r="J19" s="215">
        <f t="shared" si="3"/>
        <v>0</v>
      </c>
      <c r="K19" s="242">
        <f t="shared" si="0"/>
        <v>0</v>
      </c>
      <c r="L19" s="242">
        <f t="shared" si="1"/>
        <v>0</v>
      </c>
      <c r="M19" s="242">
        <f t="shared" si="2"/>
        <v>0</v>
      </c>
      <c r="N19" s="214">
        <f t="shared" si="4"/>
        <v>0</v>
      </c>
      <c r="O19" s="216" t="e">
        <f t="shared" si="5"/>
        <v>#DIV/0!</v>
      </c>
    </row>
    <row r="20" spans="1:15" x14ac:dyDescent="0.25">
      <c r="A20" s="13">
        <v>18</v>
      </c>
      <c r="B20" s="13" t="s">
        <v>156</v>
      </c>
      <c r="C20" s="305"/>
      <c r="D20" s="696"/>
      <c r="E20" s="696"/>
      <c r="F20" s="696"/>
      <c r="G20" s="317"/>
      <c r="H20" s="317"/>
      <c r="I20" s="317"/>
      <c r="J20" s="215">
        <f t="shared" si="3"/>
        <v>0</v>
      </c>
      <c r="K20" s="242">
        <f t="shared" si="0"/>
        <v>0</v>
      </c>
      <c r="L20" s="242">
        <f t="shared" si="1"/>
        <v>0</v>
      </c>
      <c r="M20" s="242">
        <f t="shared" si="2"/>
        <v>0</v>
      </c>
      <c r="N20" s="214">
        <f t="shared" si="4"/>
        <v>0</v>
      </c>
      <c r="O20" s="216" t="e">
        <f t="shared" si="5"/>
        <v>#DIV/0!</v>
      </c>
    </row>
    <row r="21" spans="1:15" x14ac:dyDescent="0.25">
      <c r="A21" s="13">
        <v>19</v>
      </c>
      <c r="B21" s="13" t="s">
        <v>157</v>
      </c>
      <c r="C21" s="305"/>
      <c r="D21" s="696"/>
      <c r="E21" s="696"/>
      <c r="F21" s="696"/>
      <c r="G21" s="317"/>
      <c r="H21" s="317"/>
      <c r="I21" s="317"/>
      <c r="J21" s="215">
        <f t="shared" si="3"/>
        <v>0</v>
      </c>
      <c r="K21" s="242">
        <f t="shared" si="0"/>
        <v>0</v>
      </c>
      <c r="L21" s="242">
        <f t="shared" si="1"/>
        <v>0</v>
      </c>
      <c r="M21" s="242">
        <f t="shared" si="2"/>
        <v>0</v>
      </c>
      <c r="N21" s="214">
        <f t="shared" si="4"/>
        <v>0</v>
      </c>
      <c r="O21" s="216" t="e">
        <f t="shared" si="5"/>
        <v>#DIV/0!</v>
      </c>
    </row>
    <row r="22" spans="1:15" x14ac:dyDescent="0.25">
      <c r="A22" s="13">
        <v>20</v>
      </c>
      <c r="B22" s="13" t="s">
        <v>158</v>
      </c>
      <c r="C22" s="305"/>
      <c r="D22" s="696"/>
      <c r="E22" s="696"/>
      <c r="F22" s="696"/>
      <c r="G22" s="317"/>
      <c r="H22" s="317"/>
      <c r="I22" s="317"/>
      <c r="J22" s="215">
        <f t="shared" si="3"/>
        <v>0</v>
      </c>
      <c r="K22" s="242">
        <f t="shared" si="0"/>
        <v>0</v>
      </c>
      <c r="L22" s="242">
        <f t="shared" si="1"/>
        <v>0</v>
      </c>
      <c r="M22" s="242">
        <f t="shared" si="2"/>
        <v>0</v>
      </c>
      <c r="N22" s="214">
        <f t="shared" si="4"/>
        <v>0</v>
      </c>
      <c r="O22" s="216" t="e">
        <f t="shared" si="5"/>
        <v>#DIV/0!</v>
      </c>
    </row>
    <row r="23" spans="1:15" x14ac:dyDescent="0.25">
      <c r="A23" s="13">
        <v>21</v>
      </c>
      <c r="B23" s="13" t="s">
        <v>159</v>
      </c>
      <c r="C23" s="305"/>
      <c r="D23" s="696"/>
      <c r="E23" s="696"/>
      <c r="F23" s="696"/>
      <c r="G23" s="317"/>
      <c r="H23" s="317"/>
      <c r="I23" s="317"/>
      <c r="J23" s="215">
        <f t="shared" si="3"/>
        <v>0</v>
      </c>
      <c r="K23" s="242">
        <f t="shared" si="0"/>
        <v>0</v>
      </c>
      <c r="L23" s="242">
        <f t="shared" si="1"/>
        <v>0</v>
      </c>
      <c r="M23" s="242">
        <f t="shared" si="2"/>
        <v>0</v>
      </c>
      <c r="N23" s="214">
        <f t="shared" si="4"/>
        <v>0</v>
      </c>
      <c r="O23" s="216" t="e">
        <f t="shared" si="5"/>
        <v>#DIV/0!</v>
      </c>
    </row>
    <row r="24" spans="1:15" x14ac:dyDescent="0.25">
      <c r="A24" s="13">
        <v>22</v>
      </c>
      <c r="B24" s="13" t="s">
        <v>160</v>
      </c>
      <c r="C24" s="305"/>
      <c r="D24" s="696"/>
      <c r="E24" s="696"/>
      <c r="F24" s="696"/>
      <c r="G24" s="317"/>
      <c r="H24" s="317"/>
      <c r="I24" s="317"/>
      <c r="J24" s="215">
        <f t="shared" si="3"/>
        <v>0</v>
      </c>
      <c r="K24" s="242">
        <f t="shared" si="0"/>
        <v>0</v>
      </c>
      <c r="L24" s="242">
        <f t="shared" si="1"/>
        <v>0</v>
      </c>
      <c r="M24" s="242">
        <f t="shared" si="2"/>
        <v>0</v>
      </c>
      <c r="N24" s="214">
        <f t="shared" si="4"/>
        <v>0</v>
      </c>
      <c r="O24" s="216" t="e">
        <f t="shared" si="5"/>
        <v>#DIV/0!</v>
      </c>
    </row>
    <row r="25" spans="1:15" x14ac:dyDescent="0.25">
      <c r="A25" s="13">
        <v>23</v>
      </c>
      <c r="B25" s="13" t="s">
        <v>161</v>
      </c>
      <c r="C25" s="305"/>
      <c r="D25" s="696"/>
      <c r="E25" s="696"/>
      <c r="F25" s="696"/>
      <c r="G25" s="317"/>
      <c r="H25" s="317"/>
      <c r="I25" s="317"/>
      <c r="J25" s="215">
        <f t="shared" si="3"/>
        <v>0</v>
      </c>
      <c r="K25" s="242">
        <f t="shared" si="0"/>
        <v>0</v>
      </c>
      <c r="L25" s="242">
        <f t="shared" si="1"/>
        <v>0</v>
      </c>
      <c r="M25" s="242">
        <f t="shared" si="2"/>
        <v>0</v>
      </c>
      <c r="N25" s="214">
        <f t="shared" si="4"/>
        <v>0</v>
      </c>
      <c r="O25" s="216" t="e">
        <f t="shared" si="5"/>
        <v>#DIV/0!</v>
      </c>
    </row>
    <row r="26" spans="1:15" x14ac:dyDescent="0.25">
      <c r="A26" s="13">
        <v>24</v>
      </c>
      <c r="B26" s="13" t="s">
        <v>162</v>
      </c>
      <c r="C26" s="305"/>
      <c r="D26" s="696"/>
      <c r="E26" s="696"/>
      <c r="F26" s="696"/>
      <c r="G26" s="317"/>
      <c r="H26" s="317"/>
      <c r="I26" s="317"/>
      <c r="J26" s="215">
        <f t="shared" si="3"/>
        <v>0</v>
      </c>
      <c r="K26" s="242">
        <f t="shared" si="0"/>
        <v>0</v>
      </c>
      <c r="L26" s="242">
        <f t="shared" si="1"/>
        <v>0</v>
      </c>
      <c r="M26" s="242">
        <f t="shared" si="2"/>
        <v>0</v>
      </c>
      <c r="N26" s="214">
        <f t="shared" si="4"/>
        <v>0</v>
      </c>
      <c r="O26" s="216" t="e">
        <f t="shared" si="5"/>
        <v>#DIV/0!</v>
      </c>
    </row>
    <row r="27" spans="1:15" s="1" customFormat="1" x14ac:dyDescent="0.25">
      <c r="A27" s="756" t="s">
        <v>163</v>
      </c>
      <c r="B27" s="756"/>
      <c r="C27" s="698">
        <f>SUM(C3:C26)</f>
        <v>0</v>
      </c>
      <c r="D27" s="42" t="e">
        <f>SUMPRODUCT($C$3:$C$26,D3:D26)/$C$27</f>
        <v>#DIV/0!</v>
      </c>
      <c r="E27" s="42" t="e">
        <f t="shared" ref="E27:J27" si="6">SUMPRODUCT($C$3:$C$26,E3:E26)/$C$27</f>
        <v>#DIV/0!</v>
      </c>
      <c r="F27" s="42" t="e">
        <f t="shared" si="6"/>
        <v>#DIV/0!</v>
      </c>
      <c r="G27" s="697" t="e">
        <f t="shared" si="6"/>
        <v>#DIV/0!</v>
      </c>
      <c r="H27" s="697" t="e">
        <f t="shared" si="6"/>
        <v>#DIV/0!</v>
      </c>
      <c r="I27" s="697" t="e">
        <f t="shared" si="6"/>
        <v>#DIV/0!</v>
      </c>
      <c r="J27" s="697" t="e">
        <f t="shared" si="6"/>
        <v>#DIV/0!</v>
      </c>
      <c r="K27" s="549">
        <f>SUM(K3:K26)</f>
        <v>0</v>
      </c>
      <c r="L27" s="549">
        <f t="shared" ref="L27:N27" si="7">SUM(L3:L26)</f>
        <v>0</v>
      </c>
      <c r="M27" s="549">
        <f t="shared" si="7"/>
        <v>0</v>
      </c>
      <c r="N27" s="549">
        <f t="shared" si="7"/>
        <v>0</v>
      </c>
      <c r="O27" s="549" t="e">
        <f t="shared" si="5"/>
        <v>#DIV/0!</v>
      </c>
    </row>
  </sheetData>
  <mergeCells count="8">
    <mergeCell ref="O1:O2"/>
    <mergeCell ref="K1:N1"/>
    <mergeCell ref="A27:B27"/>
    <mergeCell ref="G1:J1"/>
    <mergeCell ref="A1:A2"/>
    <mergeCell ref="B1:B2"/>
    <mergeCell ref="C1:C2"/>
    <mergeCell ref="D1:F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E14C4-A47E-42CD-B115-D76339F84555}">
  <dimension ref="A1:AU30"/>
  <sheetViews>
    <sheetView workbookViewId="0">
      <selection activeCell="C4" sqref="C4:AI27"/>
    </sheetView>
  </sheetViews>
  <sheetFormatPr defaultColWidth="11.42578125" defaultRowHeight="15" x14ac:dyDescent="0.25"/>
  <cols>
    <col min="2" max="2" width="14.5703125" customWidth="1"/>
    <col min="3" max="3" width="11" bestFit="1" customWidth="1"/>
    <col min="4" max="6" width="10.85546875" bestFit="1" customWidth="1"/>
    <col min="7" max="7" width="10.42578125" bestFit="1" customWidth="1"/>
    <col min="8" max="8" width="10.85546875" bestFit="1" customWidth="1"/>
    <col min="9" max="9" width="12.28515625" bestFit="1" customWidth="1"/>
    <col min="10" max="11" width="10.85546875" bestFit="1" customWidth="1"/>
    <col min="12" max="12" width="10.85546875" customWidth="1"/>
    <col min="13" max="13" width="8" customWidth="1"/>
    <col min="14" max="14" width="11" bestFit="1" customWidth="1"/>
    <col min="15" max="17" width="10.85546875" bestFit="1" customWidth="1"/>
    <col min="18" max="18" width="10.42578125" bestFit="1" customWidth="1"/>
    <col min="19" max="19" width="10.85546875" bestFit="1" customWidth="1"/>
    <col min="20" max="20" width="12.28515625" bestFit="1" customWidth="1"/>
    <col min="21" max="22" width="10.85546875" bestFit="1" customWidth="1"/>
    <col min="23" max="24" width="8" customWidth="1"/>
    <col min="25" max="25" width="11" bestFit="1" customWidth="1"/>
    <col min="26" max="28" width="10.85546875" bestFit="1" customWidth="1"/>
    <col min="29" max="29" width="10.42578125" bestFit="1" customWidth="1"/>
    <col min="30" max="30" width="10.85546875" bestFit="1" customWidth="1"/>
    <col min="31" max="31" width="12.28515625" bestFit="1" customWidth="1"/>
    <col min="32" max="33" width="10.85546875" bestFit="1" customWidth="1"/>
    <col min="34" max="35" width="8" customWidth="1"/>
    <col min="36" max="36" width="11" bestFit="1" customWidth="1"/>
    <col min="37" max="39" width="10.85546875" bestFit="1" customWidth="1"/>
    <col min="40" max="40" width="10.42578125" bestFit="1" customWidth="1"/>
    <col min="41" max="41" width="10.85546875" bestFit="1" customWidth="1"/>
    <col min="42" max="42" width="12.28515625" bestFit="1" customWidth="1"/>
    <col min="43" max="44" width="10.85546875" bestFit="1" customWidth="1"/>
    <col min="45" max="45" width="8" customWidth="1"/>
    <col min="46" max="46" width="11.5703125" customWidth="1"/>
  </cols>
  <sheetData>
    <row r="1" spans="1:47" x14ac:dyDescent="0.25">
      <c r="A1" s="59" t="s">
        <v>249</v>
      </c>
      <c r="K1">
        <v>100</v>
      </c>
    </row>
    <row r="2" spans="1:47" ht="28.9" customHeight="1" x14ac:dyDescent="0.25">
      <c r="A2" s="834" t="s">
        <v>100</v>
      </c>
      <c r="B2" s="836" t="s">
        <v>101</v>
      </c>
      <c r="C2" s="757" t="s">
        <v>250</v>
      </c>
      <c r="D2" s="758"/>
      <c r="E2" s="758"/>
      <c r="F2" s="758"/>
      <c r="G2" s="758"/>
      <c r="H2" s="758"/>
      <c r="I2" s="758"/>
      <c r="J2" s="758"/>
      <c r="K2" s="758"/>
      <c r="L2" s="758"/>
      <c r="M2" s="758"/>
      <c r="N2" s="762" t="s">
        <v>251</v>
      </c>
      <c r="O2" s="763"/>
      <c r="P2" s="763"/>
      <c r="Q2" s="763"/>
      <c r="R2" s="763"/>
      <c r="S2" s="763"/>
      <c r="T2" s="763"/>
      <c r="U2" s="763"/>
      <c r="V2" s="763"/>
      <c r="W2" s="763"/>
      <c r="X2" s="763"/>
      <c r="Y2" s="761" t="s">
        <v>252</v>
      </c>
      <c r="Z2" s="761"/>
      <c r="AA2" s="761"/>
      <c r="AB2" s="761"/>
      <c r="AC2" s="761"/>
      <c r="AD2" s="761"/>
      <c r="AE2" s="761"/>
      <c r="AF2" s="761"/>
      <c r="AG2" s="761"/>
      <c r="AH2" s="761"/>
      <c r="AI2" s="761"/>
      <c r="AJ2" s="761" t="s">
        <v>1113</v>
      </c>
      <c r="AK2" s="761"/>
      <c r="AL2" s="761"/>
      <c r="AM2" s="761"/>
      <c r="AN2" s="761"/>
      <c r="AO2" s="761"/>
      <c r="AP2" s="761"/>
      <c r="AQ2" s="761"/>
      <c r="AR2" s="761"/>
      <c r="AS2" s="761"/>
      <c r="AT2" s="761"/>
    </row>
    <row r="3" spans="1:47" ht="75" x14ac:dyDescent="0.25">
      <c r="A3" s="835"/>
      <c r="B3" s="837"/>
      <c r="C3" s="16" t="s">
        <v>24</v>
      </c>
      <c r="D3" s="16" t="s">
        <v>26</v>
      </c>
      <c r="E3" s="85" t="s">
        <v>28</v>
      </c>
      <c r="F3" s="85" t="s">
        <v>30</v>
      </c>
      <c r="G3" s="85" t="s">
        <v>121</v>
      </c>
      <c r="H3" s="85" t="s">
        <v>122</v>
      </c>
      <c r="I3" s="85" t="s">
        <v>123</v>
      </c>
      <c r="J3" s="85" t="s">
        <v>38</v>
      </c>
      <c r="K3" s="85" t="s">
        <v>124</v>
      </c>
      <c r="L3" s="85" t="s">
        <v>125</v>
      </c>
      <c r="M3" s="586" t="s">
        <v>253</v>
      </c>
      <c r="N3" s="16" t="s">
        <v>24</v>
      </c>
      <c r="O3" s="16" t="s">
        <v>26</v>
      </c>
      <c r="P3" s="85" t="s">
        <v>28</v>
      </c>
      <c r="Q3" s="85" t="s">
        <v>30</v>
      </c>
      <c r="R3" s="85" t="s">
        <v>121</v>
      </c>
      <c r="S3" s="85" t="s">
        <v>122</v>
      </c>
      <c r="T3" s="85" t="s">
        <v>123</v>
      </c>
      <c r="U3" s="85" t="s">
        <v>38</v>
      </c>
      <c r="V3" s="85" t="s">
        <v>124</v>
      </c>
      <c r="W3" s="85" t="s">
        <v>125</v>
      </c>
      <c r="X3" s="586" t="s">
        <v>253</v>
      </c>
      <c r="Y3" s="587" t="s">
        <v>24</v>
      </c>
      <c r="Z3" s="587" t="s">
        <v>26</v>
      </c>
      <c r="AA3" s="483" t="s">
        <v>28</v>
      </c>
      <c r="AB3" s="483" t="s">
        <v>30</v>
      </c>
      <c r="AC3" s="483" t="s">
        <v>121</v>
      </c>
      <c r="AD3" s="483" t="s">
        <v>122</v>
      </c>
      <c r="AE3" s="483" t="s">
        <v>123</v>
      </c>
      <c r="AF3" s="483" t="s">
        <v>38</v>
      </c>
      <c r="AG3" s="483" t="s">
        <v>124</v>
      </c>
      <c r="AH3" s="483" t="s">
        <v>125</v>
      </c>
      <c r="AI3" s="174" t="s">
        <v>253</v>
      </c>
      <c r="AJ3" s="587" t="s">
        <v>24</v>
      </c>
      <c r="AK3" s="587" t="s">
        <v>26</v>
      </c>
      <c r="AL3" s="483" t="s">
        <v>28</v>
      </c>
      <c r="AM3" s="483" t="s">
        <v>30</v>
      </c>
      <c r="AN3" s="483" t="s">
        <v>121</v>
      </c>
      <c r="AO3" s="483" t="s">
        <v>122</v>
      </c>
      <c r="AP3" s="483" t="s">
        <v>123</v>
      </c>
      <c r="AQ3" s="483" t="s">
        <v>38</v>
      </c>
      <c r="AR3" s="483" t="s">
        <v>124</v>
      </c>
      <c r="AS3" s="483" t="s">
        <v>125</v>
      </c>
      <c r="AT3" s="174" t="s">
        <v>253</v>
      </c>
      <c r="AU3" s="399" t="s">
        <v>1131</v>
      </c>
    </row>
    <row r="4" spans="1:47" x14ac:dyDescent="0.25">
      <c r="A4" s="13">
        <v>1</v>
      </c>
      <c r="B4" s="13" t="s">
        <v>139</v>
      </c>
      <c r="C4" s="699"/>
      <c r="D4" s="699"/>
      <c r="E4" s="699"/>
      <c r="F4" s="699"/>
      <c r="G4" s="699"/>
      <c r="H4" s="699"/>
      <c r="I4" s="699"/>
      <c r="J4" s="699"/>
      <c r="K4" s="699"/>
      <c r="L4" s="699"/>
      <c r="M4" s="700"/>
      <c r="N4" s="699"/>
      <c r="O4" s="699"/>
      <c r="P4" s="699"/>
      <c r="Q4" s="699"/>
      <c r="R4" s="699"/>
      <c r="S4" s="699"/>
      <c r="T4" s="699"/>
      <c r="U4" s="699"/>
      <c r="V4" s="699"/>
      <c r="W4" s="699"/>
      <c r="X4" s="699"/>
      <c r="Y4" s="699"/>
      <c r="Z4" s="699"/>
      <c r="AA4" s="699"/>
      <c r="AB4" s="699"/>
      <c r="AC4" s="699"/>
      <c r="AD4" s="699"/>
      <c r="AE4" s="699"/>
      <c r="AF4" s="699"/>
      <c r="AG4" s="699"/>
      <c r="AH4" s="699"/>
      <c r="AI4" s="699"/>
      <c r="AJ4" s="421" t="str">
        <f>IF('Soil-errosion1'!C5=0,"",C4*'Soil-errosion1'!C39+N4*'Soil-errosion1'!N39+Y4*'Soil-errosion1'!Y39)</f>
        <v/>
      </c>
      <c r="AK4" s="421" t="str">
        <f>IF('Soil-errosion1'!D5=0,"",D4*'Soil-errosion1'!D39+O4*'Soil-errosion1'!O39+Z4*'Soil-errosion1'!Z39)</f>
        <v/>
      </c>
      <c r="AL4" s="421" t="str">
        <f>IF('Soil-errosion1'!E5=0,"",E4*'Soil-errosion1'!E39+P4*'Soil-errosion1'!P39+AA4*'Soil-errosion1'!AA39)</f>
        <v/>
      </c>
      <c r="AM4" s="421" t="str">
        <f>IF('Soil-errosion1'!F5=0,"",F4*'Soil-errosion1'!F39+Q4*'Soil-errosion1'!Q39+AB4*'Soil-errosion1'!AB39)</f>
        <v/>
      </c>
      <c r="AN4" s="421" t="str">
        <f>IF('Soil-errosion1'!G5=0,"",G4*'Soil-errosion1'!G39+R4*'Soil-errosion1'!R39+AC4*'Soil-errosion1'!AC39)</f>
        <v/>
      </c>
      <c r="AO4" s="421" t="str">
        <f>IF('Soil-errosion1'!H5=0,"",H4*'Soil-errosion1'!H39+S4*'Soil-errosion1'!S39+AD4*'Soil-errosion1'!AD39)</f>
        <v/>
      </c>
      <c r="AP4" s="421" t="str">
        <f>IF('Soil-errosion1'!I5=0,"",I4*'Soil-errosion1'!I39+T4*'Soil-errosion1'!T39+AE4*'Soil-errosion1'!AE39)</f>
        <v/>
      </c>
      <c r="AQ4" s="421" t="str">
        <f>IF('Soil-errosion1'!J5=0,"",J4*'Soil-errosion1'!J39+U4*'Soil-errosion1'!U39+AF4*'Soil-errosion1'!AF39)</f>
        <v/>
      </c>
      <c r="AR4" s="421" t="str">
        <f>IF('Soil-errosion1'!K5=0,"",K4*'Soil-errosion1'!K39+V4*'Soil-errosion1'!V39+AG4*'Soil-errosion1'!AG39)</f>
        <v/>
      </c>
      <c r="AS4" s="421" t="str">
        <f>IF('Soil-errosion1'!L5=0,"",L4*'Soil-errosion1'!L39+W4*'Soil-errosion1'!W39+AH4*'Soil-errosion1'!AH39)</f>
        <v/>
      </c>
      <c r="AT4" s="596" t="str">
        <f>IF('Soil-loss-in-abundoned lands'!C3=0,"",C4*'Soil-loss-in-abundoned lands'!D3+N4*'Soil-loss-in-abundoned lands'!E3+Y4*'Soil-loss-in-abundoned lands'!F3)</f>
        <v/>
      </c>
      <c r="AU4" s="30" t="e">
        <f>SUMPRODUCT('Area&amp;production data'!F5:O5,'Percent-Soil-Carbon-Content'!AJ4:AS4)/SUM('Area&amp;production data'!F5:O5)</f>
        <v>#DIV/0!</v>
      </c>
    </row>
    <row r="5" spans="1:47" x14ac:dyDescent="0.25">
      <c r="A5" s="13">
        <v>2</v>
      </c>
      <c r="B5" s="13" t="s">
        <v>140</v>
      </c>
      <c r="C5" s="699"/>
      <c r="D5" s="699"/>
      <c r="E5" s="699"/>
      <c r="F5" s="699"/>
      <c r="G5" s="699"/>
      <c r="H5" s="699"/>
      <c r="I5" s="699"/>
      <c r="J5" s="699"/>
      <c r="K5" s="699"/>
      <c r="L5" s="699"/>
      <c r="M5" s="700"/>
      <c r="N5" s="699"/>
      <c r="O5" s="699"/>
      <c r="P5" s="699"/>
      <c r="Q5" s="699"/>
      <c r="R5" s="699"/>
      <c r="S5" s="699"/>
      <c r="T5" s="699"/>
      <c r="U5" s="699"/>
      <c r="V5" s="699"/>
      <c r="W5" s="699"/>
      <c r="X5" s="699"/>
      <c r="Y5" s="699"/>
      <c r="Z5" s="699"/>
      <c r="AA5" s="699"/>
      <c r="AB5" s="699"/>
      <c r="AC5" s="699"/>
      <c r="AD5" s="699"/>
      <c r="AE5" s="699"/>
      <c r="AF5" s="699"/>
      <c r="AG5" s="699"/>
      <c r="AH5" s="699"/>
      <c r="AI5" s="699"/>
      <c r="AJ5" s="421" t="str">
        <f>IF('Soil-errosion1'!C6=0,"",C5*'Soil-errosion1'!C40+N5*'Soil-errosion1'!N40+Y5*'Soil-errosion1'!Y40)</f>
        <v/>
      </c>
      <c r="AK5" s="421" t="str">
        <f>IF('Soil-errosion1'!D6=0,"",D5*'Soil-errosion1'!D40+O5*'Soil-errosion1'!O40+Z5*'Soil-errosion1'!Z40)</f>
        <v/>
      </c>
      <c r="AL5" s="421" t="str">
        <f>IF('Soil-errosion1'!E6=0,"",E5*'Soil-errosion1'!E40+P5*'Soil-errosion1'!P40+AA5*'Soil-errosion1'!AA40)</f>
        <v/>
      </c>
      <c r="AM5" s="421" t="str">
        <f>IF('Soil-errosion1'!F6=0,"",F5*'Soil-errosion1'!F40+Q5*'Soil-errosion1'!Q40+AB5*'Soil-errosion1'!AB40)</f>
        <v/>
      </c>
      <c r="AN5" s="421" t="str">
        <f>IF('Soil-errosion1'!G6=0,"",G5*'Soil-errosion1'!G40+R5*'Soil-errosion1'!R40+AC5*'Soil-errosion1'!AC40)</f>
        <v/>
      </c>
      <c r="AO5" s="421" t="str">
        <f>IF('Soil-errosion1'!H6=0,"",H5*'Soil-errosion1'!H40+S5*'Soil-errosion1'!S40+AD5*'Soil-errosion1'!AD40)</f>
        <v/>
      </c>
      <c r="AP5" s="421" t="str">
        <f>IF('Soil-errosion1'!I6=0,"",I5*'Soil-errosion1'!I40+T5*'Soil-errosion1'!T40+AE5*'Soil-errosion1'!AE40)</f>
        <v/>
      </c>
      <c r="AQ5" s="421" t="str">
        <f>IF('Soil-errosion1'!J6=0,"",J5*'Soil-errosion1'!J40+U5*'Soil-errosion1'!U40+AF5*'Soil-errosion1'!AF40)</f>
        <v/>
      </c>
      <c r="AR5" s="421" t="str">
        <f>IF('Soil-errosion1'!K6=0,"",K5*'Soil-errosion1'!K40+V5*'Soil-errosion1'!V40+AG5*'Soil-errosion1'!AG40)</f>
        <v/>
      </c>
      <c r="AS5" s="421" t="str">
        <f>IF('Soil-errosion1'!L6=0,"",L5*'Soil-errosion1'!L40+W5*'Soil-errosion1'!W40+AH5*'Soil-errosion1'!AH40)</f>
        <v/>
      </c>
      <c r="AT5" s="596" t="str">
        <f>IF('Soil-loss-in-abundoned lands'!C4=0,"",C5*'Soil-loss-in-abundoned lands'!D4+N5*'Soil-loss-in-abundoned lands'!E4+Y5*'Soil-loss-in-abundoned lands'!F4)</f>
        <v/>
      </c>
      <c r="AU5" s="30" t="e">
        <f>SUMPRODUCT('Area&amp;production data'!F6:O6,'Percent-Soil-Carbon-Content'!AJ5:AS5)/SUM('Area&amp;production data'!F6:O6)</f>
        <v>#DIV/0!</v>
      </c>
    </row>
    <row r="6" spans="1:47" x14ac:dyDescent="0.25">
      <c r="A6" s="13">
        <v>3</v>
      </c>
      <c r="B6" s="13" t="s">
        <v>141</v>
      </c>
      <c r="C6" s="699"/>
      <c r="D6" s="699"/>
      <c r="E6" s="699"/>
      <c r="F6" s="699"/>
      <c r="G6" s="699"/>
      <c r="H6" s="699"/>
      <c r="I6" s="699"/>
      <c r="J6" s="699"/>
      <c r="K6" s="699"/>
      <c r="L6" s="699"/>
      <c r="M6" s="700"/>
      <c r="N6" s="699"/>
      <c r="O6" s="699"/>
      <c r="P6" s="699"/>
      <c r="Q6" s="699"/>
      <c r="R6" s="699"/>
      <c r="S6" s="699"/>
      <c r="T6" s="699"/>
      <c r="U6" s="699"/>
      <c r="V6" s="699"/>
      <c r="W6" s="699"/>
      <c r="X6" s="699"/>
      <c r="Y6" s="699"/>
      <c r="Z6" s="699"/>
      <c r="AA6" s="699"/>
      <c r="AB6" s="699"/>
      <c r="AC6" s="699"/>
      <c r="AD6" s="699"/>
      <c r="AE6" s="699"/>
      <c r="AF6" s="699"/>
      <c r="AG6" s="699"/>
      <c r="AH6" s="699"/>
      <c r="AI6" s="699"/>
      <c r="AJ6" s="421" t="str">
        <f>IF('Soil-errosion1'!C7=0,"",C6*'Soil-errosion1'!C41+N6*'Soil-errosion1'!N41+Y6*'Soil-errosion1'!Y41)</f>
        <v/>
      </c>
      <c r="AK6" s="421" t="str">
        <f>IF('Soil-errosion1'!D7=0,"",D6*'Soil-errosion1'!D41+O6*'Soil-errosion1'!O41+Z6*'Soil-errosion1'!Z41)</f>
        <v/>
      </c>
      <c r="AL6" s="421" t="str">
        <f>IF('Soil-errosion1'!E7=0,"",E6*'Soil-errosion1'!E41+P6*'Soil-errosion1'!P41+AA6*'Soil-errosion1'!AA41)</f>
        <v/>
      </c>
      <c r="AM6" s="421" t="str">
        <f>IF('Soil-errosion1'!F7=0,"",F6*'Soil-errosion1'!F41+Q6*'Soil-errosion1'!Q41+AB6*'Soil-errosion1'!AB41)</f>
        <v/>
      </c>
      <c r="AN6" s="421" t="str">
        <f>IF('Soil-errosion1'!G7=0,"",G6*'Soil-errosion1'!G41+R6*'Soil-errosion1'!R41+AC6*'Soil-errosion1'!AC41)</f>
        <v/>
      </c>
      <c r="AO6" s="421" t="str">
        <f>IF('Soil-errosion1'!H7=0,"",H6*'Soil-errosion1'!H41+S6*'Soil-errosion1'!S41+AD6*'Soil-errosion1'!AD41)</f>
        <v/>
      </c>
      <c r="AP6" s="421" t="str">
        <f>IF('Soil-errosion1'!I7=0,"",I6*'Soil-errosion1'!I41+T6*'Soil-errosion1'!T41+AE6*'Soil-errosion1'!AE41)</f>
        <v/>
      </c>
      <c r="AQ6" s="421" t="str">
        <f>IF('Soil-errosion1'!J7=0,"",J6*'Soil-errosion1'!J41+U6*'Soil-errosion1'!U41+AF6*'Soil-errosion1'!AF41)</f>
        <v/>
      </c>
      <c r="AR6" s="421" t="str">
        <f>IF('Soil-errosion1'!K7=0,"",K6*'Soil-errosion1'!K41+V6*'Soil-errosion1'!V41+AG6*'Soil-errosion1'!AG41)</f>
        <v/>
      </c>
      <c r="AS6" s="421" t="str">
        <f>IF('Soil-errosion1'!L7=0,"",L6*'Soil-errosion1'!L41+W6*'Soil-errosion1'!W41+AH6*'Soil-errosion1'!AH41)</f>
        <v/>
      </c>
      <c r="AT6" s="596" t="str">
        <f>IF('Soil-loss-in-abundoned lands'!C5=0,"",C6*'Soil-loss-in-abundoned lands'!D5+N6*'Soil-loss-in-abundoned lands'!E5+Y6*'Soil-loss-in-abundoned lands'!F5)</f>
        <v/>
      </c>
      <c r="AU6" s="30" t="e">
        <f>SUMPRODUCT('Area&amp;production data'!F7:O7,'Percent-Soil-Carbon-Content'!AJ6:AS6)/SUM('Area&amp;production data'!F7:O7)</f>
        <v>#DIV/0!</v>
      </c>
    </row>
    <row r="7" spans="1:47" x14ac:dyDescent="0.25">
      <c r="A7" s="13">
        <v>4</v>
      </c>
      <c r="B7" s="13" t="s">
        <v>142</v>
      </c>
      <c r="C7" s="699"/>
      <c r="D7" s="699"/>
      <c r="E7" s="699"/>
      <c r="F7" s="699"/>
      <c r="G7" s="699"/>
      <c r="H7" s="699"/>
      <c r="I7" s="699"/>
      <c r="J7" s="699"/>
      <c r="K7" s="699"/>
      <c r="L7" s="699"/>
      <c r="M7" s="700"/>
      <c r="N7" s="699"/>
      <c r="O7" s="699"/>
      <c r="P7" s="699"/>
      <c r="Q7" s="699"/>
      <c r="R7" s="699"/>
      <c r="S7" s="699"/>
      <c r="T7" s="699"/>
      <c r="U7" s="699"/>
      <c r="V7" s="699"/>
      <c r="W7" s="699"/>
      <c r="X7" s="699"/>
      <c r="Y7" s="699"/>
      <c r="Z7" s="699"/>
      <c r="AA7" s="699"/>
      <c r="AB7" s="699"/>
      <c r="AC7" s="699"/>
      <c r="AD7" s="699"/>
      <c r="AE7" s="699"/>
      <c r="AF7" s="699"/>
      <c r="AG7" s="699"/>
      <c r="AH7" s="699"/>
      <c r="AI7" s="699"/>
      <c r="AJ7" s="421" t="str">
        <f>IF('Soil-errosion1'!C8=0,"",C7*'Soil-errosion1'!C42+N7*'Soil-errosion1'!N42+Y7*'Soil-errosion1'!Y42)</f>
        <v/>
      </c>
      <c r="AK7" s="421" t="str">
        <f>IF('Soil-errosion1'!D8=0,"",D7*'Soil-errosion1'!D42+O7*'Soil-errosion1'!O42+Z7*'Soil-errosion1'!Z42)</f>
        <v/>
      </c>
      <c r="AL7" s="421" t="str">
        <f>IF('Soil-errosion1'!E8=0,"",E7*'Soil-errosion1'!E42+P7*'Soil-errosion1'!P42+AA7*'Soil-errosion1'!AA42)</f>
        <v/>
      </c>
      <c r="AM7" s="421" t="str">
        <f>IF('Soil-errosion1'!F8=0,"",F7*'Soil-errosion1'!F42+Q7*'Soil-errosion1'!Q42+AB7*'Soil-errosion1'!AB42)</f>
        <v/>
      </c>
      <c r="AN7" s="421" t="str">
        <f>IF('Soil-errosion1'!G8=0,"",G7*'Soil-errosion1'!G42+R7*'Soil-errosion1'!R42+AC7*'Soil-errosion1'!AC42)</f>
        <v/>
      </c>
      <c r="AO7" s="421" t="str">
        <f>IF('Soil-errosion1'!H8=0,"",H7*'Soil-errosion1'!H42+S7*'Soil-errosion1'!S42+AD7*'Soil-errosion1'!AD42)</f>
        <v/>
      </c>
      <c r="AP7" s="421" t="str">
        <f>IF('Soil-errosion1'!I8=0,"",I7*'Soil-errosion1'!I42+T7*'Soil-errosion1'!T42+AE7*'Soil-errosion1'!AE42)</f>
        <v/>
      </c>
      <c r="AQ7" s="421" t="str">
        <f>IF('Soil-errosion1'!J8=0,"",J7*'Soil-errosion1'!J42+U7*'Soil-errosion1'!U42+AF7*'Soil-errosion1'!AF42)</f>
        <v/>
      </c>
      <c r="AR7" s="421" t="str">
        <f>IF('Soil-errosion1'!K8=0,"",K7*'Soil-errosion1'!K42+V7*'Soil-errosion1'!V42+AG7*'Soil-errosion1'!AG42)</f>
        <v/>
      </c>
      <c r="AS7" s="421" t="str">
        <f>IF('Soil-errosion1'!L8=0,"",L7*'Soil-errosion1'!L42+W7*'Soil-errosion1'!W42+AH7*'Soil-errosion1'!AH42)</f>
        <v/>
      </c>
      <c r="AT7" s="596" t="str">
        <f>IF('Soil-loss-in-abundoned lands'!C6=0,"",C7*'Soil-loss-in-abundoned lands'!D6+N7*'Soil-loss-in-abundoned lands'!E6+Y7*'Soil-loss-in-abundoned lands'!F6)</f>
        <v/>
      </c>
      <c r="AU7" s="30" t="e">
        <f>SUMPRODUCT('Area&amp;production data'!F8:O8,'Percent-Soil-Carbon-Content'!AJ7:AS7)/SUM('Area&amp;production data'!F8:O8)</f>
        <v>#DIV/0!</v>
      </c>
    </row>
    <row r="8" spans="1:47" x14ac:dyDescent="0.25">
      <c r="A8" s="13">
        <v>5</v>
      </c>
      <c r="B8" s="13" t="s">
        <v>143</v>
      </c>
      <c r="C8" s="699"/>
      <c r="D8" s="699"/>
      <c r="E8" s="699"/>
      <c r="F8" s="699"/>
      <c r="G8" s="699"/>
      <c r="H8" s="699"/>
      <c r="I8" s="699"/>
      <c r="J8" s="699"/>
      <c r="K8" s="699"/>
      <c r="L8" s="699"/>
      <c r="M8" s="700"/>
      <c r="N8" s="699"/>
      <c r="O8" s="699"/>
      <c r="P8" s="699"/>
      <c r="Q8" s="699"/>
      <c r="R8" s="699"/>
      <c r="S8" s="699"/>
      <c r="T8" s="699"/>
      <c r="U8" s="699"/>
      <c r="V8" s="699"/>
      <c r="W8" s="699"/>
      <c r="X8" s="699"/>
      <c r="Y8" s="699"/>
      <c r="Z8" s="699"/>
      <c r="AA8" s="699"/>
      <c r="AB8" s="699"/>
      <c r="AC8" s="699"/>
      <c r="AD8" s="699"/>
      <c r="AE8" s="699"/>
      <c r="AF8" s="699"/>
      <c r="AG8" s="699"/>
      <c r="AH8" s="699"/>
      <c r="AI8" s="699"/>
      <c r="AJ8" s="421" t="str">
        <f>IF('Soil-errosion1'!C9=0,"",C8*'Soil-errosion1'!C43+N8*'Soil-errosion1'!N43+Y8*'Soil-errosion1'!Y43)</f>
        <v/>
      </c>
      <c r="AK8" s="421" t="str">
        <f>IF('Soil-errosion1'!D9=0,"",D8*'Soil-errosion1'!D43+O8*'Soil-errosion1'!O43+Z8*'Soil-errosion1'!Z43)</f>
        <v/>
      </c>
      <c r="AL8" s="421" t="str">
        <f>IF('Soil-errosion1'!E9=0,"",E8*'Soil-errosion1'!E43+P8*'Soil-errosion1'!P43+AA8*'Soil-errosion1'!AA43)</f>
        <v/>
      </c>
      <c r="AM8" s="421" t="str">
        <f>IF('Soil-errosion1'!F9=0,"",F8*'Soil-errosion1'!F43+Q8*'Soil-errosion1'!Q43+AB8*'Soil-errosion1'!AB43)</f>
        <v/>
      </c>
      <c r="AN8" s="421" t="str">
        <f>IF('Soil-errosion1'!G9=0,"",G8*'Soil-errosion1'!G43+R8*'Soil-errosion1'!R43+AC8*'Soil-errosion1'!AC43)</f>
        <v/>
      </c>
      <c r="AO8" s="421" t="str">
        <f>IF('Soil-errosion1'!H9=0,"",H8*'Soil-errosion1'!H43+S8*'Soil-errosion1'!S43+AD8*'Soil-errosion1'!AD43)</f>
        <v/>
      </c>
      <c r="AP8" s="421" t="str">
        <f>IF('Soil-errosion1'!I9=0,"",I8*'Soil-errosion1'!I43+T8*'Soil-errosion1'!T43+AE8*'Soil-errosion1'!AE43)</f>
        <v/>
      </c>
      <c r="AQ8" s="421" t="str">
        <f>IF('Soil-errosion1'!J9=0,"",J8*'Soil-errosion1'!J43+U8*'Soil-errosion1'!U43+AF8*'Soil-errosion1'!AF43)</f>
        <v/>
      </c>
      <c r="AR8" s="421" t="str">
        <f>IF('Soil-errosion1'!K9=0,"",K8*'Soil-errosion1'!K43+V8*'Soil-errosion1'!V43+AG8*'Soil-errosion1'!AG43)</f>
        <v/>
      </c>
      <c r="AS8" s="421" t="str">
        <f>IF('Soil-errosion1'!L9=0,"",L8*'Soil-errosion1'!L43+W8*'Soil-errosion1'!W43+AH8*'Soil-errosion1'!AH43)</f>
        <v/>
      </c>
      <c r="AT8" s="596" t="str">
        <f>IF('Soil-loss-in-abundoned lands'!C7=0,"",C8*'Soil-loss-in-abundoned lands'!D7+N8*'Soil-loss-in-abundoned lands'!E7+Y8*'Soil-loss-in-abundoned lands'!F7)</f>
        <v/>
      </c>
      <c r="AU8" s="30" t="e">
        <f>SUMPRODUCT('Area&amp;production data'!F9:O9,'Percent-Soil-Carbon-Content'!AJ8:AS8)/SUM('Area&amp;production data'!F9:O9)</f>
        <v>#DIV/0!</v>
      </c>
    </row>
    <row r="9" spans="1:47" x14ac:dyDescent="0.25">
      <c r="A9" s="13"/>
      <c r="B9" s="13" t="s">
        <v>144</v>
      </c>
      <c r="C9" s="699"/>
      <c r="D9" s="699"/>
      <c r="E9" s="699"/>
      <c r="F9" s="699"/>
      <c r="G9" s="699"/>
      <c r="H9" s="699"/>
      <c r="I9" s="699"/>
      <c r="J9" s="699"/>
      <c r="K9" s="699"/>
      <c r="L9" s="699"/>
      <c r="M9" s="700"/>
      <c r="N9" s="699"/>
      <c r="O9" s="699"/>
      <c r="P9" s="699"/>
      <c r="Q9" s="699"/>
      <c r="R9" s="699"/>
      <c r="S9" s="699"/>
      <c r="T9" s="699"/>
      <c r="U9" s="699"/>
      <c r="V9" s="699"/>
      <c r="W9" s="699"/>
      <c r="X9" s="699"/>
      <c r="Y9" s="699"/>
      <c r="Z9" s="699"/>
      <c r="AA9" s="699"/>
      <c r="AB9" s="699"/>
      <c r="AC9" s="699"/>
      <c r="AD9" s="699"/>
      <c r="AE9" s="699"/>
      <c r="AF9" s="699"/>
      <c r="AG9" s="699"/>
      <c r="AH9" s="699"/>
      <c r="AI9" s="699"/>
      <c r="AJ9" s="421" t="str">
        <f>IF('Soil-errosion1'!C10=0,"",C9*'Soil-errosion1'!C44+N9*'Soil-errosion1'!N44+Y9*'Soil-errosion1'!Y44)</f>
        <v/>
      </c>
      <c r="AK9" s="421" t="str">
        <f>IF('Soil-errosion1'!D10=0,"",D9*'Soil-errosion1'!D44+O9*'Soil-errosion1'!O44+Z9*'Soil-errosion1'!Z44)</f>
        <v/>
      </c>
      <c r="AL9" s="421" t="str">
        <f>IF('Soil-errosion1'!E10=0,"",E9*'Soil-errosion1'!E44+P9*'Soil-errosion1'!P44+AA9*'Soil-errosion1'!AA44)</f>
        <v/>
      </c>
      <c r="AM9" s="421" t="str">
        <f>IF('Soil-errosion1'!F10=0,"",F9*'Soil-errosion1'!F44+Q9*'Soil-errosion1'!Q44+AB9*'Soil-errosion1'!AB44)</f>
        <v/>
      </c>
      <c r="AN9" s="421" t="str">
        <f>IF('Soil-errosion1'!G10=0,"",G9*'Soil-errosion1'!G44+R9*'Soil-errosion1'!R44+AC9*'Soil-errosion1'!AC44)</f>
        <v/>
      </c>
      <c r="AO9" s="421" t="str">
        <f>IF('Soil-errosion1'!H10=0,"",H9*'Soil-errosion1'!H44+S9*'Soil-errosion1'!S44+AD9*'Soil-errosion1'!AD44)</f>
        <v/>
      </c>
      <c r="AP9" s="421" t="str">
        <f>IF('Soil-errosion1'!I10=0,"",I9*'Soil-errosion1'!I44+T9*'Soil-errosion1'!T44+AE9*'Soil-errosion1'!AE44)</f>
        <v/>
      </c>
      <c r="AQ9" s="421" t="str">
        <f>IF('Soil-errosion1'!J10=0,"",J9*'Soil-errosion1'!J44+U9*'Soil-errosion1'!U44+AF9*'Soil-errosion1'!AF44)</f>
        <v/>
      </c>
      <c r="AR9" s="421" t="str">
        <f>IF('Soil-errosion1'!K10=0,"",K9*'Soil-errosion1'!K44+V9*'Soil-errosion1'!V44+AG9*'Soil-errosion1'!AG44)</f>
        <v/>
      </c>
      <c r="AS9" s="421" t="str">
        <f>IF('Soil-errosion1'!L10=0,"",L9*'Soil-errosion1'!L44+W9*'Soil-errosion1'!W44+AH9*'Soil-errosion1'!AH44)</f>
        <v/>
      </c>
      <c r="AT9" s="596" t="str">
        <f>IF('Soil-loss-in-abundoned lands'!C8=0,"",C9*'Soil-loss-in-abundoned lands'!D8+N9*'Soil-loss-in-abundoned lands'!E8+Y9*'Soil-loss-in-abundoned lands'!F8)</f>
        <v/>
      </c>
      <c r="AU9" s="30" t="e">
        <f>SUMPRODUCT('Area&amp;production data'!F10:O10,'Percent-Soil-Carbon-Content'!AJ9:AS9)/SUM('Area&amp;production data'!F10:O10)</f>
        <v>#DIV/0!</v>
      </c>
    </row>
    <row r="10" spans="1:47" x14ac:dyDescent="0.25">
      <c r="A10" s="13">
        <v>7</v>
      </c>
      <c r="B10" s="13" t="s">
        <v>145</v>
      </c>
      <c r="C10" s="699"/>
      <c r="D10" s="699"/>
      <c r="E10" s="699"/>
      <c r="F10" s="699"/>
      <c r="G10" s="699"/>
      <c r="H10" s="699"/>
      <c r="I10" s="699"/>
      <c r="J10" s="699"/>
      <c r="K10" s="699"/>
      <c r="L10" s="699"/>
      <c r="M10" s="700"/>
      <c r="N10" s="699"/>
      <c r="O10" s="699"/>
      <c r="P10" s="699"/>
      <c r="Q10" s="699"/>
      <c r="R10" s="699"/>
      <c r="S10" s="699"/>
      <c r="T10" s="699"/>
      <c r="U10" s="699"/>
      <c r="V10" s="699"/>
      <c r="W10" s="699"/>
      <c r="X10" s="699"/>
      <c r="Y10" s="699"/>
      <c r="Z10" s="699"/>
      <c r="AA10" s="699"/>
      <c r="AB10" s="699"/>
      <c r="AC10" s="699"/>
      <c r="AD10" s="699"/>
      <c r="AE10" s="699"/>
      <c r="AF10" s="699"/>
      <c r="AG10" s="699"/>
      <c r="AH10" s="699"/>
      <c r="AI10" s="699"/>
      <c r="AJ10" s="421" t="str">
        <f>IF('Soil-errosion1'!C11=0,"",C10*'Soil-errosion1'!C45+N10*'Soil-errosion1'!N45+Y10*'Soil-errosion1'!Y45)</f>
        <v/>
      </c>
      <c r="AK10" s="421" t="str">
        <f>IF('Soil-errosion1'!D11=0,"",D10*'Soil-errosion1'!D45+O10*'Soil-errosion1'!O45+Z10*'Soil-errosion1'!Z45)</f>
        <v/>
      </c>
      <c r="AL10" s="421" t="str">
        <f>IF('Soil-errosion1'!E11=0,"",E10*'Soil-errosion1'!E45+P10*'Soil-errosion1'!P45+AA10*'Soil-errosion1'!AA45)</f>
        <v/>
      </c>
      <c r="AM10" s="421" t="str">
        <f>IF('Soil-errosion1'!F11=0,"",F10*'Soil-errosion1'!F45+Q10*'Soil-errosion1'!Q45+AB10*'Soil-errosion1'!AB45)</f>
        <v/>
      </c>
      <c r="AN10" s="421" t="str">
        <f>IF('Soil-errosion1'!G11=0,"",G10*'Soil-errosion1'!G45+R10*'Soil-errosion1'!R45+AC10*'Soil-errosion1'!AC45)</f>
        <v/>
      </c>
      <c r="AO10" s="421" t="str">
        <f>IF('Soil-errosion1'!H11=0,"",H10*'Soil-errosion1'!H45+S10*'Soil-errosion1'!S45+AD10*'Soil-errosion1'!AD45)</f>
        <v/>
      </c>
      <c r="AP10" s="421" t="str">
        <f>IF('Soil-errosion1'!I11=0,"",I10*'Soil-errosion1'!I45+T10*'Soil-errosion1'!T45+AE10*'Soil-errosion1'!AE45)</f>
        <v/>
      </c>
      <c r="AQ10" s="421" t="str">
        <f>IF('Soil-errosion1'!J11=0,"",J10*'Soil-errosion1'!J45+U10*'Soil-errosion1'!U45+AF10*'Soil-errosion1'!AF45)</f>
        <v/>
      </c>
      <c r="AR10" s="421" t="str">
        <f>IF('Soil-errosion1'!K11=0,"",K10*'Soil-errosion1'!K45+V10*'Soil-errosion1'!V45+AG10*'Soil-errosion1'!AG45)</f>
        <v/>
      </c>
      <c r="AS10" s="421" t="str">
        <f>IF('Soil-errosion1'!L11=0,"",L10*'Soil-errosion1'!L45+W10*'Soil-errosion1'!W45+AH10*'Soil-errosion1'!AH45)</f>
        <v/>
      </c>
      <c r="AT10" s="596" t="str">
        <f>IF('Soil-loss-in-abundoned lands'!C9=0,"",C10*'Soil-loss-in-abundoned lands'!D9+N10*'Soil-loss-in-abundoned lands'!E9+Y10*'Soil-loss-in-abundoned lands'!F9)</f>
        <v/>
      </c>
      <c r="AU10" s="30" t="e">
        <f>SUMPRODUCT('Area&amp;production data'!F11:O11,'Percent-Soil-Carbon-Content'!AJ10:AS10)/SUM('Area&amp;production data'!F11:O11)</f>
        <v>#DIV/0!</v>
      </c>
    </row>
    <row r="11" spans="1:47" x14ac:dyDescent="0.25">
      <c r="A11" s="13">
        <v>8</v>
      </c>
      <c r="B11" s="13" t="s">
        <v>146</v>
      </c>
      <c r="C11" s="699"/>
      <c r="D11" s="699"/>
      <c r="E11" s="699"/>
      <c r="F11" s="699"/>
      <c r="G11" s="699"/>
      <c r="H11" s="699"/>
      <c r="I11" s="699"/>
      <c r="J11" s="699"/>
      <c r="K11" s="699"/>
      <c r="L11" s="699"/>
      <c r="M11" s="700"/>
      <c r="N11" s="699"/>
      <c r="O11" s="699"/>
      <c r="P11" s="699"/>
      <c r="Q11" s="699"/>
      <c r="R11" s="699"/>
      <c r="S11" s="699"/>
      <c r="T11" s="699"/>
      <c r="U11" s="699"/>
      <c r="V11" s="699"/>
      <c r="W11" s="699"/>
      <c r="X11" s="699"/>
      <c r="Y11" s="699"/>
      <c r="Z11" s="699"/>
      <c r="AA11" s="699"/>
      <c r="AB11" s="699"/>
      <c r="AC11" s="699"/>
      <c r="AD11" s="699"/>
      <c r="AE11" s="699"/>
      <c r="AF11" s="699"/>
      <c r="AG11" s="699"/>
      <c r="AH11" s="699"/>
      <c r="AI11" s="699"/>
      <c r="AJ11" s="421" t="str">
        <f>IF('Soil-errosion1'!C12=0,"",C11*'Soil-errosion1'!C46+N11*'Soil-errosion1'!N46+Y11*'Soil-errosion1'!Y46)</f>
        <v/>
      </c>
      <c r="AK11" s="421" t="str">
        <f>IF('Soil-errosion1'!D12=0,"",D11*'Soil-errosion1'!D46+O11*'Soil-errosion1'!O46+Z11*'Soil-errosion1'!Z46)</f>
        <v/>
      </c>
      <c r="AL11" s="421" t="str">
        <f>IF('Soil-errosion1'!E12=0,"",E11*'Soil-errosion1'!E46+P11*'Soil-errosion1'!P46+AA11*'Soil-errosion1'!AA46)</f>
        <v/>
      </c>
      <c r="AM11" s="421" t="str">
        <f>IF('Soil-errosion1'!F12=0,"",F11*'Soil-errosion1'!F46+Q11*'Soil-errosion1'!Q46+AB11*'Soil-errosion1'!AB46)</f>
        <v/>
      </c>
      <c r="AN11" s="421" t="str">
        <f>IF('Soil-errosion1'!G12=0,"",G11*'Soil-errosion1'!G46+R11*'Soil-errosion1'!R46+AC11*'Soil-errosion1'!AC46)</f>
        <v/>
      </c>
      <c r="AO11" s="421" t="str">
        <f>IF('Soil-errosion1'!H12=0,"",H11*'Soil-errosion1'!H46+S11*'Soil-errosion1'!S46+AD11*'Soil-errosion1'!AD46)</f>
        <v/>
      </c>
      <c r="AP11" s="421" t="str">
        <f>IF('Soil-errosion1'!I12=0,"",I11*'Soil-errosion1'!I46+T11*'Soil-errosion1'!T46+AE11*'Soil-errosion1'!AE46)</f>
        <v/>
      </c>
      <c r="AQ11" s="421" t="str">
        <f>IF('Soil-errosion1'!J12=0,"",J11*'Soil-errosion1'!J46+U11*'Soil-errosion1'!U46+AF11*'Soil-errosion1'!AF46)</f>
        <v/>
      </c>
      <c r="AR11" s="421" t="str">
        <f>IF('Soil-errosion1'!K12=0,"",K11*'Soil-errosion1'!K46+V11*'Soil-errosion1'!V46+AG11*'Soil-errosion1'!AG46)</f>
        <v/>
      </c>
      <c r="AS11" s="421" t="str">
        <f>IF('Soil-errosion1'!L12=0,"",L11*'Soil-errosion1'!L46+W11*'Soil-errosion1'!W46+AH11*'Soil-errosion1'!AH46)</f>
        <v/>
      </c>
      <c r="AT11" s="596" t="str">
        <f>IF('Soil-loss-in-abundoned lands'!C10=0,"",C11*'Soil-loss-in-abundoned lands'!D10+N11*'Soil-loss-in-abundoned lands'!E10+Y11*'Soil-loss-in-abundoned lands'!F10)</f>
        <v/>
      </c>
      <c r="AU11" s="30" t="e">
        <f>SUMPRODUCT('Area&amp;production data'!F12:O12,'Percent-Soil-Carbon-Content'!AJ11:AS11)/SUM('Area&amp;production data'!F12:O12)</f>
        <v>#DIV/0!</v>
      </c>
    </row>
    <row r="12" spans="1:47" x14ac:dyDescent="0.25">
      <c r="A12" s="13">
        <v>9</v>
      </c>
      <c r="B12" s="13" t="s">
        <v>147</v>
      </c>
      <c r="C12" s="699"/>
      <c r="D12" s="699"/>
      <c r="E12" s="699"/>
      <c r="F12" s="699"/>
      <c r="G12" s="699"/>
      <c r="H12" s="699"/>
      <c r="I12" s="699"/>
      <c r="J12" s="699"/>
      <c r="K12" s="699"/>
      <c r="L12" s="699"/>
      <c r="M12" s="700"/>
      <c r="N12" s="699"/>
      <c r="O12" s="699"/>
      <c r="P12" s="699"/>
      <c r="Q12" s="699"/>
      <c r="R12" s="699"/>
      <c r="S12" s="699"/>
      <c r="T12" s="699"/>
      <c r="U12" s="699"/>
      <c r="V12" s="699"/>
      <c r="W12" s="699"/>
      <c r="X12" s="699"/>
      <c r="Y12" s="699"/>
      <c r="Z12" s="699"/>
      <c r="AA12" s="699"/>
      <c r="AB12" s="699"/>
      <c r="AC12" s="699"/>
      <c r="AD12" s="699"/>
      <c r="AE12" s="699"/>
      <c r="AF12" s="699"/>
      <c r="AG12" s="699"/>
      <c r="AH12" s="699"/>
      <c r="AI12" s="699"/>
      <c r="AJ12" s="421" t="str">
        <f>IF('Soil-errosion1'!C13=0,"",C12*'Soil-errosion1'!C47+N12*'Soil-errosion1'!N47+Y12*'Soil-errosion1'!Y47)</f>
        <v/>
      </c>
      <c r="AK12" s="421" t="str">
        <f>IF('Soil-errosion1'!D13=0,"",D12*'Soil-errosion1'!D47+O12*'Soil-errosion1'!O47+Z12*'Soil-errosion1'!Z47)</f>
        <v/>
      </c>
      <c r="AL12" s="421" t="str">
        <f>IF('Soil-errosion1'!E13=0,"",E12*'Soil-errosion1'!E47+P12*'Soil-errosion1'!P47+AA12*'Soil-errosion1'!AA47)</f>
        <v/>
      </c>
      <c r="AM12" s="421" t="str">
        <f>IF('Soil-errosion1'!F13=0,"",F12*'Soil-errosion1'!F47+Q12*'Soil-errosion1'!Q47+AB12*'Soil-errosion1'!AB47)</f>
        <v/>
      </c>
      <c r="AN12" s="421" t="str">
        <f>IF('Soil-errosion1'!G13=0,"",G12*'Soil-errosion1'!G47+R12*'Soil-errosion1'!R47+AC12*'Soil-errosion1'!AC47)</f>
        <v/>
      </c>
      <c r="AO12" s="421" t="str">
        <f>IF('Soil-errosion1'!H13=0,"",H12*'Soil-errosion1'!H47+S12*'Soil-errosion1'!S47+AD12*'Soil-errosion1'!AD47)</f>
        <v/>
      </c>
      <c r="AP12" s="421" t="str">
        <f>IF('Soil-errosion1'!I13=0,"",I12*'Soil-errosion1'!I47+T12*'Soil-errosion1'!T47+AE12*'Soil-errosion1'!AE47)</f>
        <v/>
      </c>
      <c r="AQ12" s="421" t="str">
        <f>IF('Soil-errosion1'!J13=0,"",J12*'Soil-errosion1'!J47+U12*'Soil-errosion1'!U47+AF12*'Soil-errosion1'!AF47)</f>
        <v/>
      </c>
      <c r="AR12" s="421" t="str">
        <f>IF('Soil-errosion1'!K13=0,"",K12*'Soil-errosion1'!K47+V12*'Soil-errosion1'!V47+AG12*'Soil-errosion1'!AG47)</f>
        <v/>
      </c>
      <c r="AS12" s="421" t="str">
        <f>IF('Soil-errosion1'!L13=0,"",L12*'Soil-errosion1'!L47+W12*'Soil-errosion1'!W47+AH12*'Soil-errosion1'!AH47)</f>
        <v/>
      </c>
      <c r="AT12" s="596" t="str">
        <f>IF('Soil-loss-in-abundoned lands'!C11=0,"",C12*'Soil-loss-in-abundoned lands'!D11+N12*'Soil-loss-in-abundoned lands'!E11+Y12*'Soil-loss-in-abundoned lands'!F11)</f>
        <v/>
      </c>
      <c r="AU12" s="30" t="e">
        <f>SUMPRODUCT('Area&amp;production data'!F13:O13,'Percent-Soil-Carbon-Content'!AJ12:AS12)/SUM('Area&amp;production data'!F13:O13)</f>
        <v>#DIV/0!</v>
      </c>
    </row>
    <row r="13" spans="1:47" x14ac:dyDescent="0.25">
      <c r="A13" s="13">
        <v>10</v>
      </c>
      <c r="B13" s="13" t="s">
        <v>148</v>
      </c>
      <c r="C13" s="699"/>
      <c r="D13" s="699"/>
      <c r="E13" s="699"/>
      <c r="F13" s="699"/>
      <c r="G13" s="699"/>
      <c r="H13" s="699"/>
      <c r="I13" s="699"/>
      <c r="J13" s="699"/>
      <c r="K13" s="699"/>
      <c r="L13" s="699"/>
      <c r="M13" s="700"/>
      <c r="N13" s="699"/>
      <c r="O13" s="699"/>
      <c r="P13" s="699"/>
      <c r="Q13" s="699"/>
      <c r="R13" s="699"/>
      <c r="S13" s="699"/>
      <c r="T13" s="699"/>
      <c r="U13" s="699"/>
      <c r="V13" s="699"/>
      <c r="W13" s="699"/>
      <c r="X13" s="699"/>
      <c r="Y13" s="699"/>
      <c r="Z13" s="699"/>
      <c r="AA13" s="699"/>
      <c r="AB13" s="699"/>
      <c r="AC13" s="699"/>
      <c r="AD13" s="699"/>
      <c r="AE13" s="699"/>
      <c r="AF13" s="699"/>
      <c r="AG13" s="699"/>
      <c r="AH13" s="699"/>
      <c r="AI13" s="699"/>
      <c r="AJ13" s="421" t="str">
        <f>IF('Soil-errosion1'!C14=0,"",C13*'Soil-errosion1'!C48+N13*'Soil-errosion1'!N48+Y13*'Soil-errosion1'!Y48)</f>
        <v/>
      </c>
      <c r="AK13" s="421" t="str">
        <f>IF('Soil-errosion1'!D14=0,"",D13*'Soil-errosion1'!D48+O13*'Soil-errosion1'!O48+Z13*'Soil-errosion1'!Z48)</f>
        <v/>
      </c>
      <c r="AL13" s="421" t="str">
        <f>IF('Soil-errosion1'!E14=0,"",E13*'Soil-errosion1'!E48+P13*'Soil-errosion1'!P48+AA13*'Soil-errosion1'!AA48)</f>
        <v/>
      </c>
      <c r="AM13" s="421" t="str">
        <f>IF('Soil-errosion1'!F14=0,"",F13*'Soil-errosion1'!F48+Q13*'Soil-errosion1'!Q48+AB13*'Soil-errosion1'!AB48)</f>
        <v/>
      </c>
      <c r="AN13" s="421" t="str">
        <f>IF('Soil-errosion1'!G14=0,"",G13*'Soil-errosion1'!G48+R13*'Soil-errosion1'!R48+AC13*'Soil-errosion1'!AC48)</f>
        <v/>
      </c>
      <c r="AO13" s="421" t="str">
        <f>IF('Soil-errosion1'!H14=0,"",H13*'Soil-errosion1'!H48+S13*'Soil-errosion1'!S48+AD13*'Soil-errosion1'!AD48)</f>
        <v/>
      </c>
      <c r="AP13" s="421" t="str">
        <f>IF('Soil-errosion1'!I14=0,"",I13*'Soil-errosion1'!I48+T13*'Soil-errosion1'!T48+AE13*'Soil-errosion1'!AE48)</f>
        <v/>
      </c>
      <c r="AQ13" s="421" t="str">
        <f>IF('Soil-errosion1'!J14=0,"",J13*'Soil-errosion1'!J48+U13*'Soil-errosion1'!U48+AF13*'Soil-errosion1'!AF48)</f>
        <v/>
      </c>
      <c r="AR13" s="421" t="str">
        <f>IF('Soil-errosion1'!K14=0,"",K13*'Soil-errosion1'!K48+V13*'Soil-errosion1'!V48+AG13*'Soil-errosion1'!AG48)</f>
        <v/>
      </c>
      <c r="AS13" s="421" t="str">
        <f>IF('Soil-errosion1'!L14=0,"",L13*'Soil-errosion1'!L48+W13*'Soil-errosion1'!W48+AH13*'Soil-errosion1'!AH48)</f>
        <v/>
      </c>
      <c r="AT13" s="596" t="str">
        <f>IF('Soil-loss-in-abundoned lands'!C12=0,"",C13*'Soil-loss-in-abundoned lands'!D12+N13*'Soil-loss-in-abundoned lands'!E12+Y13*'Soil-loss-in-abundoned lands'!F12)</f>
        <v/>
      </c>
      <c r="AU13" s="30" t="e">
        <f>SUMPRODUCT('Area&amp;production data'!F14:O14,'Percent-Soil-Carbon-Content'!AJ13:AS13)/SUM('Area&amp;production data'!F14:O14)</f>
        <v>#DIV/0!</v>
      </c>
    </row>
    <row r="14" spans="1:47" x14ac:dyDescent="0.25">
      <c r="A14" s="13">
        <v>11</v>
      </c>
      <c r="B14" s="13" t="s">
        <v>149</v>
      </c>
      <c r="C14" s="699"/>
      <c r="D14" s="699"/>
      <c r="E14" s="699"/>
      <c r="F14" s="699"/>
      <c r="G14" s="699"/>
      <c r="H14" s="699"/>
      <c r="I14" s="699"/>
      <c r="J14" s="699"/>
      <c r="K14" s="699"/>
      <c r="L14" s="699"/>
      <c r="M14" s="700"/>
      <c r="N14" s="699"/>
      <c r="O14" s="699"/>
      <c r="P14" s="699"/>
      <c r="Q14" s="699"/>
      <c r="R14" s="699"/>
      <c r="S14" s="699"/>
      <c r="T14" s="699"/>
      <c r="U14" s="699"/>
      <c r="V14" s="699"/>
      <c r="W14" s="699"/>
      <c r="X14" s="699"/>
      <c r="Y14" s="699"/>
      <c r="Z14" s="699"/>
      <c r="AA14" s="699"/>
      <c r="AB14" s="699"/>
      <c r="AC14" s="699"/>
      <c r="AD14" s="699"/>
      <c r="AE14" s="699"/>
      <c r="AF14" s="699"/>
      <c r="AG14" s="699"/>
      <c r="AH14" s="699"/>
      <c r="AI14" s="699"/>
      <c r="AJ14" s="421" t="str">
        <f>IF('Soil-errosion1'!C15=0,"",C14*'Soil-errosion1'!C49+N14*'Soil-errosion1'!N49+Y14*'Soil-errosion1'!Y49)</f>
        <v/>
      </c>
      <c r="AK14" s="421" t="str">
        <f>IF('Soil-errosion1'!D15=0,"",D14*'Soil-errosion1'!D49+O14*'Soil-errosion1'!O49+Z14*'Soil-errosion1'!Z49)</f>
        <v/>
      </c>
      <c r="AL14" s="421" t="str">
        <f>IF('Soil-errosion1'!E15=0,"",E14*'Soil-errosion1'!E49+P14*'Soil-errosion1'!P49+AA14*'Soil-errosion1'!AA49)</f>
        <v/>
      </c>
      <c r="AM14" s="421" t="str">
        <f>IF('Soil-errosion1'!F15=0,"",F14*'Soil-errosion1'!F49+Q14*'Soil-errosion1'!Q49+AB14*'Soil-errosion1'!AB49)</f>
        <v/>
      </c>
      <c r="AN14" s="421" t="str">
        <f>IF('Soil-errosion1'!G15=0,"",G14*'Soil-errosion1'!G49+R14*'Soil-errosion1'!R49+AC14*'Soil-errosion1'!AC49)</f>
        <v/>
      </c>
      <c r="AO14" s="421" t="str">
        <f>IF('Soil-errosion1'!H15=0,"",H14*'Soil-errosion1'!H49+S14*'Soil-errosion1'!S49+AD14*'Soil-errosion1'!AD49)</f>
        <v/>
      </c>
      <c r="AP14" s="421" t="str">
        <f>IF('Soil-errosion1'!I15=0,"",I14*'Soil-errosion1'!I49+T14*'Soil-errosion1'!T49+AE14*'Soil-errosion1'!AE49)</f>
        <v/>
      </c>
      <c r="AQ14" s="421" t="str">
        <f>IF('Soil-errosion1'!J15=0,"",J14*'Soil-errosion1'!J49+U14*'Soil-errosion1'!U49+AF14*'Soil-errosion1'!AF49)</f>
        <v/>
      </c>
      <c r="AR14" s="421" t="str">
        <f>IF('Soil-errosion1'!K15=0,"",K14*'Soil-errosion1'!K49+V14*'Soil-errosion1'!V49+AG14*'Soil-errosion1'!AG49)</f>
        <v/>
      </c>
      <c r="AS14" s="421" t="str">
        <f>IF('Soil-errosion1'!L15=0,"",L14*'Soil-errosion1'!L49+W14*'Soil-errosion1'!W49+AH14*'Soil-errosion1'!AH49)</f>
        <v/>
      </c>
      <c r="AT14" s="596" t="str">
        <f>IF('Soil-loss-in-abundoned lands'!C13=0,"",C14*'Soil-loss-in-abundoned lands'!D13+N14*'Soil-loss-in-abundoned lands'!E13+Y14*'Soil-loss-in-abundoned lands'!F13)</f>
        <v/>
      </c>
      <c r="AU14" s="30" t="e">
        <f>SUMPRODUCT('Area&amp;production data'!F15:O15,'Percent-Soil-Carbon-Content'!AJ14:AS14)/SUM('Area&amp;production data'!F15:O15)</f>
        <v>#DIV/0!</v>
      </c>
    </row>
    <row r="15" spans="1:47" x14ac:dyDescent="0.25">
      <c r="A15" s="13">
        <v>12</v>
      </c>
      <c r="B15" s="13" t="s">
        <v>150</v>
      </c>
      <c r="C15" s="699"/>
      <c r="D15" s="699"/>
      <c r="E15" s="699"/>
      <c r="F15" s="699"/>
      <c r="G15" s="699"/>
      <c r="H15" s="699"/>
      <c r="I15" s="699"/>
      <c r="J15" s="699"/>
      <c r="K15" s="699"/>
      <c r="L15" s="699"/>
      <c r="M15" s="700"/>
      <c r="N15" s="699"/>
      <c r="O15" s="699"/>
      <c r="P15" s="699"/>
      <c r="Q15" s="699"/>
      <c r="R15" s="699"/>
      <c r="S15" s="699"/>
      <c r="T15" s="699"/>
      <c r="U15" s="699"/>
      <c r="V15" s="699"/>
      <c r="W15" s="699"/>
      <c r="X15" s="699"/>
      <c r="Y15" s="699"/>
      <c r="Z15" s="699"/>
      <c r="AA15" s="699"/>
      <c r="AB15" s="699"/>
      <c r="AC15" s="699"/>
      <c r="AD15" s="699"/>
      <c r="AE15" s="699"/>
      <c r="AF15" s="699"/>
      <c r="AG15" s="699"/>
      <c r="AH15" s="699"/>
      <c r="AI15" s="699"/>
      <c r="AJ15" s="421" t="str">
        <f>IF('Soil-errosion1'!C16=0,"",C15*'Soil-errosion1'!C50+N15*'Soil-errosion1'!N50+Y15*'Soil-errosion1'!Y50)</f>
        <v/>
      </c>
      <c r="AK15" s="421" t="str">
        <f>IF('Soil-errosion1'!D16=0,"",D15*'Soil-errosion1'!D50+O15*'Soil-errosion1'!O50+Z15*'Soil-errosion1'!Z50)</f>
        <v/>
      </c>
      <c r="AL15" s="421" t="str">
        <f>IF('Soil-errosion1'!E16=0,"",E15*'Soil-errosion1'!E50+P15*'Soil-errosion1'!P50+AA15*'Soil-errosion1'!AA50)</f>
        <v/>
      </c>
      <c r="AM15" s="421" t="str">
        <f>IF('Soil-errosion1'!F16=0,"",F15*'Soil-errosion1'!F50+Q15*'Soil-errosion1'!Q50+AB15*'Soil-errosion1'!AB50)</f>
        <v/>
      </c>
      <c r="AN15" s="421" t="str">
        <f>IF('Soil-errosion1'!G16=0,"",G15*'Soil-errosion1'!G50+R15*'Soil-errosion1'!R50+AC15*'Soil-errosion1'!AC50)</f>
        <v/>
      </c>
      <c r="AO15" s="421" t="str">
        <f>IF('Soil-errosion1'!H16=0,"",H15*'Soil-errosion1'!H50+S15*'Soil-errosion1'!S50+AD15*'Soil-errosion1'!AD50)</f>
        <v/>
      </c>
      <c r="AP15" s="421" t="str">
        <f>IF('Soil-errosion1'!I16=0,"",I15*'Soil-errosion1'!I50+T15*'Soil-errosion1'!T50+AE15*'Soil-errosion1'!AE50)</f>
        <v/>
      </c>
      <c r="AQ15" s="421" t="str">
        <f>IF('Soil-errosion1'!J16=0,"",J15*'Soil-errosion1'!J50+U15*'Soil-errosion1'!U50+AF15*'Soil-errosion1'!AF50)</f>
        <v/>
      </c>
      <c r="AR15" s="421" t="str">
        <f>IF('Soil-errosion1'!K16=0,"",K15*'Soil-errosion1'!K50+V15*'Soil-errosion1'!V50+AG15*'Soil-errosion1'!AG50)</f>
        <v/>
      </c>
      <c r="AS15" s="421" t="str">
        <f>IF('Soil-errosion1'!L16=0,"",L15*'Soil-errosion1'!L50+W15*'Soil-errosion1'!W50+AH15*'Soil-errosion1'!AH50)</f>
        <v/>
      </c>
      <c r="AT15" s="596" t="str">
        <f>IF('Soil-loss-in-abundoned lands'!C14=0,"",C15*'Soil-loss-in-abundoned lands'!D14+N15*'Soil-loss-in-abundoned lands'!E14+Y15*'Soil-loss-in-abundoned lands'!F14)</f>
        <v/>
      </c>
      <c r="AU15" s="30" t="e">
        <f>SUMPRODUCT('Area&amp;production data'!F16:O16,'Percent-Soil-Carbon-Content'!AJ15:AS15)/SUM('Area&amp;production data'!F16:O16)</f>
        <v>#DIV/0!</v>
      </c>
    </row>
    <row r="16" spans="1:47" x14ac:dyDescent="0.25">
      <c r="A16" s="13">
        <v>13</v>
      </c>
      <c r="B16" s="13" t="s">
        <v>151</v>
      </c>
      <c r="C16" s="699"/>
      <c r="D16" s="699"/>
      <c r="E16" s="699"/>
      <c r="F16" s="699"/>
      <c r="G16" s="699"/>
      <c r="H16" s="699"/>
      <c r="I16" s="699"/>
      <c r="J16" s="699"/>
      <c r="K16" s="699"/>
      <c r="L16" s="699"/>
      <c r="M16" s="700"/>
      <c r="N16" s="699"/>
      <c r="O16" s="699"/>
      <c r="P16" s="699"/>
      <c r="Q16" s="699"/>
      <c r="R16" s="699"/>
      <c r="S16" s="699"/>
      <c r="T16" s="699"/>
      <c r="U16" s="699"/>
      <c r="V16" s="699"/>
      <c r="W16" s="699"/>
      <c r="X16" s="699"/>
      <c r="Y16" s="699"/>
      <c r="Z16" s="699"/>
      <c r="AA16" s="699"/>
      <c r="AB16" s="699"/>
      <c r="AC16" s="699"/>
      <c r="AD16" s="699"/>
      <c r="AE16" s="699"/>
      <c r="AF16" s="699"/>
      <c r="AG16" s="699"/>
      <c r="AH16" s="699"/>
      <c r="AI16" s="699"/>
      <c r="AJ16" s="421" t="str">
        <f>IF('Soil-errosion1'!C17=0,"",C16*'Soil-errosion1'!C51+N16*'Soil-errosion1'!N51+Y16*'Soil-errosion1'!Y51)</f>
        <v/>
      </c>
      <c r="AK16" s="421" t="str">
        <f>IF('Soil-errosion1'!D17=0,"",D16*'Soil-errosion1'!D51+O16*'Soil-errosion1'!O51+Z16*'Soil-errosion1'!Z51)</f>
        <v/>
      </c>
      <c r="AL16" s="421" t="str">
        <f>IF('Soil-errosion1'!E17=0,"",E16*'Soil-errosion1'!E51+P16*'Soil-errosion1'!P51+AA16*'Soil-errosion1'!AA51)</f>
        <v/>
      </c>
      <c r="AM16" s="421" t="str">
        <f>IF('Soil-errosion1'!F17=0,"",F16*'Soil-errosion1'!F51+Q16*'Soil-errosion1'!Q51+AB16*'Soil-errosion1'!AB51)</f>
        <v/>
      </c>
      <c r="AN16" s="421" t="str">
        <f>IF('Soil-errosion1'!G17=0,"",G16*'Soil-errosion1'!G51+R16*'Soil-errosion1'!R51+AC16*'Soil-errosion1'!AC51)</f>
        <v/>
      </c>
      <c r="AO16" s="421" t="str">
        <f>IF('Soil-errosion1'!H17=0,"",H16*'Soil-errosion1'!H51+S16*'Soil-errosion1'!S51+AD16*'Soil-errosion1'!AD51)</f>
        <v/>
      </c>
      <c r="AP16" s="421" t="str">
        <f>IF('Soil-errosion1'!I17=0,"",I16*'Soil-errosion1'!I51+T16*'Soil-errosion1'!T51+AE16*'Soil-errosion1'!AE51)</f>
        <v/>
      </c>
      <c r="AQ16" s="421" t="str">
        <f>IF('Soil-errosion1'!J17=0,"",J16*'Soil-errosion1'!J51+U16*'Soil-errosion1'!U51+AF16*'Soil-errosion1'!AF51)</f>
        <v/>
      </c>
      <c r="AR16" s="421" t="str">
        <f>IF('Soil-errosion1'!K17=0,"",K16*'Soil-errosion1'!K51+V16*'Soil-errosion1'!V51+AG16*'Soil-errosion1'!AG51)</f>
        <v/>
      </c>
      <c r="AS16" s="421" t="str">
        <f>IF('Soil-errosion1'!L17=0,"",L16*'Soil-errosion1'!L51+W16*'Soil-errosion1'!W51+AH16*'Soil-errosion1'!AH51)</f>
        <v/>
      </c>
      <c r="AT16" s="596" t="str">
        <f>IF('Soil-loss-in-abundoned lands'!C15=0,"",C16*'Soil-loss-in-abundoned lands'!D15+N16*'Soil-loss-in-abundoned lands'!E15+Y16*'Soil-loss-in-abundoned lands'!F15)</f>
        <v/>
      </c>
      <c r="AU16" s="30" t="e">
        <f>SUMPRODUCT('Area&amp;production data'!F17:O17,'Percent-Soil-Carbon-Content'!AJ16:AS16)/SUM('Area&amp;production data'!F17:O17)</f>
        <v>#DIV/0!</v>
      </c>
    </row>
    <row r="17" spans="1:47" x14ac:dyDescent="0.25">
      <c r="A17" s="13">
        <v>14</v>
      </c>
      <c r="B17" s="13" t="s">
        <v>152</v>
      </c>
      <c r="C17" s="699"/>
      <c r="D17" s="699"/>
      <c r="E17" s="699"/>
      <c r="F17" s="699"/>
      <c r="G17" s="699"/>
      <c r="H17" s="699"/>
      <c r="I17" s="699"/>
      <c r="J17" s="699"/>
      <c r="K17" s="699"/>
      <c r="L17" s="699"/>
      <c r="M17" s="700"/>
      <c r="N17" s="699"/>
      <c r="O17" s="699"/>
      <c r="P17" s="699"/>
      <c r="Q17" s="699"/>
      <c r="R17" s="699"/>
      <c r="S17" s="699"/>
      <c r="T17" s="699"/>
      <c r="U17" s="699"/>
      <c r="V17" s="699"/>
      <c r="W17" s="699"/>
      <c r="X17" s="699"/>
      <c r="Y17" s="699"/>
      <c r="Z17" s="699"/>
      <c r="AA17" s="699"/>
      <c r="AB17" s="699"/>
      <c r="AC17" s="699"/>
      <c r="AD17" s="699"/>
      <c r="AE17" s="699"/>
      <c r="AF17" s="699"/>
      <c r="AG17" s="699"/>
      <c r="AH17" s="699"/>
      <c r="AI17" s="699"/>
      <c r="AJ17" s="421" t="str">
        <f>IF('Soil-errosion1'!C18=0,"",C17*'Soil-errosion1'!C52+N17*'Soil-errosion1'!N52+Y17*'Soil-errosion1'!Y52)</f>
        <v/>
      </c>
      <c r="AK17" s="421" t="str">
        <f>IF('Soil-errosion1'!D18=0,"",D17*'Soil-errosion1'!D52+O17*'Soil-errosion1'!O52+Z17*'Soil-errosion1'!Z52)</f>
        <v/>
      </c>
      <c r="AL17" s="421" t="str">
        <f>IF('Soil-errosion1'!E18=0,"",E17*'Soil-errosion1'!E52+P17*'Soil-errosion1'!P52+AA17*'Soil-errosion1'!AA52)</f>
        <v/>
      </c>
      <c r="AM17" s="421" t="str">
        <f>IF('Soil-errosion1'!F18=0,"",F17*'Soil-errosion1'!F52+Q17*'Soil-errosion1'!Q52+AB17*'Soil-errosion1'!AB52)</f>
        <v/>
      </c>
      <c r="AN17" s="421" t="str">
        <f>IF('Soil-errosion1'!G18=0,"",G17*'Soil-errosion1'!G52+R17*'Soil-errosion1'!R52+AC17*'Soil-errosion1'!AC52)</f>
        <v/>
      </c>
      <c r="AO17" s="421" t="str">
        <f>IF('Soil-errosion1'!H18=0,"",H17*'Soil-errosion1'!H52+S17*'Soil-errosion1'!S52+AD17*'Soil-errosion1'!AD52)</f>
        <v/>
      </c>
      <c r="AP17" s="421" t="str">
        <f>IF('Soil-errosion1'!I18=0,"",I17*'Soil-errosion1'!I52+T17*'Soil-errosion1'!T52+AE17*'Soil-errosion1'!AE52)</f>
        <v/>
      </c>
      <c r="AQ17" s="421" t="str">
        <f>IF('Soil-errosion1'!J18=0,"",J17*'Soil-errosion1'!J52+U17*'Soil-errosion1'!U52+AF17*'Soil-errosion1'!AF52)</f>
        <v/>
      </c>
      <c r="AR17" s="421" t="str">
        <f>IF('Soil-errosion1'!K18=0,"",K17*'Soil-errosion1'!K52+V17*'Soil-errosion1'!V52+AG17*'Soil-errosion1'!AG52)</f>
        <v/>
      </c>
      <c r="AS17" s="421" t="str">
        <f>IF('Soil-errosion1'!L18=0,"",L17*'Soil-errosion1'!L52+W17*'Soil-errosion1'!W52+AH17*'Soil-errosion1'!AH52)</f>
        <v/>
      </c>
      <c r="AT17" s="596" t="str">
        <f>IF('Soil-loss-in-abundoned lands'!C16=0,"",C17*'Soil-loss-in-abundoned lands'!D16+N17*'Soil-loss-in-abundoned lands'!E16+Y17*'Soil-loss-in-abundoned lands'!F16)</f>
        <v/>
      </c>
      <c r="AU17" s="30" t="e">
        <f>SUMPRODUCT('Area&amp;production data'!F18:O18,'Percent-Soil-Carbon-Content'!AJ17:AS17)/SUM('Area&amp;production data'!F18:O18)</f>
        <v>#DIV/0!</v>
      </c>
    </row>
    <row r="18" spans="1:47" x14ac:dyDescent="0.25">
      <c r="A18" s="13">
        <v>15</v>
      </c>
      <c r="B18" s="13" t="s">
        <v>153</v>
      </c>
      <c r="C18" s="699"/>
      <c r="D18" s="699"/>
      <c r="E18" s="699"/>
      <c r="F18" s="699"/>
      <c r="G18" s="699"/>
      <c r="H18" s="699"/>
      <c r="I18" s="699"/>
      <c r="J18" s="699"/>
      <c r="K18" s="699"/>
      <c r="L18" s="699"/>
      <c r="M18" s="700"/>
      <c r="N18" s="699"/>
      <c r="O18" s="699"/>
      <c r="P18" s="699"/>
      <c r="Q18" s="699"/>
      <c r="R18" s="699"/>
      <c r="S18" s="699"/>
      <c r="T18" s="699"/>
      <c r="U18" s="699"/>
      <c r="V18" s="699"/>
      <c r="W18" s="699"/>
      <c r="X18" s="699"/>
      <c r="Y18" s="699"/>
      <c r="Z18" s="699"/>
      <c r="AA18" s="699"/>
      <c r="AB18" s="699"/>
      <c r="AC18" s="699"/>
      <c r="AD18" s="699"/>
      <c r="AE18" s="699"/>
      <c r="AF18" s="699"/>
      <c r="AG18" s="699"/>
      <c r="AH18" s="699"/>
      <c r="AI18" s="699"/>
      <c r="AJ18" s="421" t="str">
        <f>IF('Soil-errosion1'!C19=0,"",C18*'Soil-errosion1'!C53+N18*'Soil-errosion1'!N53+Y18*'Soil-errosion1'!Y53)</f>
        <v/>
      </c>
      <c r="AK18" s="421" t="str">
        <f>IF('Soil-errosion1'!D19=0,"",D18*'Soil-errosion1'!D53+O18*'Soil-errosion1'!O53+Z18*'Soil-errosion1'!Z53)</f>
        <v/>
      </c>
      <c r="AL18" s="421" t="str">
        <f>IF('Soil-errosion1'!E19=0,"",E18*'Soil-errosion1'!E53+P18*'Soil-errosion1'!P53+AA18*'Soil-errosion1'!AA53)</f>
        <v/>
      </c>
      <c r="AM18" s="421" t="str">
        <f>IF('Soil-errosion1'!F19=0,"",F18*'Soil-errosion1'!F53+Q18*'Soil-errosion1'!Q53+AB18*'Soil-errosion1'!AB53)</f>
        <v/>
      </c>
      <c r="AN18" s="421" t="str">
        <f>IF('Soil-errosion1'!G19=0,"",G18*'Soil-errosion1'!G53+R18*'Soil-errosion1'!R53+AC18*'Soil-errosion1'!AC53)</f>
        <v/>
      </c>
      <c r="AO18" s="421" t="str">
        <f>IF('Soil-errosion1'!H19=0,"",H18*'Soil-errosion1'!H53+S18*'Soil-errosion1'!S53+AD18*'Soil-errosion1'!AD53)</f>
        <v/>
      </c>
      <c r="AP18" s="421" t="str">
        <f>IF('Soil-errosion1'!I19=0,"",I18*'Soil-errosion1'!I53+T18*'Soil-errosion1'!T53+AE18*'Soil-errosion1'!AE53)</f>
        <v/>
      </c>
      <c r="AQ18" s="421" t="str">
        <f>IF('Soil-errosion1'!J19=0,"",J18*'Soil-errosion1'!J53+U18*'Soil-errosion1'!U53+AF18*'Soil-errosion1'!AF53)</f>
        <v/>
      </c>
      <c r="AR18" s="421" t="str">
        <f>IF('Soil-errosion1'!K19=0,"",K18*'Soil-errosion1'!K53+V18*'Soil-errosion1'!V53+AG18*'Soil-errosion1'!AG53)</f>
        <v/>
      </c>
      <c r="AS18" s="421" t="str">
        <f>IF('Soil-errosion1'!L19=0,"",L18*'Soil-errosion1'!L53+W18*'Soil-errosion1'!W53+AH18*'Soil-errosion1'!AH53)</f>
        <v/>
      </c>
      <c r="AT18" s="596" t="str">
        <f>IF('Soil-loss-in-abundoned lands'!C17=0,"",C18*'Soil-loss-in-abundoned lands'!D17+N18*'Soil-loss-in-abundoned lands'!E17+Y18*'Soil-loss-in-abundoned lands'!F17)</f>
        <v/>
      </c>
      <c r="AU18" s="30" t="e">
        <f>SUMPRODUCT('Area&amp;production data'!F19:O19,'Percent-Soil-Carbon-Content'!AJ18:AS18)/SUM('Area&amp;production data'!F19:O19)</f>
        <v>#DIV/0!</v>
      </c>
    </row>
    <row r="19" spans="1:47" x14ac:dyDescent="0.25">
      <c r="A19" s="13">
        <v>16</v>
      </c>
      <c r="B19" s="13" t="s">
        <v>154</v>
      </c>
      <c r="C19" s="699"/>
      <c r="D19" s="699"/>
      <c r="E19" s="699"/>
      <c r="F19" s="699"/>
      <c r="G19" s="699"/>
      <c r="H19" s="699"/>
      <c r="I19" s="699"/>
      <c r="J19" s="699"/>
      <c r="K19" s="699"/>
      <c r="L19" s="699"/>
      <c r="M19" s="700"/>
      <c r="N19" s="699"/>
      <c r="O19" s="699"/>
      <c r="P19" s="699"/>
      <c r="Q19" s="699"/>
      <c r="R19" s="699"/>
      <c r="S19" s="699"/>
      <c r="T19" s="699"/>
      <c r="U19" s="699"/>
      <c r="V19" s="699"/>
      <c r="W19" s="699"/>
      <c r="X19" s="699"/>
      <c r="Y19" s="699"/>
      <c r="Z19" s="699"/>
      <c r="AA19" s="699"/>
      <c r="AB19" s="699"/>
      <c r="AC19" s="699"/>
      <c r="AD19" s="699"/>
      <c r="AE19" s="699"/>
      <c r="AF19" s="699"/>
      <c r="AG19" s="699"/>
      <c r="AH19" s="699"/>
      <c r="AI19" s="699"/>
      <c r="AJ19" s="421" t="str">
        <f>IF('Soil-errosion1'!C20=0,"",C19*'Soil-errosion1'!C54+N19*'Soil-errosion1'!N54+Y19*'Soil-errosion1'!Y54)</f>
        <v/>
      </c>
      <c r="AK19" s="421" t="str">
        <f>IF('Soil-errosion1'!D20=0,"",D19*'Soil-errosion1'!D54+O19*'Soil-errosion1'!O54+Z19*'Soil-errosion1'!Z54)</f>
        <v/>
      </c>
      <c r="AL19" s="421" t="str">
        <f>IF('Soil-errosion1'!E20=0,"",E19*'Soil-errosion1'!E54+P19*'Soil-errosion1'!P54+AA19*'Soil-errosion1'!AA54)</f>
        <v/>
      </c>
      <c r="AM19" s="421" t="str">
        <f>IF('Soil-errosion1'!F20=0,"",F19*'Soil-errosion1'!F54+Q19*'Soil-errosion1'!Q54+AB19*'Soil-errosion1'!AB54)</f>
        <v/>
      </c>
      <c r="AN19" s="421" t="str">
        <f>IF('Soil-errosion1'!G20=0,"",G19*'Soil-errosion1'!G54+R19*'Soil-errosion1'!R54+AC19*'Soil-errosion1'!AC54)</f>
        <v/>
      </c>
      <c r="AO19" s="421" t="str">
        <f>IF('Soil-errosion1'!H20=0,"",H19*'Soil-errosion1'!H54+S19*'Soil-errosion1'!S54+AD19*'Soil-errosion1'!AD54)</f>
        <v/>
      </c>
      <c r="AP19" s="421" t="str">
        <f>IF('Soil-errosion1'!I20=0,"",I19*'Soil-errosion1'!I54+T19*'Soil-errosion1'!T54+AE19*'Soil-errosion1'!AE54)</f>
        <v/>
      </c>
      <c r="AQ19" s="421" t="str">
        <f>IF('Soil-errosion1'!J20=0,"",J19*'Soil-errosion1'!J54+U19*'Soil-errosion1'!U54+AF19*'Soil-errosion1'!AF54)</f>
        <v/>
      </c>
      <c r="AR19" s="421" t="str">
        <f>IF('Soil-errosion1'!K20=0,"",K19*'Soil-errosion1'!K54+V19*'Soil-errosion1'!V54+AG19*'Soil-errosion1'!AG54)</f>
        <v/>
      </c>
      <c r="AS19" s="421" t="str">
        <f>IF('Soil-errosion1'!L20=0,"",L19*'Soil-errosion1'!L54+W19*'Soil-errosion1'!W54+AH19*'Soil-errosion1'!AH54)</f>
        <v/>
      </c>
      <c r="AT19" s="596" t="str">
        <f>IF('Soil-loss-in-abundoned lands'!C18=0,"",C19*'Soil-loss-in-abundoned lands'!D18+N19*'Soil-loss-in-abundoned lands'!E18+Y19*'Soil-loss-in-abundoned lands'!F18)</f>
        <v/>
      </c>
      <c r="AU19" s="30" t="e">
        <f>SUMPRODUCT('Area&amp;production data'!F20:O20,'Percent-Soil-Carbon-Content'!AJ19:AS19)/SUM('Area&amp;production data'!F20:O20)</f>
        <v>#DIV/0!</v>
      </c>
    </row>
    <row r="20" spans="1:47" x14ac:dyDescent="0.25">
      <c r="A20" s="13">
        <v>17</v>
      </c>
      <c r="B20" s="13" t="s">
        <v>155</v>
      </c>
      <c r="C20" s="699"/>
      <c r="D20" s="699"/>
      <c r="E20" s="699"/>
      <c r="F20" s="699"/>
      <c r="G20" s="699"/>
      <c r="H20" s="699"/>
      <c r="I20" s="699"/>
      <c r="J20" s="699"/>
      <c r="K20" s="699"/>
      <c r="L20" s="699"/>
      <c r="M20" s="700"/>
      <c r="N20" s="699"/>
      <c r="O20" s="699"/>
      <c r="P20" s="699"/>
      <c r="Q20" s="699"/>
      <c r="R20" s="699"/>
      <c r="S20" s="699"/>
      <c r="T20" s="699"/>
      <c r="U20" s="699"/>
      <c r="V20" s="699"/>
      <c r="W20" s="699"/>
      <c r="X20" s="699"/>
      <c r="Y20" s="699"/>
      <c r="Z20" s="699"/>
      <c r="AA20" s="699"/>
      <c r="AB20" s="699"/>
      <c r="AC20" s="699"/>
      <c r="AD20" s="699"/>
      <c r="AE20" s="699"/>
      <c r="AF20" s="699"/>
      <c r="AG20" s="699"/>
      <c r="AH20" s="699"/>
      <c r="AI20" s="699"/>
      <c r="AJ20" s="421" t="str">
        <f>IF('Soil-errosion1'!C21=0,"",C20*'Soil-errosion1'!C55+N20*'Soil-errosion1'!N55+Y20*'Soil-errosion1'!Y55)</f>
        <v/>
      </c>
      <c r="AK20" s="421" t="str">
        <f>IF('Soil-errosion1'!D21=0,"",D20*'Soil-errosion1'!D55+O20*'Soil-errosion1'!O55+Z20*'Soil-errosion1'!Z55)</f>
        <v/>
      </c>
      <c r="AL20" s="421" t="str">
        <f>IF('Soil-errosion1'!E21=0,"",E20*'Soil-errosion1'!E55+P20*'Soil-errosion1'!P55+AA20*'Soil-errosion1'!AA55)</f>
        <v/>
      </c>
      <c r="AM20" s="421" t="str">
        <f>IF('Soil-errosion1'!F21=0,"",F20*'Soil-errosion1'!F55+Q20*'Soil-errosion1'!Q55+AB20*'Soil-errosion1'!AB55)</f>
        <v/>
      </c>
      <c r="AN20" s="421" t="str">
        <f>IF('Soil-errosion1'!G21=0,"",G20*'Soil-errosion1'!G55+R20*'Soil-errosion1'!R55+AC20*'Soil-errosion1'!AC55)</f>
        <v/>
      </c>
      <c r="AO20" s="421" t="str">
        <f>IF('Soil-errosion1'!H21=0,"",H20*'Soil-errosion1'!H55+S20*'Soil-errosion1'!S55+AD20*'Soil-errosion1'!AD55)</f>
        <v/>
      </c>
      <c r="AP20" s="421" t="str">
        <f>IF('Soil-errosion1'!I21=0,"",I20*'Soil-errosion1'!I55+T20*'Soil-errosion1'!T55+AE20*'Soil-errosion1'!AE55)</f>
        <v/>
      </c>
      <c r="AQ20" s="421" t="str">
        <f>IF('Soil-errosion1'!J21=0,"",J20*'Soil-errosion1'!J55+U20*'Soil-errosion1'!U55+AF20*'Soil-errosion1'!AF55)</f>
        <v/>
      </c>
      <c r="AR20" s="421" t="str">
        <f>IF('Soil-errosion1'!K21=0,"",K20*'Soil-errosion1'!K55+V20*'Soil-errosion1'!V55+AG20*'Soil-errosion1'!AG55)</f>
        <v/>
      </c>
      <c r="AS20" s="421" t="str">
        <f>IF('Soil-errosion1'!L21=0,"",L20*'Soil-errosion1'!L55+W20*'Soil-errosion1'!W55+AH20*'Soil-errosion1'!AH55)</f>
        <v/>
      </c>
      <c r="AT20" s="596" t="str">
        <f>IF('Soil-loss-in-abundoned lands'!C19=0,"",C20*'Soil-loss-in-abundoned lands'!D19+N20*'Soil-loss-in-abundoned lands'!E19+Y20*'Soil-loss-in-abundoned lands'!F19)</f>
        <v/>
      </c>
      <c r="AU20" s="30" t="e">
        <f>SUMPRODUCT('Area&amp;production data'!F21:O21,'Percent-Soil-Carbon-Content'!AJ20:AS20)/SUM('Area&amp;production data'!F21:O21)</f>
        <v>#DIV/0!</v>
      </c>
    </row>
    <row r="21" spans="1:47" x14ac:dyDescent="0.25">
      <c r="A21" s="13">
        <v>18</v>
      </c>
      <c r="B21" s="13" t="s">
        <v>156</v>
      </c>
      <c r="C21" s="699"/>
      <c r="D21" s="699"/>
      <c r="E21" s="699"/>
      <c r="F21" s="699"/>
      <c r="G21" s="699"/>
      <c r="H21" s="699"/>
      <c r="I21" s="699"/>
      <c r="J21" s="699"/>
      <c r="K21" s="699"/>
      <c r="L21" s="699"/>
      <c r="M21" s="700"/>
      <c r="N21" s="699"/>
      <c r="O21" s="699"/>
      <c r="P21" s="699"/>
      <c r="Q21" s="699"/>
      <c r="R21" s="699"/>
      <c r="S21" s="699"/>
      <c r="T21" s="699"/>
      <c r="U21" s="699"/>
      <c r="V21" s="699"/>
      <c r="W21" s="699"/>
      <c r="X21" s="699"/>
      <c r="Y21" s="699"/>
      <c r="Z21" s="699"/>
      <c r="AA21" s="699"/>
      <c r="AB21" s="699"/>
      <c r="AC21" s="699"/>
      <c r="AD21" s="699"/>
      <c r="AE21" s="699"/>
      <c r="AF21" s="699"/>
      <c r="AG21" s="699"/>
      <c r="AH21" s="699"/>
      <c r="AI21" s="699"/>
      <c r="AJ21" s="421" t="str">
        <f>IF('Soil-errosion1'!C22=0,"",C21*'Soil-errosion1'!C56+N21*'Soil-errosion1'!N56+Y21*'Soil-errosion1'!Y56)</f>
        <v/>
      </c>
      <c r="AK21" s="421" t="str">
        <f>IF('Soil-errosion1'!D22=0,"",D21*'Soil-errosion1'!D56+O21*'Soil-errosion1'!O56+Z21*'Soil-errosion1'!Z56)</f>
        <v/>
      </c>
      <c r="AL21" s="421" t="str">
        <f>IF('Soil-errosion1'!E22=0,"",E21*'Soil-errosion1'!E56+P21*'Soil-errosion1'!P56+AA21*'Soil-errosion1'!AA56)</f>
        <v/>
      </c>
      <c r="AM21" s="421" t="str">
        <f>IF('Soil-errosion1'!F22=0,"",F21*'Soil-errosion1'!F56+Q21*'Soil-errosion1'!Q56+AB21*'Soil-errosion1'!AB56)</f>
        <v/>
      </c>
      <c r="AN21" s="421" t="str">
        <f>IF('Soil-errosion1'!G22=0,"",G21*'Soil-errosion1'!G56+R21*'Soil-errosion1'!R56+AC21*'Soil-errosion1'!AC56)</f>
        <v/>
      </c>
      <c r="AO21" s="421" t="str">
        <f>IF('Soil-errosion1'!H22=0,"",H21*'Soil-errosion1'!H56+S21*'Soil-errosion1'!S56+AD21*'Soil-errosion1'!AD56)</f>
        <v/>
      </c>
      <c r="AP21" s="421" t="str">
        <f>IF('Soil-errosion1'!I22=0,"",I21*'Soil-errosion1'!I56+T21*'Soil-errosion1'!T56+AE21*'Soil-errosion1'!AE56)</f>
        <v/>
      </c>
      <c r="AQ21" s="421" t="str">
        <f>IF('Soil-errosion1'!J22=0,"",J21*'Soil-errosion1'!J56+U21*'Soil-errosion1'!U56+AF21*'Soil-errosion1'!AF56)</f>
        <v/>
      </c>
      <c r="AR21" s="421" t="str">
        <f>IF('Soil-errosion1'!K22=0,"",K21*'Soil-errosion1'!K56+V21*'Soil-errosion1'!V56+AG21*'Soil-errosion1'!AG56)</f>
        <v/>
      </c>
      <c r="AS21" s="421" t="str">
        <f>IF('Soil-errosion1'!L22=0,"",L21*'Soil-errosion1'!L56+W21*'Soil-errosion1'!W56+AH21*'Soil-errosion1'!AH56)</f>
        <v/>
      </c>
      <c r="AT21" s="596" t="str">
        <f>IF('Soil-loss-in-abundoned lands'!C20=0,"",C21*'Soil-loss-in-abundoned lands'!D20+N21*'Soil-loss-in-abundoned lands'!E20+Y21*'Soil-loss-in-abundoned lands'!F20)</f>
        <v/>
      </c>
      <c r="AU21" s="30" t="e">
        <f>SUMPRODUCT('Area&amp;production data'!F22:O22,'Percent-Soil-Carbon-Content'!AJ21:AS21)/SUM('Area&amp;production data'!F22:O22)</f>
        <v>#DIV/0!</v>
      </c>
    </row>
    <row r="22" spans="1:47" x14ac:dyDescent="0.25">
      <c r="A22" s="13">
        <v>19</v>
      </c>
      <c r="B22" s="13" t="s">
        <v>157</v>
      </c>
      <c r="C22" s="699"/>
      <c r="D22" s="699"/>
      <c r="E22" s="699"/>
      <c r="F22" s="699"/>
      <c r="G22" s="699"/>
      <c r="H22" s="699"/>
      <c r="I22" s="699"/>
      <c r="J22" s="699"/>
      <c r="K22" s="699"/>
      <c r="L22" s="699"/>
      <c r="M22" s="700"/>
      <c r="N22" s="699"/>
      <c r="O22" s="699"/>
      <c r="P22" s="699"/>
      <c r="Q22" s="699"/>
      <c r="R22" s="699"/>
      <c r="S22" s="699"/>
      <c r="T22" s="699"/>
      <c r="U22" s="699"/>
      <c r="V22" s="699"/>
      <c r="W22" s="699"/>
      <c r="X22" s="699"/>
      <c r="Y22" s="699"/>
      <c r="Z22" s="699"/>
      <c r="AA22" s="699"/>
      <c r="AB22" s="699"/>
      <c r="AC22" s="699"/>
      <c r="AD22" s="699"/>
      <c r="AE22" s="699"/>
      <c r="AF22" s="699"/>
      <c r="AG22" s="699"/>
      <c r="AH22" s="699"/>
      <c r="AI22" s="699"/>
      <c r="AJ22" s="421" t="str">
        <f>IF('Soil-errosion1'!C23=0,"",C22*'Soil-errosion1'!C57+N22*'Soil-errosion1'!N57+Y22*'Soil-errosion1'!Y57)</f>
        <v/>
      </c>
      <c r="AK22" s="421" t="str">
        <f>IF('Soil-errosion1'!D23=0,"",D22*'Soil-errosion1'!D57+O22*'Soil-errosion1'!O57+Z22*'Soil-errosion1'!Z57)</f>
        <v/>
      </c>
      <c r="AL22" s="421" t="str">
        <f>IF('Soil-errosion1'!E23=0,"",E22*'Soil-errosion1'!E57+P22*'Soil-errosion1'!P57+AA22*'Soil-errosion1'!AA57)</f>
        <v/>
      </c>
      <c r="AM22" s="421" t="str">
        <f>IF('Soil-errosion1'!F23=0,"",F22*'Soil-errosion1'!F57+Q22*'Soil-errosion1'!Q57+AB22*'Soil-errosion1'!AB57)</f>
        <v/>
      </c>
      <c r="AN22" s="421" t="str">
        <f>IF('Soil-errosion1'!G23=0,"",G22*'Soil-errosion1'!G57+R22*'Soil-errosion1'!R57+AC22*'Soil-errosion1'!AC57)</f>
        <v/>
      </c>
      <c r="AO22" s="421" t="str">
        <f>IF('Soil-errosion1'!H23=0,"",H22*'Soil-errosion1'!H57+S22*'Soil-errosion1'!S57+AD22*'Soil-errosion1'!AD57)</f>
        <v/>
      </c>
      <c r="AP22" s="421" t="str">
        <f>IF('Soil-errosion1'!I23=0,"",I22*'Soil-errosion1'!I57+T22*'Soil-errosion1'!T57+AE22*'Soil-errosion1'!AE57)</f>
        <v/>
      </c>
      <c r="AQ22" s="421" t="str">
        <f>IF('Soil-errosion1'!J23=0,"",J22*'Soil-errosion1'!J57+U22*'Soil-errosion1'!U57+AF22*'Soil-errosion1'!AF57)</f>
        <v/>
      </c>
      <c r="AR22" s="421" t="str">
        <f>IF('Soil-errosion1'!K23=0,"",K22*'Soil-errosion1'!K57+V22*'Soil-errosion1'!V57+AG22*'Soil-errosion1'!AG57)</f>
        <v/>
      </c>
      <c r="AS22" s="421" t="str">
        <f>IF('Soil-errosion1'!L23=0,"",L22*'Soil-errosion1'!L57+W22*'Soil-errosion1'!W57+AH22*'Soil-errosion1'!AH57)</f>
        <v/>
      </c>
      <c r="AT22" s="596" t="str">
        <f>IF('Soil-loss-in-abundoned lands'!C21=0,"",C22*'Soil-loss-in-abundoned lands'!D21+N22*'Soil-loss-in-abundoned lands'!E21+Y22*'Soil-loss-in-abundoned lands'!F21)</f>
        <v/>
      </c>
      <c r="AU22" s="30" t="e">
        <f>SUMPRODUCT('Area&amp;production data'!F23:O23,'Percent-Soil-Carbon-Content'!AJ22:AS22)/SUM('Area&amp;production data'!F23:O23)</f>
        <v>#DIV/0!</v>
      </c>
    </row>
    <row r="23" spans="1:47" x14ac:dyDescent="0.25">
      <c r="A23" s="13">
        <v>20</v>
      </c>
      <c r="B23" s="13" t="s">
        <v>158</v>
      </c>
      <c r="C23" s="699"/>
      <c r="D23" s="699"/>
      <c r="E23" s="699"/>
      <c r="F23" s="699"/>
      <c r="G23" s="699"/>
      <c r="H23" s="699"/>
      <c r="I23" s="699"/>
      <c r="J23" s="699"/>
      <c r="K23" s="699"/>
      <c r="L23" s="699"/>
      <c r="M23" s="700"/>
      <c r="N23" s="699"/>
      <c r="O23" s="699"/>
      <c r="P23" s="699"/>
      <c r="Q23" s="699"/>
      <c r="R23" s="699"/>
      <c r="S23" s="699"/>
      <c r="T23" s="699"/>
      <c r="U23" s="699"/>
      <c r="V23" s="699"/>
      <c r="W23" s="699"/>
      <c r="X23" s="699"/>
      <c r="Y23" s="699"/>
      <c r="Z23" s="699"/>
      <c r="AA23" s="699"/>
      <c r="AB23" s="699"/>
      <c r="AC23" s="699"/>
      <c r="AD23" s="699"/>
      <c r="AE23" s="699"/>
      <c r="AF23" s="699"/>
      <c r="AG23" s="699"/>
      <c r="AH23" s="699"/>
      <c r="AI23" s="699"/>
      <c r="AJ23" s="421" t="str">
        <f>IF('Soil-errosion1'!C24=0,"",C23*'Soil-errosion1'!C58+N23*'Soil-errosion1'!N58+Y23*'Soil-errosion1'!Y58)</f>
        <v/>
      </c>
      <c r="AK23" s="421" t="str">
        <f>IF('Soil-errosion1'!D24=0,"",D23*'Soil-errosion1'!D58+O23*'Soil-errosion1'!O58+Z23*'Soil-errosion1'!Z58)</f>
        <v/>
      </c>
      <c r="AL23" s="421" t="str">
        <f>IF('Soil-errosion1'!E24=0,"",E23*'Soil-errosion1'!E58+P23*'Soil-errosion1'!P58+AA23*'Soil-errosion1'!AA58)</f>
        <v/>
      </c>
      <c r="AM23" s="421" t="str">
        <f>IF('Soil-errosion1'!F24=0,"",F23*'Soil-errosion1'!F58+Q23*'Soil-errosion1'!Q58+AB23*'Soil-errosion1'!AB58)</f>
        <v/>
      </c>
      <c r="AN23" s="421" t="str">
        <f>IF('Soil-errosion1'!G24=0,"",G23*'Soil-errosion1'!G58+R23*'Soil-errosion1'!R58+AC23*'Soil-errosion1'!AC58)</f>
        <v/>
      </c>
      <c r="AO23" s="421" t="str">
        <f>IF('Soil-errosion1'!H24=0,"",H23*'Soil-errosion1'!H58+S23*'Soil-errosion1'!S58+AD23*'Soil-errosion1'!AD58)</f>
        <v/>
      </c>
      <c r="AP23" s="421" t="str">
        <f>IF('Soil-errosion1'!I24=0,"",I23*'Soil-errosion1'!I58+T23*'Soil-errosion1'!T58+AE23*'Soil-errosion1'!AE58)</f>
        <v/>
      </c>
      <c r="AQ23" s="421" t="str">
        <f>IF('Soil-errosion1'!J24=0,"",J23*'Soil-errosion1'!J58+U23*'Soil-errosion1'!U58+AF23*'Soil-errosion1'!AF58)</f>
        <v/>
      </c>
      <c r="AR23" s="421" t="str">
        <f>IF('Soil-errosion1'!K24=0,"",K23*'Soil-errosion1'!K58+V23*'Soil-errosion1'!V58+AG23*'Soil-errosion1'!AG58)</f>
        <v/>
      </c>
      <c r="AS23" s="421" t="str">
        <f>IF('Soil-errosion1'!L24=0,"",L23*'Soil-errosion1'!L58+W23*'Soil-errosion1'!W58+AH23*'Soil-errosion1'!AH58)</f>
        <v/>
      </c>
      <c r="AT23" s="596" t="str">
        <f>IF('Soil-loss-in-abundoned lands'!C22=0,"",C23*'Soil-loss-in-abundoned lands'!D22+N23*'Soil-loss-in-abundoned lands'!E22+Y23*'Soil-loss-in-abundoned lands'!F22)</f>
        <v/>
      </c>
      <c r="AU23" s="30" t="e">
        <f>SUMPRODUCT('Area&amp;production data'!F24:O24,'Percent-Soil-Carbon-Content'!AJ23:AS23)/SUM('Area&amp;production data'!F24:O24)</f>
        <v>#DIV/0!</v>
      </c>
    </row>
    <row r="24" spans="1:47" ht="13.9" customHeight="1" x14ac:dyDescent="0.25">
      <c r="A24" s="13">
        <v>21</v>
      </c>
      <c r="B24" s="13" t="s">
        <v>159</v>
      </c>
      <c r="C24" s="699"/>
      <c r="D24" s="699"/>
      <c r="E24" s="699"/>
      <c r="F24" s="699"/>
      <c r="G24" s="699"/>
      <c r="H24" s="699"/>
      <c r="I24" s="699"/>
      <c r="J24" s="699"/>
      <c r="K24" s="699"/>
      <c r="L24" s="699"/>
      <c r="M24" s="700"/>
      <c r="N24" s="699"/>
      <c r="O24" s="699"/>
      <c r="P24" s="699"/>
      <c r="Q24" s="699"/>
      <c r="R24" s="699"/>
      <c r="S24" s="699"/>
      <c r="T24" s="699"/>
      <c r="U24" s="699"/>
      <c r="V24" s="699"/>
      <c r="W24" s="699"/>
      <c r="X24" s="699"/>
      <c r="Y24" s="699"/>
      <c r="Z24" s="699"/>
      <c r="AA24" s="699"/>
      <c r="AB24" s="699"/>
      <c r="AC24" s="699"/>
      <c r="AD24" s="699"/>
      <c r="AE24" s="699"/>
      <c r="AF24" s="699"/>
      <c r="AG24" s="699"/>
      <c r="AH24" s="699"/>
      <c r="AI24" s="699"/>
      <c r="AJ24" s="421" t="str">
        <f>IF('Soil-errosion1'!C25=0,"",C24*'Soil-errosion1'!C59+N24*'Soil-errosion1'!N59+Y24*'Soil-errosion1'!Y59)</f>
        <v/>
      </c>
      <c r="AK24" s="421" t="str">
        <f>IF('Soil-errosion1'!D25=0,"",D24*'Soil-errosion1'!D59+O24*'Soil-errosion1'!O59+Z24*'Soil-errosion1'!Z59)</f>
        <v/>
      </c>
      <c r="AL24" s="421" t="str">
        <f>IF('Soil-errosion1'!E25=0,"",E24*'Soil-errosion1'!E59+P24*'Soil-errosion1'!P59+AA24*'Soil-errosion1'!AA59)</f>
        <v/>
      </c>
      <c r="AM24" s="421" t="str">
        <f>IF('Soil-errosion1'!F25=0,"",F24*'Soil-errosion1'!F59+Q24*'Soil-errosion1'!Q59+AB24*'Soil-errosion1'!AB59)</f>
        <v/>
      </c>
      <c r="AN24" s="421" t="str">
        <f>IF('Soil-errosion1'!G25=0,"",G24*'Soil-errosion1'!G59+R24*'Soil-errosion1'!R59+AC24*'Soil-errosion1'!AC59)</f>
        <v/>
      </c>
      <c r="AO24" s="421" t="str">
        <f>IF('Soil-errosion1'!H25=0,"",H24*'Soil-errosion1'!H59+S24*'Soil-errosion1'!S59+AD24*'Soil-errosion1'!AD59)</f>
        <v/>
      </c>
      <c r="AP24" s="421" t="str">
        <f>IF('Soil-errosion1'!I25=0,"",I24*'Soil-errosion1'!I59+T24*'Soil-errosion1'!T59+AE24*'Soil-errosion1'!AE59)</f>
        <v/>
      </c>
      <c r="AQ24" s="421" t="str">
        <f>IF('Soil-errosion1'!J25=0,"",J24*'Soil-errosion1'!J59+U24*'Soil-errosion1'!U59+AF24*'Soil-errosion1'!AF59)</f>
        <v/>
      </c>
      <c r="AR24" s="421" t="str">
        <f>IF('Soil-errosion1'!K25=0,"",K24*'Soil-errosion1'!K59+V24*'Soil-errosion1'!V59+AG24*'Soil-errosion1'!AG59)</f>
        <v/>
      </c>
      <c r="AS24" s="421" t="str">
        <f>IF('Soil-errosion1'!L25=0,"",L24*'Soil-errosion1'!L59+W24*'Soil-errosion1'!W59+AH24*'Soil-errosion1'!AH59)</f>
        <v/>
      </c>
      <c r="AT24" s="596" t="str">
        <f>IF('Soil-loss-in-abundoned lands'!C23=0,"",C24*'Soil-loss-in-abundoned lands'!D23+N24*'Soil-loss-in-abundoned lands'!E23+Y24*'Soil-loss-in-abundoned lands'!F23)</f>
        <v/>
      </c>
      <c r="AU24" s="30" t="e">
        <f>SUMPRODUCT('Area&amp;production data'!F25:O25,'Percent-Soil-Carbon-Content'!AJ24:AS24)/SUM('Area&amp;production data'!F25:O25)</f>
        <v>#DIV/0!</v>
      </c>
    </row>
    <row r="25" spans="1:47" x14ac:dyDescent="0.25">
      <c r="A25" s="13">
        <v>22</v>
      </c>
      <c r="B25" s="13" t="s">
        <v>160</v>
      </c>
      <c r="C25" s="699"/>
      <c r="D25" s="699"/>
      <c r="E25" s="699"/>
      <c r="F25" s="699"/>
      <c r="G25" s="699"/>
      <c r="H25" s="699"/>
      <c r="I25" s="699"/>
      <c r="J25" s="699"/>
      <c r="K25" s="699"/>
      <c r="L25" s="699"/>
      <c r="M25" s="700"/>
      <c r="N25" s="699"/>
      <c r="O25" s="699"/>
      <c r="P25" s="699"/>
      <c r="Q25" s="699"/>
      <c r="R25" s="699"/>
      <c r="S25" s="699"/>
      <c r="T25" s="699"/>
      <c r="U25" s="699"/>
      <c r="V25" s="699"/>
      <c r="W25" s="699"/>
      <c r="X25" s="699"/>
      <c r="Y25" s="699"/>
      <c r="Z25" s="699"/>
      <c r="AA25" s="699"/>
      <c r="AB25" s="699"/>
      <c r="AC25" s="699"/>
      <c r="AD25" s="699"/>
      <c r="AE25" s="699"/>
      <c r="AF25" s="699"/>
      <c r="AG25" s="699"/>
      <c r="AH25" s="699"/>
      <c r="AI25" s="699"/>
      <c r="AJ25" s="421" t="str">
        <f>IF('Soil-errosion1'!C26=0,"",C25*'Soil-errosion1'!C60+N25*'Soil-errosion1'!N60+Y25*'Soil-errosion1'!Y60)</f>
        <v/>
      </c>
      <c r="AK25" s="421" t="str">
        <f>IF('Soil-errosion1'!D26=0,"",D25*'Soil-errosion1'!D60+O25*'Soil-errosion1'!O60+Z25*'Soil-errosion1'!Z60)</f>
        <v/>
      </c>
      <c r="AL25" s="421" t="str">
        <f>IF('Soil-errosion1'!E26=0,"",E25*'Soil-errosion1'!E60+P25*'Soil-errosion1'!P60+AA25*'Soil-errosion1'!AA60)</f>
        <v/>
      </c>
      <c r="AM25" s="421" t="str">
        <f>IF('Soil-errosion1'!F26=0,"",F25*'Soil-errosion1'!F60+Q25*'Soil-errosion1'!Q60+AB25*'Soil-errosion1'!AB60)</f>
        <v/>
      </c>
      <c r="AN25" s="421" t="str">
        <f>IF('Soil-errosion1'!G26=0,"",G25*'Soil-errosion1'!G60+R25*'Soil-errosion1'!R60+AC25*'Soil-errosion1'!AC60)</f>
        <v/>
      </c>
      <c r="AO25" s="421" t="str">
        <f>IF('Soil-errosion1'!H26=0,"",H25*'Soil-errosion1'!H60+S25*'Soil-errosion1'!S60+AD25*'Soil-errosion1'!AD60)</f>
        <v/>
      </c>
      <c r="AP25" s="421" t="str">
        <f>IF('Soil-errosion1'!I26=0,"",I25*'Soil-errosion1'!I60+T25*'Soil-errosion1'!T60+AE25*'Soil-errosion1'!AE60)</f>
        <v/>
      </c>
      <c r="AQ25" s="421" t="str">
        <f>IF('Soil-errosion1'!J26=0,"",J25*'Soil-errosion1'!J60+U25*'Soil-errosion1'!U60+AF25*'Soil-errosion1'!AF60)</f>
        <v/>
      </c>
      <c r="AR25" s="421" t="str">
        <f>IF('Soil-errosion1'!K26=0,"",K25*'Soil-errosion1'!K60+V25*'Soil-errosion1'!V60+AG25*'Soil-errosion1'!AG60)</f>
        <v/>
      </c>
      <c r="AS25" s="421" t="str">
        <f>IF('Soil-errosion1'!L26=0,"",L25*'Soil-errosion1'!L60+W25*'Soil-errosion1'!W60+AH25*'Soil-errosion1'!AH60)</f>
        <v/>
      </c>
      <c r="AT25" s="596" t="str">
        <f>IF('Soil-loss-in-abundoned lands'!C24=0,"",C25*'Soil-loss-in-abundoned lands'!D24+N25*'Soil-loss-in-abundoned lands'!E24+Y25*'Soil-loss-in-abundoned lands'!F24)</f>
        <v/>
      </c>
      <c r="AU25" s="30" t="e">
        <f>SUMPRODUCT('Area&amp;production data'!F26:O26,'Percent-Soil-Carbon-Content'!AJ25:AS25)/SUM('Area&amp;production data'!F26:O26)</f>
        <v>#DIV/0!</v>
      </c>
    </row>
    <row r="26" spans="1:47" x14ac:dyDescent="0.25">
      <c r="A26" s="13">
        <v>23</v>
      </c>
      <c r="B26" s="13" t="s">
        <v>161</v>
      </c>
      <c r="C26" s="699"/>
      <c r="D26" s="699"/>
      <c r="E26" s="699"/>
      <c r="F26" s="699"/>
      <c r="G26" s="699"/>
      <c r="H26" s="699"/>
      <c r="I26" s="699"/>
      <c r="J26" s="699"/>
      <c r="K26" s="699"/>
      <c r="L26" s="699"/>
      <c r="M26" s="700"/>
      <c r="N26" s="699"/>
      <c r="O26" s="699"/>
      <c r="P26" s="699"/>
      <c r="Q26" s="699"/>
      <c r="R26" s="699"/>
      <c r="S26" s="699"/>
      <c r="T26" s="699"/>
      <c r="U26" s="699"/>
      <c r="V26" s="699"/>
      <c r="W26" s="699"/>
      <c r="X26" s="699"/>
      <c r="Y26" s="699"/>
      <c r="Z26" s="699"/>
      <c r="AA26" s="699"/>
      <c r="AB26" s="699"/>
      <c r="AC26" s="699"/>
      <c r="AD26" s="699"/>
      <c r="AE26" s="699"/>
      <c r="AF26" s="699"/>
      <c r="AG26" s="699"/>
      <c r="AH26" s="699"/>
      <c r="AI26" s="699"/>
      <c r="AJ26" s="421" t="str">
        <f>IF('Soil-errosion1'!C27=0,"",C26*'Soil-errosion1'!C61+N26*'Soil-errosion1'!N61+Y26*'Soil-errosion1'!Y61)</f>
        <v/>
      </c>
      <c r="AK26" s="421" t="str">
        <f>IF('Soil-errosion1'!D27=0,"",D26*'Soil-errosion1'!D61+O26*'Soil-errosion1'!O61+Z26*'Soil-errosion1'!Z61)</f>
        <v/>
      </c>
      <c r="AL26" s="421" t="str">
        <f>IF('Soil-errosion1'!E27=0,"",E26*'Soil-errosion1'!E61+P26*'Soil-errosion1'!P61+AA26*'Soil-errosion1'!AA61)</f>
        <v/>
      </c>
      <c r="AM26" s="421" t="str">
        <f>IF('Soil-errosion1'!F27=0,"",F26*'Soil-errosion1'!F61+Q26*'Soil-errosion1'!Q61+AB26*'Soil-errosion1'!AB61)</f>
        <v/>
      </c>
      <c r="AN26" s="421" t="str">
        <f>IF('Soil-errosion1'!G27=0,"",G26*'Soil-errosion1'!G61+R26*'Soil-errosion1'!R61+AC26*'Soil-errosion1'!AC61)</f>
        <v/>
      </c>
      <c r="AO26" s="421" t="str">
        <f>IF('Soil-errosion1'!H27=0,"",H26*'Soil-errosion1'!H61+S26*'Soil-errosion1'!S61+AD26*'Soil-errosion1'!AD61)</f>
        <v/>
      </c>
      <c r="AP26" s="421" t="str">
        <f>IF('Soil-errosion1'!I27=0,"",I26*'Soil-errosion1'!I61+T26*'Soil-errosion1'!T61+AE26*'Soil-errosion1'!AE61)</f>
        <v/>
      </c>
      <c r="AQ26" s="421" t="str">
        <f>IF('Soil-errosion1'!J27=0,"",J26*'Soil-errosion1'!J61+U26*'Soil-errosion1'!U61+AF26*'Soil-errosion1'!AF61)</f>
        <v/>
      </c>
      <c r="AR26" s="421" t="str">
        <f>IF('Soil-errosion1'!K27=0,"",K26*'Soil-errosion1'!K61+V26*'Soil-errosion1'!V61+AG26*'Soil-errosion1'!AG61)</f>
        <v/>
      </c>
      <c r="AS26" s="421" t="str">
        <f>IF('Soil-errosion1'!L27=0,"",L26*'Soil-errosion1'!L61+W26*'Soil-errosion1'!W61+AH26*'Soil-errosion1'!AH61)</f>
        <v/>
      </c>
      <c r="AT26" s="596" t="str">
        <f>IF('Soil-loss-in-abundoned lands'!C25=0,"",C26*'Soil-loss-in-abundoned lands'!D25+N26*'Soil-loss-in-abundoned lands'!E25+Y26*'Soil-loss-in-abundoned lands'!F25)</f>
        <v/>
      </c>
      <c r="AU26" s="30" t="e">
        <f>SUMPRODUCT('Area&amp;production data'!F27:O27,'Percent-Soil-Carbon-Content'!AJ26:AS26)/SUM('Area&amp;production data'!F27:O27)</f>
        <v>#DIV/0!</v>
      </c>
    </row>
    <row r="27" spans="1:47" x14ac:dyDescent="0.25">
      <c r="A27" s="13">
        <v>24</v>
      </c>
      <c r="B27" s="13" t="s">
        <v>162</v>
      </c>
      <c r="C27" s="699"/>
      <c r="D27" s="699"/>
      <c r="E27" s="699"/>
      <c r="F27" s="699"/>
      <c r="G27" s="699"/>
      <c r="H27" s="699"/>
      <c r="I27" s="699"/>
      <c r="J27" s="699"/>
      <c r="K27" s="699"/>
      <c r="L27" s="699"/>
      <c r="M27" s="700"/>
      <c r="N27" s="699"/>
      <c r="O27" s="699"/>
      <c r="P27" s="699"/>
      <c r="Q27" s="699"/>
      <c r="R27" s="699"/>
      <c r="S27" s="699"/>
      <c r="T27" s="699"/>
      <c r="U27" s="699"/>
      <c r="V27" s="699"/>
      <c r="W27" s="699"/>
      <c r="X27" s="699"/>
      <c r="Y27" s="699"/>
      <c r="Z27" s="699"/>
      <c r="AA27" s="699"/>
      <c r="AB27" s="699"/>
      <c r="AC27" s="699"/>
      <c r="AD27" s="699"/>
      <c r="AE27" s="699"/>
      <c r="AF27" s="699"/>
      <c r="AG27" s="699"/>
      <c r="AH27" s="699"/>
      <c r="AI27" s="699"/>
      <c r="AJ27" s="421" t="str">
        <f>IF('Soil-errosion1'!C28=0,"",C27*'Soil-errosion1'!C62+N27*'Soil-errosion1'!N62+Y27*'Soil-errosion1'!Y62)</f>
        <v/>
      </c>
      <c r="AK27" s="421" t="str">
        <f>IF('Soil-errosion1'!D28=0,"",D27*'Soil-errosion1'!D62+O27*'Soil-errosion1'!O62+Z27*'Soil-errosion1'!Z62)</f>
        <v/>
      </c>
      <c r="AL27" s="421" t="str">
        <f>IF('Soil-errosion1'!E28=0,"",E27*'Soil-errosion1'!E62+P27*'Soil-errosion1'!P62+AA27*'Soil-errosion1'!AA62)</f>
        <v/>
      </c>
      <c r="AM27" s="421" t="str">
        <f>IF('Soil-errosion1'!F28=0,"",F27*'Soil-errosion1'!F62+Q27*'Soil-errosion1'!Q62+AB27*'Soil-errosion1'!AB62)</f>
        <v/>
      </c>
      <c r="AN27" s="421" t="str">
        <f>IF('Soil-errosion1'!G28=0,"",G27*'Soil-errosion1'!G62+R27*'Soil-errosion1'!R62+AC27*'Soil-errosion1'!AC62)</f>
        <v/>
      </c>
      <c r="AO27" s="421" t="str">
        <f>IF('Soil-errosion1'!H28=0,"",H27*'Soil-errosion1'!H62+S27*'Soil-errosion1'!S62+AD27*'Soil-errosion1'!AD62)</f>
        <v/>
      </c>
      <c r="AP27" s="421" t="str">
        <f>IF('Soil-errosion1'!I28=0,"",I27*'Soil-errosion1'!I62+T27*'Soil-errosion1'!T62+AE27*'Soil-errosion1'!AE62)</f>
        <v/>
      </c>
      <c r="AQ27" s="421" t="str">
        <f>IF('Soil-errosion1'!J28=0,"",J27*'Soil-errosion1'!J62+U27*'Soil-errosion1'!U62+AF27*'Soil-errosion1'!AF62)</f>
        <v/>
      </c>
      <c r="AR27" s="421" t="str">
        <f>IF('Soil-errosion1'!K28=0,"",K27*'Soil-errosion1'!K62+V27*'Soil-errosion1'!V62+AG27*'Soil-errosion1'!AG62)</f>
        <v/>
      </c>
      <c r="AS27" s="421" t="str">
        <f>IF('Soil-errosion1'!L28=0,"",L27*'Soil-errosion1'!L62+W27*'Soil-errosion1'!W62+AH27*'Soil-errosion1'!AH62)</f>
        <v/>
      </c>
      <c r="AT27" s="596" t="str">
        <f>IF('Soil-loss-in-abundoned lands'!C26=0,"",C27*'Soil-loss-in-abundoned lands'!D26+N27*'Soil-loss-in-abundoned lands'!E26+Y27*'Soil-loss-in-abundoned lands'!F26)</f>
        <v/>
      </c>
      <c r="AU27" s="30" t="e">
        <f>SUMPRODUCT('Area&amp;production data'!F28:O28,'Percent-Soil-Carbon-Content'!AJ27:AS27)/SUM('Area&amp;production data'!F28:O28)</f>
        <v>#DIV/0!</v>
      </c>
    </row>
    <row r="28" spans="1:47" x14ac:dyDescent="0.25">
      <c r="A28" s="13"/>
      <c r="B28" s="15" t="s">
        <v>254</v>
      </c>
      <c r="C28" s="588" t="e">
        <f>SUMPRODUCT(C4:C27,'Soil-errosion1'!C5:C28)/'Soil-errosion1'!C29</f>
        <v>#DIV/0!</v>
      </c>
      <c r="D28" s="588" t="e">
        <f>SUMPRODUCT(D4:D27,'Soil-errosion1'!D5:D28)/'Soil-errosion1'!D29</f>
        <v>#DIV/0!</v>
      </c>
      <c r="E28" s="588" t="e">
        <f>SUMPRODUCT(E4:E27,'Soil-errosion1'!E5:E28)/'Soil-errosion1'!E29</f>
        <v>#DIV/0!</v>
      </c>
      <c r="F28" s="588" t="e">
        <f>SUMPRODUCT(F4:F27,'Soil-errosion1'!F5:F28)/'Soil-errosion1'!F29</f>
        <v>#DIV/0!</v>
      </c>
      <c r="G28" s="588" t="e">
        <f>SUMPRODUCT(G4:G27,'Soil-errosion1'!G5:G28)/'Soil-errosion1'!G29</f>
        <v>#DIV/0!</v>
      </c>
      <c r="H28" s="588" t="e">
        <f>SUMPRODUCT(H4:H27,'Soil-errosion1'!H5:H28)/'Soil-errosion1'!H29</f>
        <v>#DIV/0!</v>
      </c>
      <c r="I28" s="588" t="e">
        <f>SUMPRODUCT(I4:I27,'Soil-errosion1'!I5:I28)/'Soil-errosion1'!I29</f>
        <v>#DIV/0!</v>
      </c>
      <c r="J28" s="588" t="e">
        <f>SUMPRODUCT(J4:J27,'Soil-errosion1'!J5:J28)/'Soil-errosion1'!J29</f>
        <v>#DIV/0!</v>
      </c>
      <c r="K28" s="588" t="e">
        <f>SUMPRODUCT(K4:K27,'Soil-errosion1'!K5:K28)/'Soil-errosion1'!K29</f>
        <v>#DIV/0!</v>
      </c>
      <c r="L28" s="588" t="e">
        <f>SUMPRODUCT(L4:L27,'Soil-errosion1'!L5:L28)/'Soil-errosion1'!L29</f>
        <v>#DIV/0!</v>
      </c>
      <c r="M28" s="588" t="e">
        <f>SUMPRODUCT(M4:M27,'Soil-errosion1'!M5:M28)/'Soil-errosion1'!M29</f>
        <v>#DIV/0!</v>
      </c>
      <c r="N28" s="495" t="e">
        <f>SUMPRODUCT(N4:N27,'Soil-errosion1'!C5:C28)/'Soil-errosion1'!C29</f>
        <v>#DIV/0!</v>
      </c>
      <c r="O28" s="495" t="e">
        <f>SUMPRODUCT(O4:O27,'Soil-errosion1'!D5:D28)/'Soil-errosion1'!D29</f>
        <v>#DIV/0!</v>
      </c>
      <c r="P28" s="495" t="e">
        <f>SUMPRODUCT(P4:P27,'Soil-errosion1'!E5:E28)/'Soil-errosion1'!E29</f>
        <v>#DIV/0!</v>
      </c>
      <c r="Q28" s="495" t="e">
        <f>SUMPRODUCT(Q4:Q27,'Soil-errosion1'!F5:F28)/'Soil-errosion1'!F29</f>
        <v>#DIV/0!</v>
      </c>
      <c r="R28" s="495" t="e">
        <f>SUMPRODUCT(R4:R27,'Soil-errosion1'!G5:G28)/'Soil-errosion1'!G29</f>
        <v>#DIV/0!</v>
      </c>
      <c r="S28" s="495" t="e">
        <f>SUMPRODUCT(S4:S27,'Soil-errosion1'!H5:H28)/'Soil-errosion1'!H29</f>
        <v>#DIV/0!</v>
      </c>
      <c r="T28" s="495" t="e">
        <f>SUMPRODUCT(T4:T27,'Soil-errosion1'!I5:I28)/'Soil-errosion1'!I29</f>
        <v>#DIV/0!</v>
      </c>
      <c r="U28" s="495" t="e">
        <f>SUMPRODUCT(U4:U27,'Soil-errosion1'!J5:J28)/'Soil-errosion1'!J29</f>
        <v>#DIV/0!</v>
      </c>
      <c r="V28" s="495" t="e">
        <f>SUMPRODUCT(V4:V27,'Soil-errosion1'!K5:K28)/'Soil-errosion1'!K29</f>
        <v>#DIV/0!</v>
      </c>
      <c r="W28" s="495" t="e">
        <f>SUMPRODUCT(W4:W27,'Soil-errosion1'!L5:L28)/'Soil-errosion1'!L29</f>
        <v>#DIV/0!</v>
      </c>
      <c r="X28" s="495" t="e">
        <f>SUMPRODUCT(X4:X27,'Soil-errosion1'!M5:M28)/'Soil-errosion1'!M29</f>
        <v>#DIV/0!</v>
      </c>
      <c r="Y28" s="495" t="e">
        <f>SUMPRODUCT(Y4:Y27,'Soil-errosion1'!C5:C28)/'Soil-errosion1'!C29</f>
        <v>#DIV/0!</v>
      </c>
      <c r="Z28" s="495" t="e">
        <f>SUMPRODUCT(Z4:Z27,'Soil-errosion1'!D5:D28)/'Soil-errosion1'!D29</f>
        <v>#DIV/0!</v>
      </c>
      <c r="AA28" s="495" t="e">
        <f>SUMPRODUCT(AA4:AA27,'Soil-errosion1'!E5:E28)/'Soil-errosion1'!E29</f>
        <v>#DIV/0!</v>
      </c>
      <c r="AB28" s="495" t="e">
        <f>SUMPRODUCT(AB4:AB27,'Soil-errosion1'!F5:F28)/'Soil-errosion1'!F29</f>
        <v>#DIV/0!</v>
      </c>
      <c r="AC28" s="495" t="e">
        <f>SUMPRODUCT(AC4:AC27,'Soil-errosion1'!G5:G28)/'Soil-errosion1'!G29</f>
        <v>#DIV/0!</v>
      </c>
      <c r="AD28" s="495" t="e">
        <f>SUMPRODUCT(AD4:AD27,'Soil-errosion1'!H5:H28)/'Soil-errosion1'!H29</f>
        <v>#DIV/0!</v>
      </c>
      <c r="AE28" s="495" t="e">
        <f>SUMPRODUCT(AE4:AE27,'Soil-errosion1'!I5:I28)/'Soil-errosion1'!I29</f>
        <v>#DIV/0!</v>
      </c>
      <c r="AF28" s="495" t="e">
        <f>SUMPRODUCT(AF4:AF27,'Soil-errosion1'!J5:J28)/'Soil-errosion1'!J29</f>
        <v>#DIV/0!</v>
      </c>
      <c r="AG28" s="495" t="e">
        <f>SUMPRODUCT(AG4:AG27,'Soil-errosion1'!K5:K28)/'Soil-errosion1'!K29</f>
        <v>#DIV/0!</v>
      </c>
      <c r="AH28" s="495" t="e">
        <f>SUMPRODUCT(AH4:AH27,'Soil-errosion1'!L5:L28)/'Soil-errosion1'!L29</f>
        <v>#DIV/0!</v>
      </c>
      <c r="AI28" s="495" t="e">
        <f>SUMPRODUCT(AI4:AI27,'Soil-errosion1'!M5:M28)/'Soil-errosion1'!M29</f>
        <v>#DIV/0!</v>
      </c>
      <c r="AJ28" s="42" t="e">
        <f>SUMPRODUCT(AJ4:AJ27,'Soil-errosion1'!C5:C28)/'Soil-errosion1'!C29</f>
        <v>#DIV/0!</v>
      </c>
      <c r="AK28" s="42" t="e">
        <f>SUMPRODUCT(AK4:AK27,'Soil-errosion1'!D5:D28)/'Soil-errosion1'!D29</f>
        <v>#DIV/0!</v>
      </c>
      <c r="AL28" s="42" t="e">
        <f>SUMPRODUCT(AL4:AL27,'Soil-errosion1'!E5:E28)/'Soil-errosion1'!E29</f>
        <v>#DIV/0!</v>
      </c>
      <c r="AM28" s="42" t="e">
        <f>SUMPRODUCT(AM4:AM27,'Soil-errosion1'!F5:F28)/'Soil-errosion1'!F29</f>
        <v>#DIV/0!</v>
      </c>
      <c r="AN28" s="42" t="e">
        <f>SUMPRODUCT(AN4:AN27,'Soil-errosion1'!G5:G28)/'Soil-errosion1'!G29</f>
        <v>#DIV/0!</v>
      </c>
      <c r="AO28" s="42" t="e">
        <f>SUMPRODUCT(AO4:AO27,'Soil-errosion1'!H5:H28)/'Soil-errosion1'!H29</f>
        <v>#DIV/0!</v>
      </c>
      <c r="AP28" s="42" t="e">
        <f>SUMPRODUCT(AP4:AP27,'Soil-errosion1'!I5:I28)/'Soil-errosion1'!I29</f>
        <v>#DIV/0!</v>
      </c>
      <c r="AQ28" s="42" t="e">
        <f>SUMPRODUCT(AQ4:AQ27,'Soil-errosion1'!J5:J28)/'Soil-errosion1'!J29</f>
        <v>#DIV/0!</v>
      </c>
      <c r="AR28" s="42" t="e">
        <f>SUMPRODUCT(AR4:AR27,'Soil-errosion1'!K5:K28)/'Soil-errosion1'!K29</f>
        <v>#DIV/0!</v>
      </c>
      <c r="AS28" s="42" t="e">
        <f>SUMPRODUCT(AS4:AS27,'Soil-errosion1'!L5:L28)/'Soil-errosion1'!L29</f>
        <v>#DIV/0!</v>
      </c>
      <c r="AT28" s="42" t="e">
        <f>SUMPRODUCT(AT4:AT27,'Soil-loss-in-abundoned lands'!C3:C26)/'Soil-loss-in-abundoned lands'!C27</f>
        <v>#DIV/0!</v>
      </c>
      <c r="AU28" s="68" t="e">
        <f>SUMPRODUCT('Area&amp;production data'!F29:O29,'Percent-Soil-Carbon-Content'!AJ28:AS28)/SUM('Area&amp;production data'!F29:O29)</f>
        <v>#DIV/0!</v>
      </c>
    </row>
    <row r="30" spans="1:47" x14ac:dyDescent="0.25">
      <c r="A30" s="59"/>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30">
        <f>MAX(C4:AI27)</f>
        <v>0</v>
      </c>
      <c r="AI30" s="52"/>
      <c r="AJ30" s="52"/>
      <c r="AK30" s="52"/>
      <c r="AL30" s="52"/>
      <c r="AM30" s="52"/>
      <c r="AN30" s="52"/>
      <c r="AO30" s="52"/>
      <c r="AP30" s="52"/>
      <c r="AQ30" s="52"/>
      <c r="AR30" s="52"/>
      <c r="AS30" s="52"/>
      <c r="AT30" s="52"/>
    </row>
  </sheetData>
  <mergeCells count="6">
    <mergeCell ref="AJ2:AT2"/>
    <mergeCell ref="A2:A3"/>
    <mergeCell ref="B2:B3"/>
    <mergeCell ref="C2:M2"/>
    <mergeCell ref="N2:X2"/>
    <mergeCell ref="Y2:AI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56134-7BBE-4896-802A-9D210FD85638}">
  <dimension ref="A1:AO226"/>
  <sheetViews>
    <sheetView topLeftCell="A211" workbookViewId="0">
      <selection activeCell="F61" sqref="F61"/>
    </sheetView>
  </sheetViews>
  <sheetFormatPr defaultRowHeight="15" x14ac:dyDescent="0.25"/>
  <cols>
    <col min="1" max="1" width="14.5703125" bestFit="1" customWidth="1"/>
    <col min="2" max="2" width="25.5703125" customWidth="1"/>
    <col min="3" max="3" width="27.42578125" customWidth="1"/>
    <col min="4" max="4" width="21.140625" customWidth="1"/>
    <col min="5" max="5" width="23.140625" customWidth="1"/>
    <col min="6" max="6" width="28.140625" customWidth="1"/>
    <col min="7" max="7" width="19" customWidth="1"/>
    <col min="8" max="8" width="13.5703125" customWidth="1"/>
    <col min="9" max="9" width="12.140625" customWidth="1"/>
    <col min="10" max="10" width="25.85546875" customWidth="1"/>
    <col min="11" max="11" width="22.1406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13.5703125" customWidth="1"/>
    <col min="23" max="23" width="14.140625" bestFit="1" customWidth="1"/>
    <col min="24" max="24" width="22.42578125" customWidth="1"/>
    <col min="25" max="25" width="25.42578125" bestFit="1" customWidth="1"/>
    <col min="26" max="26" width="13.85546875" customWidth="1"/>
    <col min="27" max="27" width="16.5703125" bestFit="1" customWidth="1"/>
    <col min="28" max="28" width="17.42578125" customWidth="1"/>
    <col min="29" max="29" width="13.5703125" customWidth="1"/>
    <col min="30" max="30" width="16.5703125" customWidth="1"/>
    <col min="31" max="31" width="14" customWidth="1"/>
    <col min="32" max="32" width="14.85546875" customWidth="1"/>
    <col min="33" max="33" width="34" customWidth="1"/>
    <col min="34" max="34" width="16.85546875" customWidth="1"/>
    <col min="36" max="36" width="13.5703125" customWidth="1"/>
    <col min="37" max="37" width="10.5703125" customWidth="1"/>
    <col min="38" max="38" width="10.5703125" bestFit="1" customWidth="1"/>
  </cols>
  <sheetData>
    <row r="1" spans="1:33" ht="18.75" x14ac:dyDescent="0.3">
      <c r="A1" s="841" t="s">
        <v>255</v>
      </c>
      <c r="B1" s="841"/>
      <c r="C1" s="841"/>
      <c r="D1" s="841"/>
      <c r="E1" s="841"/>
      <c r="F1" s="12"/>
      <c r="G1" s="12"/>
      <c r="H1" s="58"/>
      <c r="J1" s="1" t="s">
        <v>256</v>
      </c>
      <c r="K1" s="445">
        <f>'Prices,exch.rates,harvest index'!M2</f>
        <v>2.8759999999999999</v>
      </c>
      <c r="L1" s="1" t="s">
        <v>257</v>
      </c>
      <c r="M1" s="1"/>
      <c r="N1" s="1" t="s">
        <v>258</v>
      </c>
      <c r="O1" s="446">
        <f>1/K1</f>
        <v>0.34770514603616137</v>
      </c>
      <c r="P1" t="s">
        <v>259</v>
      </c>
    </row>
    <row r="2" spans="1:33" x14ac:dyDescent="0.25">
      <c r="A2" s="3" t="s">
        <v>260</v>
      </c>
      <c r="B2" s="8" t="s">
        <v>261</v>
      </c>
      <c r="C2" s="8"/>
      <c r="D2" s="8"/>
      <c r="E2" s="4"/>
      <c r="G2" s="3"/>
      <c r="H2" s="3"/>
      <c r="J2" s="1" t="s">
        <v>262</v>
      </c>
      <c r="K2" s="24">
        <f>'Prices,exch.rates,harvest index'!M4</f>
        <v>134280440000</v>
      </c>
      <c r="L2" s="1" t="s">
        <v>257</v>
      </c>
      <c r="O2" s="446">
        <f>O1</f>
        <v>0.34770514603616137</v>
      </c>
    </row>
    <row r="3" spans="1:33" x14ac:dyDescent="0.25">
      <c r="A3" s="3"/>
      <c r="B3" s="10" t="s">
        <v>263</v>
      </c>
      <c r="C3" s="10"/>
      <c r="D3" s="10"/>
      <c r="E3" s="10"/>
      <c r="F3" s="1"/>
      <c r="G3" s="1"/>
      <c r="H3" s="1"/>
      <c r="I3" s="1"/>
      <c r="J3" s="1" t="s">
        <v>262</v>
      </c>
      <c r="K3" s="24">
        <f>K2/K1</f>
        <v>46690000000</v>
      </c>
      <c r="L3" s="1" t="s">
        <v>264</v>
      </c>
      <c r="M3" s="1"/>
      <c r="N3" s="1"/>
      <c r="O3" s="1"/>
      <c r="P3" s="1"/>
      <c r="Q3" s="1"/>
    </row>
    <row r="4" spans="1:33" x14ac:dyDescent="0.25">
      <c r="A4" s="3"/>
      <c r="B4" s="7" t="s">
        <v>265</v>
      </c>
      <c r="C4" s="62"/>
      <c r="D4" s="62"/>
      <c r="E4" s="62"/>
      <c r="F4" s="1"/>
      <c r="G4" s="1"/>
      <c r="H4" s="1"/>
      <c r="I4" s="1"/>
      <c r="J4" s="1"/>
      <c r="K4" s="1"/>
      <c r="L4" s="1"/>
      <c r="M4" s="1"/>
      <c r="N4" s="1"/>
      <c r="O4" s="1"/>
      <c r="P4" s="1"/>
      <c r="Q4" s="1"/>
    </row>
    <row r="5" spans="1:33" x14ac:dyDescent="0.25">
      <c r="A5" s="3"/>
      <c r="B5" s="183" t="s">
        <v>266</v>
      </c>
      <c r="C5" s="136"/>
      <c r="D5" s="136"/>
      <c r="E5" s="136"/>
      <c r="F5" s="1"/>
      <c r="G5" s="1"/>
      <c r="H5" s="1"/>
      <c r="I5" s="1"/>
      <c r="J5" s="1" t="s">
        <v>267</v>
      </c>
      <c r="K5" s="445">
        <f>'Prices,exch.rates,harvest index'!N2</f>
        <v>1.43</v>
      </c>
      <c r="L5" s="1" t="s">
        <v>257</v>
      </c>
      <c r="M5" s="1"/>
      <c r="N5" s="1"/>
      <c r="O5" s="1"/>
      <c r="P5" s="1"/>
      <c r="Q5" s="1"/>
    </row>
    <row r="6" spans="1:33" x14ac:dyDescent="0.25">
      <c r="A6" s="3"/>
      <c r="B6" s="293" t="s">
        <v>268</v>
      </c>
      <c r="C6" s="294"/>
      <c r="D6" s="294"/>
      <c r="E6" s="294"/>
      <c r="F6" s="1"/>
      <c r="G6" s="1"/>
      <c r="H6" s="1"/>
      <c r="I6" s="1"/>
      <c r="J6" s="1"/>
      <c r="K6" s="311"/>
      <c r="L6" s="1"/>
      <c r="N6" s="1"/>
      <c r="O6" s="1"/>
      <c r="P6" s="1"/>
      <c r="Q6" s="1"/>
    </row>
    <row r="7" spans="1:33" x14ac:dyDescent="0.25">
      <c r="A7" s="7" t="s">
        <v>269</v>
      </c>
      <c r="B7" s="7"/>
      <c r="C7" s="7"/>
      <c r="D7" s="7"/>
      <c r="E7" s="7"/>
      <c r="F7" s="7"/>
      <c r="G7" s="7"/>
      <c r="H7" s="3"/>
      <c r="J7" s="1"/>
      <c r="K7" s="122"/>
      <c r="L7" s="1"/>
      <c r="M7" s="1"/>
    </row>
    <row r="8" spans="1:33" ht="14.45" customHeight="1" x14ac:dyDescent="0.25">
      <c r="A8" s="7" t="s">
        <v>270</v>
      </c>
      <c r="B8" s="7"/>
      <c r="C8" s="7"/>
      <c r="D8" s="7"/>
      <c r="E8" s="7"/>
      <c r="F8" s="7"/>
      <c r="G8" s="7"/>
      <c r="H8" s="3"/>
      <c r="I8" s="3"/>
      <c r="J8" s="3"/>
      <c r="K8" s="3"/>
      <c r="L8" s="3"/>
      <c r="M8" s="3"/>
      <c r="N8" s="3"/>
      <c r="O8" s="3"/>
      <c r="P8" s="3"/>
      <c r="Q8" s="3"/>
      <c r="R8" s="3"/>
      <c r="S8" s="3"/>
      <c r="T8" s="3"/>
    </row>
    <row r="9" spans="1:33" ht="14.45" customHeight="1" x14ac:dyDescent="0.25">
      <c r="A9" s="3"/>
      <c r="B9" s="3"/>
      <c r="C9" s="3"/>
      <c r="D9" s="3"/>
      <c r="E9" s="3"/>
      <c r="F9" s="3"/>
      <c r="G9" s="3"/>
      <c r="H9" s="3"/>
      <c r="I9" s="3"/>
      <c r="J9" s="3"/>
      <c r="K9" s="3"/>
      <c r="L9" s="3"/>
      <c r="M9" s="3"/>
      <c r="N9" s="3"/>
      <c r="O9" s="3"/>
      <c r="P9" s="3"/>
      <c r="Q9" s="3"/>
      <c r="R9" s="3"/>
      <c r="S9" s="3"/>
      <c r="T9" s="3"/>
    </row>
    <row r="10" spans="1:33" ht="14.45" customHeight="1" x14ac:dyDescent="0.25">
      <c r="A10" s="3"/>
      <c r="B10" s="3"/>
      <c r="C10" s="3"/>
      <c r="D10" s="3"/>
      <c r="E10" s="3"/>
      <c r="F10" s="3"/>
      <c r="G10" s="3"/>
      <c r="H10" s="3"/>
      <c r="I10" s="3"/>
      <c r="J10" s="3"/>
      <c r="K10" s="3"/>
      <c r="L10" s="3"/>
      <c r="M10" s="3"/>
      <c r="N10" s="3"/>
      <c r="O10" s="3"/>
      <c r="P10" s="3"/>
      <c r="Q10" s="3"/>
      <c r="R10" s="3"/>
      <c r="S10" s="44" t="s">
        <v>271</v>
      </c>
      <c r="T10" s="20" t="s">
        <v>272</v>
      </c>
    </row>
    <row r="11" spans="1:33" ht="14.45" customHeight="1" x14ac:dyDescent="0.25">
      <c r="A11" s="3"/>
      <c r="B11" s="3"/>
      <c r="C11" s="3"/>
      <c r="D11" s="3"/>
      <c r="E11" s="3"/>
      <c r="F11" s="3"/>
      <c r="G11" s="3"/>
      <c r="H11" s="3"/>
      <c r="I11" s="3"/>
      <c r="J11" s="3"/>
      <c r="K11" s="3"/>
      <c r="L11" s="3"/>
      <c r="M11" s="3"/>
      <c r="N11" s="3"/>
      <c r="O11" s="3"/>
      <c r="P11" s="3"/>
      <c r="Q11" s="3"/>
      <c r="R11" s="3"/>
      <c r="S11" t="s">
        <v>273</v>
      </c>
      <c r="T11" s="2" t="s">
        <v>274</v>
      </c>
    </row>
    <row r="12" spans="1:33" ht="34.5" customHeight="1" thickBot="1" x14ac:dyDescent="0.35">
      <c r="A12" s="194" t="s">
        <v>275</v>
      </c>
      <c r="B12" s="15" t="s">
        <v>103</v>
      </c>
      <c r="C12" s="15" t="s">
        <v>276</v>
      </c>
      <c r="D12" s="195" t="s">
        <v>277</v>
      </c>
      <c r="E12" s="195" t="s">
        <v>278</v>
      </c>
      <c r="F12" s="194" t="s">
        <v>279</v>
      </c>
      <c r="G12" s="194" t="s">
        <v>280</v>
      </c>
      <c r="H12" s="3"/>
      <c r="I12" s="3"/>
      <c r="J12" s="3"/>
      <c r="K12" s="3"/>
      <c r="L12" s="3"/>
      <c r="M12" s="3"/>
      <c r="N12" s="3"/>
      <c r="O12" s="3"/>
      <c r="P12" s="3"/>
      <c r="Q12" s="3"/>
      <c r="R12" s="3"/>
      <c r="S12" s="306">
        <v>2023</v>
      </c>
      <c r="T12" s="428">
        <v>8.0100000000000005E-2</v>
      </c>
      <c r="U12" s="3"/>
      <c r="V12" s="3" t="s">
        <v>281</v>
      </c>
    </row>
    <row r="13" spans="1:33" ht="14.45" customHeight="1" x14ac:dyDescent="0.3">
      <c r="A13" s="199" t="str">
        <f>'Prices,exch.rates,harvest index'!B3</f>
        <v>wheat</v>
      </c>
      <c r="B13" s="97">
        <f>'Prices,exch.rates,harvest index'!I3</f>
        <v>0</v>
      </c>
      <c r="C13" s="242">
        <v>1251818</v>
      </c>
      <c r="D13" s="242">
        <f>'Prices,exch.rates,harvest index'!E3</f>
        <v>0</v>
      </c>
      <c r="E13" s="242">
        <f>'Prices,exch.rates,harvest index'!E39</f>
        <v>0</v>
      </c>
      <c r="F13" s="242">
        <f>'Prices,exch.rates,harvest index'!F3</f>
        <v>0</v>
      </c>
      <c r="G13" s="242">
        <f>'Prices,exch.rates,harvest index'!F40</f>
        <v>0</v>
      </c>
      <c r="H13" s="3"/>
      <c r="I13" s="3"/>
      <c r="J13" s="3"/>
      <c r="K13" s="3"/>
      <c r="L13" s="3"/>
      <c r="M13" s="3"/>
      <c r="N13" s="3"/>
      <c r="O13" s="3"/>
      <c r="P13" s="3"/>
      <c r="Q13" s="3"/>
      <c r="R13" s="3"/>
      <c r="S13" s="306">
        <v>2022</v>
      </c>
      <c r="T13" s="429">
        <v>6.7799999999999999E-2</v>
      </c>
      <c r="U13" s="3"/>
      <c r="V13" s="3" t="s">
        <v>282</v>
      </c>
      <c r="Z13" s="705">
        <v>0.1</v>
      </c>
    </row>
    <row r="14" spans="1:33" ht="14.45" customHeight="1" x14ac:dyDescent="0.3">
      <c r="A14" s="199" t="str">
        <f>'Prices,exch.rates,harvest index'!B4</f>
        <v>Barley</v>
      </c>
      <c r="B14" s="97">
        <f>'Prices,exch.rates,harvest index'!I4</f>
        <v>0</v>
      </c>
      <c r="C14" s="242">
        <v>520574.2</v>
      </c>
      <c r="D14" s="242">
        <f>'Prices,exch.rates,harvest index'!E4</f>
        <v>0</v>
      </c>
      <c r="E14" s="242">
        <f>'Prices,exch.rates,harvest index'!E40</f>
        <v>0</v>
      </c>
      <c r="F14" s="242">
        <f>'Prices,exch.rates,harvest index'!F4</f>
        <v>0</v>
      </c>
      <c r="G14" s="242">
        <f>'Prices,exch.rates,harvest index'!F39</f>
        <v>0</v>
      </c>
      <c r="H14" s="3"/>
      <c r="I14" s="3"/>
      <c r="J14" s="3"/>
      <c r="K14" s="3"/>
      <c r="L14" s="3"/>
      <c r="M14" s="3"/>
      <c r="N14" s="3"/>
      <c r="O14" s="3"/>
      <c r="P14" s="3"/>
      <c r="Q14" s="3"/>
      <c r="R14" s="3"/>
      <c r="S14" s="306">
        <v>2021</v>
      </c>
      <c r="T14" s="429">
        <v>6.2399999999999997E-2</v>
      </c>
      <c r="U14" s="3"/>
      <c r="V14" s="3" t="s">
        <v>283</v>
      </c>
      <c r="Z14" s="705">
        <v>0.1</v>
      </c>
      <c r="AC14" s="826" t="s">
        <v>1258</v>
      </c>
      <c r="AD14" s="826"/>
      <c r="AE14" s="826"/>
      <c r="AF14" s="826"/>
      <c r="AG14" s="826"/>
    </row>
    <row r="15" spans="1:33" ht="14.45" customHeight="1" x14ac:dyDescent="0.3">
      <c r="A15" s="199" t="str">
        <f>'Prices,exch.rates,harvest index'!B5</f>
        <v>corn</v>
      </c>
      <c r="B15" s="97">
        <f>'Prices,exch.rates,harvest index'!I5</f>
        <v>0</v>
      </c>
      <c r="C15" s="242">
        <v>44999.999975999999</v>
      </c>
      <c r="D15" s="242">
        <f>'Prices,exch.rates,harvest index'!E5</f>
        <v>0</v>
      </c>
      <c r="E15" s="242">
        <f>E14</f>
        <v>0</v>
      </c>
      <c r="F15" s="242">
        <f>'Prices,exch.rates,harvest index'!F5</f>
        <v>0</v>
      </c>
      <c r="G15" s="702">
        <v>120</v>
      </c>
      <c r="H15" s="3"/>
      <c r="I15" s="3"/>
      <c r="J15" s="3"/>
      <c r="K15" s="3"/>
      <c r="L15" s="3"/>
      <c r="M15" s="3"/>
      <c r="N15" s="3"/>
      <c r="O15" s="3"/>
      <c r="P15" s="3"/>
      <c r="Q15" s="3"/>
      <c r="R15" s="3"/>
      <c r="S15" s="306">
        <v>2020</v>
      </c>
      <c r="T15" s="429">
        <v>6.8599999999999994E-2</v>
      </c>
      <c r="U15" s="3"/>
      <c r="AC15" s="826"/>
      <c r="AD15" s="826"/>
      <c r="AE15" s="826"/>
      <c r="AF15" s="826"/>
      <c r="AG15" s="826"/>
    </row>
    <row r="16" spans="1:33" ht="31.5" customHeight="1" x14ac:dyDescent="0.3">
      <c r="A16" s="194" t="s">
        <v>284</v>
      </c>
      <c r="B16" s="422">
        <f>SUM(B13:B15)</f>
        <v>0</v>
      </c>
      <c r="C16" s="307">
        <f>SUM(C13:C15)</f>
        <v>1817392.199976</v>
      </c>
      <c r="D16" s="307">
        <f>SUMPRODUCT($C13:$C15,D13:D15)/$C16</f>
        <v>0</v>
      </c>
      <c r="E16" s="307">
        <f>SUMPRODUCT($C13:$C15,E13:E15)/$C16</f>
        <v>0</v>
      </c>
      <c r="F16" s="307">
        <f>SUMPRODUCT($C13:$C15,F13:F15)/$C16</f>
        <v>0</v>
      </c>
      <c r="G16" s="307">
        <f>SUMPRODUCT($C13:$C15,G13:G15)/$C16</f>
        <v>2.9712904001631077</v>
      </c>
      <c r="J16" s="22"/>
      <c r="K16" s="44"/>
      <c r="L16" s="44"/>
      <c r="N16" s="1" t="s">
        <v>285</v>
      </c>
      <c r="P16" s="4" t="s">
        <v>79</v>
      </c>
      <c r="R16" s="18"/>
      <c r="S16" s="306">
        <v>2019</v>
      </c>
      <c r="T16" s="429">
        <v>7.7399999999999997E-2</v>
      </c>
      <c r="X16" s="1" t="s">
        <v>286</v>
      </c>
      <c r="AC16" s="826"/>
      <c r="AD16" s="826"/>
      <c r="AE16" s="826"/>
      <c r="AF16" s="826"/>
      <c r="AG16" s="826"/>
    </row>
    <row r="17" spans="1:41" ht="18.75" x14ac:dyDescent="0.3">
      <c r="A17" s="86"/>
      <c r="B17" s="701"/>
      <c r="C17" s="701"/>
      <c r="D17" s="780" t="s">
        <v>287</v>
      </c>
      <c r="E17" s="780"/>
      <c r="J17" s="22"/>
      <c r="K17" s="44"/>
      <c r="L17" s="1"/>
      <c r="M17" s="49"/>
      <c r="N17" s="1" t="s">
        <v>288</v>
      </c>
      <c r="O17" s="20"/>
      <c r="P17" s="4" t="s">
        <v>79</v>
      </c>
      <c r="Q17" s="18"/>
      <c r="S17" s="306">
        <v>2018</v>
      </c>
      <c r="T17" s="429">
        <v>6.7000000000000004E-2</v>
      </c>
      <c r="W17" s="17" t="s">
        <v>136</v>
      </c>
      <c r="X17" s="17" t="s">
        <v>137</v>
      </c>
      <c r="Y17" s="17" t="s">
        <v>289</v>
      </c>
      <c r="Z17" s="22" t="s">
        <v>290</v>
      </c>
      <c r="AA17" s="1" t="s">
        <v>291</v>
      </c>
      <c r="AB17" s="15" t="s">
        <v>292</v>
      </c>
      <c r="AC17" s="15" t="s">
        <v>200</v>
      </c>
      <c r="AD17" s="1" t="s">
        <v>293</v>
      </c>
      <c r="AE17" s="1" t="s">
        <v>294</v>
      </c>
      <c r="AF17" s="1" t="s">
        <v>295</v>
      </c>
      <c r="AG17" s="1"/>
      <c r="AH17" s="1"/>
    </row>
    <row r="18" spans="1:41" ht="21" x14ac:dyDescent="0.35">
      <c r="A18" s="843" t="s">
        <v>296</v>
      </c>
      <c r="B18" s="843"/>
      <c r="C18" s="18"/>
      <c r="D18" s="18">
        <v>2021</v>
      </c>
      <c r="E18" s="18">
        <v>2010</v>
      </c>
      <c r="F18" s="18">
        <v>2021</v>
      </c>
      <c r="G18" s="18">
        <v>2010</v>
      </c>
      <c r="K18" s="440"/>
      <c r="L18" s="441"/>
      <c r="P18" s="18"/>
      <c r="S18" s="306">
        <v>2017</v>
      </c>
      <c r="T18" s="429">
        <v>4.8599999999999997E-2</v>
      </c>
      <c r="U18" s="196"/>
      <c r="V18" t="s">
        <v>139</v>
      </c>
      <c r="W18" s="295">
        <v>3.5100719399732636</v>
      </c>
      <c r="X18" s="295">
        <v>2.9250593189562517</v>
      </c>
      <c r="Y18" s="295">
        <v>2.1667101515757126</v>
      </c>
      <c r="Z18" s="140">
        <f>'Yield-data'!C5</f>
        <v>0</v>
      </c>
      <c r="AA18" s="9">
        <f>IFERROR(Z18*'Area&amp;production data'!F5,"")</f>
        <v>0</v>
      </c>
      <c r="AB18" s="206">
        <f>'Yield-penalty-by-LD-class'!B4</f>
        <v>0</v>
      </c>
      <c r="AC18" s="206">
        <f>'Yield-penalty-by-LD-class'!C4</f>
        <v>0</v>
      </c>
      <c r="AD18" s="95">
        <f>((W18-X18)/X18)-AB18</f>
        <v>0.20000025887535225</v>
      </c>
      <c r="AE18" s="9">
        <f>((X18-Y18)/Y18)-AC18</f>
        <v>0.35000028353078944</v>
      </c>
      <c r="AF18" s="95">
        <f>SUMPRODUCT(W18:Y18,C34:E34)-Z18</f>
        <v>0</v>
      </c>
      <c r="AH18" s="76"/>
    </row>
    <row r="19" spans="1:41" ht="18.75" x14ac:dyDescent="0.3">
      <c r="A19" s="1" t="s">
        <v>297</v>
      </c>
      <c r="B19" s="1"/>
      <c r="C19" s="1"/>
      <c r="D19" s="214">
        <f>D16/K1</f>
        <v>0</v>
      </c>
      <c r="E19" s="312">
        <f>F16/K5</f>
        <v>0</v>
      </c>
      <c r="F19" s="214">
        <f>D16</f>
        <v>0</v>
      </c>
      <c r="G19" s="312">
        <f>F16</f>
        <v>0</v>
      </c>
      <c r="K19" s="246"/>
      <c r="L19" s="441"/>
      <c r="S19" s="306">
        <v>2016</v>
      </c>
      <c r="T19" s="429">
        <v>4.2500000000000003E-2</v>
      </c>
      <c r="U19" s="196"/>
      <c r="V19" t="s">
        <v>140</v>
      </c>
      <c r="W19" s="295">
        <v>2.9094509223630629</v>
      </c>
      <c r="X19" s="295">
        <v>2.4245425271333532</v>
      </c>
      <c r="Y19" s="295">
        <v>1.7959574937295935</v>
      </c>
      <c r="Z19" s="140">
        <f>'Yield-data'!C6</f>
        <v>0</v>
      </c>
      <c r="AA19" s="9">
        <f>IFERROR(Z19*'Area&amp;production data'!F6,"")</f>
        <v>0</v>
      </c>
      <c r="AB19" s="206">
        <f>'Yield-penalty-by-LD-class'!B5</f>
        <v>0</v>
      </c>
      <c r="AC19" s="206">
        <f>'Yield-penalty-by-LD-class'!C5</f>
        <v>0</v>
      </c>
      <c r="AD19" s="95">
        <f t="shared" ref="AD19:AD41" si="0">((W19-X19)/X19)-AB19</f>
        <v>0.19999995454938008</v>
      </c>
      <c r="AE19" s="9">
        <f t="shared" ref="AE19:AE41" si="1">((X19-Y19)/Y19)-AC19</f>
        <v>0.34999995022064928</v>
      </c>
      <c r="AF19" s="95">
        <f t="shared" ref="AF19:AF41" si="2">SUMPRODUCT(W19:Y19,C35:E35)-Z19</f>
        <v>0</v>
      </c>
    </row>
    <row r="20" spans="1:41" ht="18.75" x14ac:dyDescent="0.3">
      <c r="A20" s="1" t="s">
        <v>298</v>
      </c>
      <c r="B20" s="1"/>
      <c r="C20" s="1"/>
      <c r="D20" s="214">
        <f>E16/K1</f>
        <v>0</v>
      </c>
      <c r="E20" s="312">
        <f>G16/K5</f>
        <v>2.0778254546595161</v>
      </c>
      <c r="F20" s="214">
        <f>E16</f>
        <v>0</v>
      </c>
      <c r="G20" s="312">
        <f>G16</f>
        <v>2.9712904001631077</v>
      </c>
      <c r="K20" s="246"/>
      <c r="L20" s="441"/>
      <c r="S20" s="306">
        <v>2015</v>
      </c>
      <c r="T20" s="429">
        <v>4.7100000000000003E-2</v>
      </c>
      <c r="V20" t="s">
        <v>141</v>
      </c>
      <c r="W20" s="295">
        <v>2.3715545116860559</v>
      </c>
      <c r="X20" s="295">
        <v>1.9762954444405838</v>
      </c>
      <c r="Y20" s="295">
        <v>1.4639225644441816</v>
      </c>
      <c r="Z20" s="140">
        <f>'Yield-data'!C7</f>
        <v>0</v>
      </c>
      <c r="AA20" s="9">
        <f>IFERROR(Z20*'Area&amp;production data'!F7,"")</f>
        <v>0</v>
      </c>
      <c r="AB20" s="206">
        <f>'Yield-penalty-by-LD-class'!B6</f>
        <v>0</v>
      </c>
      <c r="AC20" s="206">
        <f>'Yield-penalty-by-LD-class'!C6</f>
        <v>0</v>
      </c>
      <c r="AD20" s="95">
        <f t="shared" si="0"/>
        <v>0.19999998904888197</v>
      </c>
      <c r="AE20" s="9">
        <f t="shared" si="1"/>
        <v>0.34999998800547122</v>
      </c>
      <c r="AF20" s="95">
        <f t="shared" si="2"/>
        <v>0</v>
      </c>
    </row>
    <row r="21" spans="1:41" ht="18.75" x14ac:dyDescent="0.3">
      <c r="A21" s="1"/>
      <c r="B21" s="1"/>
      <c r="C21" s="1"/>
      <c r="D21" s="80" t="s">
        <v>299</v>
      </c>
      <c r="E21" s="17" t="s">
        <v>300</v>
      </c>
      <c r="F21" s="126"/>
      <c r="K21" s="246"/>
      <c r="L21" s="441"/>
      <c r="S21" s="306">
        <v>2010</v>
      </c>
      <c r="T21" s="429">
        <v>4.82E-2</v>
      </c>
      <c r="V21" t="s">
        <v>142</v>
      </c>
      <c r="W21" s="295">
        <v>2.3767891917982249</v>
      </c>
      <c r="X21" s="295">
        <v>1.980657675716528</v>
      </c>
      <c r="Y21" s="295">
        <v>1.4671538453196902</v>
      </c>
      <c r="Z21" s="140">
        <f>'Yield-data'!C8</f>
        <v>0</v>
      </c>
      <c r="AA21" s="9">
        <f>IFERROR(Z21*'Area&amp;production data'!F8,"")</f>
        <v>0</v>
      </c>
      <c r="AB21" s="206">
        <f>'Yield-penalty-by-LD-class'!B7</f>
        <v>0</v>
      </c>
      <c r="AC21" s="206">
        <f>'Yield-penalty-by-LD-class'!C7</f>
        <v>0</v>
      </c>
      <c r="AD21" s="95">
        <f t="shared" si="0"/>
        <v>0.19999999037612159</v>
      </c>
      <c r="AE21" s="9">
        <f t="shared" si="1"/>
        <v>0.34999998945914645</v>
      </c>
      <c r="AF21" s="95">
        <f t="shared" si="2"/>
        <v>0</v>
      </c>
    </row>
    <row r="22" spans="1:41" ht="18.75" x14ac:dyDescent="0.3">
      <c r="A22" s="1" t="s">
        <v>301</v>
      </c>
      <c r="B22" s="1"/>
      <c r="C22" s="1"/>
      <c r="D22" s="124">
        <f>(F19-G19)/($F$18-$G$18)/K1</f>
        <v>0</v>
      </c>
      <c r="E22" s="124">
        <f>(F20-G20)/(F18-G18)/K5</f>
        <v>-0.1888932231508651</v>
      </c>
      <c r="M22" s="44"/>
      <c r="N22" s="44"/>
      <c r="O22" s="44"/>
      <c r="P22" s="44"/>
      <c r="Q22" s="44"/>
      <c r="S22" s="306">
        <v>2013</v>
      </c>
      <c r="T22" s="429">
        <v>4.5900000000000003E-2</v>
      </c>
      <c r="V22" t="s">
        <v>143</v>
      </c>
      <c r="W22" s="295">
        <v>3.0624604462058924</v>
      </c>
      <c r="X22" s="295">
        <v>2.552050640373936</v>
      </c>
      <c r="Y22" s="295">
        <v>1.8904080754118868</v>
      </c>
      <c r="Z22" s="140">
        <f>'Yield-data'!C9</f>
        <v>0</v>
      </c>
      <c r="AA22" s="9">
        <f>IFERROR(Z22*'Area&amp;production data'!F9,"")</f>
        <v>0</v>
      </c>
      <c r="AB22" s="206">
        <f>'Yield-penalty-by-LD-class'!B8</f>
        <v>0</v>
      </c>
      <c r="AC22" s="206">
        <f>'Yield-penalty-by-LD-class'!C8</f>
        <v>0</v>
      </c>
      <c r="AD22" s="95">
        <f t="shared" si="0"/>
        <v>0.19999987373180386</v>
      </c>
      <c r="AE22" s="9">
        <f t="shared" si="1"/>
        <v>0.34999986170599112</v>
      </c>
      <c r="AF22" s="95">
        <f t="shared" si="2"/>
        <v>0</v>
      </c>
    </row>
    <row r="23" spans="1:41" ht="18.75" x14ac:dyDescent="0.3">
      <c r="A23" s="1" t="s">
        <v>302</v>
      </c>
      <c r="B23" s="1"/>
      <c r="C23" s="1"/>
      <c r="D23" s="124">
        <f>D22*$F$24</f>
        <v>0</v>
      </c>
      <c r="E23" s="124">
        <f>E22*$F$24</f>
        <v>-0.17803823213744507</v>
      </c>
      <c r="F23" s="1"/>
      <c r="M23" s="1"/>
      <c r="N23" s="1"/>
      <c r="O23" s="1"/>
      <c r="P23" s="1"/>
      <c r="Q23" s="1"/>
      <c r="S23" s="306">
        <v>2012</v>
      </c>
      <c r="T23" s="429">
        <v>3.7499999999999999E-2</v>
      </c>
      <c r="V23" t="s">
        <v>144</v>
      </c>
      <c r="W23" s="295">
        <v>3.1997574373055322</v>
      </c>
      <c r="X23" s="295">
        <v>2.6664649196233277</v>
      </c>
      <c r="Y23" s="295">
        <v>1.9751594799116849</v>
      </c>
      <c r="Z23" s="140">
        <f>'Yield-data'!C10</f>
        <v>0</v>
      </c>
      <c r="AA23" s="9">
        <f>IFERROR(Z23*'Area&amp;production data'!F10,"")</f>
        <v>0</v>
      </c>
      <c r="AB23" s="206">
        <f>'Yield-penalty-by-LD-class'!B9</f>
        <v>0</v>
      </c>
      <c r="AC23" s="206">
        <f>'Yield-penalty-by-LD-class'!C9</f>
        <v>0</v>
      </c>
      <c r="AD23" s="95">
        <f t="shared" si="0"/>
        <v>0.19999982514584852</v>
      </c>
      <c r="AE23" s="9">
        <f t="shared" si="1"/>
        <v>0.34999980849270612</v>
      </c>
      <c r="AF23" s="95">
        <f t="shared" si="2"/>
        <v>0</v>
      </c>
    </row>
    <row r="24" spans="1:41" ht="18.75" x14ac:dyDescent="0.3">
      <c r="A24" s="1" t="s">
        <v>303</v>
      </c>
      <c r="B24" s="1"/>
      <c r="C24" s="176">
        <f>AVERAGE(T12:T21)</f>
        <v>6.0970000000000003E-2</v>
      </c>
      <c r="D24" s="1"/>
      <c r="E24" s="1" t="s">
        <v>304</v>
      </c>
      <c r="F24" s="78">
        <f>1/(1+C24)</f>
        <v>0.94253371914380235</v>
      </c>
      <c r="M24" s="33"/>
      <c r="N24" s="33"/>
      <c r="O24" s="33"/>
      <c r="P24" s="33"/>
      <c r="S24" s="306">
        <v>2011</v>
      </c>
      <c r="T24" s="429">
        <v>4.0300000000000002E-2</v>
      </c>
      <c r="V24" t="s">
        <v>145</v>
      </c>
      <c r="W24" s="295">
        <v>1.2737682863290634</v>
      </c>
      <c r="X24" s="295">
        <v>1.0614733197058379</v>
      </c>
      <c r="Y24" s="295">
        <v>0.78627635121716366</v>
      </c>
      <c r="Z24" s="140">
        <f>'Yield-data'!C11</f>
        <v>0</v>
      </c>
      <c r="AA24" s="9">
        <f>IFERROR(Z24*'Area&amp;production data'!F11,"")</f>
        <v>0</v>
      </c>
      <c r="AB24" s="206">
        <f>'Yield-penalty-by-LD-class'!B10</f>
        <v>0</v>
      </c>
      <c r="AC24" s="206">
        <f>'Yield-penalty-by-LD-class'!C10</f>
        <v>0</v>
      </c>
      <c r="AD24" s="95">
        <f t="shared" si="0"/>
        <v>0.20000028515277044</v>
      </c>
      <c r="AE24" s="9">
        <f t="shared" si="1"/>
        <v>0.35000031231088991</v>
      </c>
      <c r="AF24" s="95">
        <f t="shared" si="2"/>
        <v>0</v>
      </c>
      <c r="AK24" s="10"/>
    </row>
    <row r="25" spans="1:41" ht="28.5" customHeight="1" x14ac:dyDescent="0.3">
      <c r="A25" s="1"/>
      <c r="B25" s="1"/>
      <c r="C25" s="1"/>
      <c r="D25" s="1"/>
      <c r="E25" s="1"/>
      <c r="M25" s="33"/>
      <c r="N25" s="33"/>
      <c r="O25" s="33"/>
      <c r="P25" s="33"/>
      <c r="S25" s="306">
        <v>2010</v>
      </c>
      <c r="T25" s="429">
        <v>4.4299999999999999E-2</v>
      </c>
      <c r="V25" t="s">
        <v>146</v>
      </c>
      <c r="W25" s="295">
        <v>3.7279645252002251</v>
      </c>
      <c r="X25" s="295">
        <v>3.1066371256708849</v>
      </c>
      <c r="Y25" s="295">
        <v>2.3012127010701042</v>
      </c>
      <c r="Z25" s="140">
        <f>'Yield-data'!C12</f>
        <v>0</v>
      </c>
      <c r="AA25" s="9">
        <f>IFERROR(Z25*'Area&amp;production data'!F12,"")</f>
        <v>0</v>
      </c>
      <c r="AB25" s="206">
        <f>'Yield-penalty-by-LD-class'!B11</f>
        <v>0</v>
      </c>
      <c r="AC25" s="206">
        <f>'Yield-penalty-by-LD-class'!C11</f>
        <v>0</v>
      </c>
      <c r="AD25" s="95">
        <f t="shared" si="0"/>
        <v>0.19999999175802138</v>
      </c>
      <c r="AE25" s="9">
        <f t="shared" si="1"/>
        <v>0.34999999097269202</v>
      </c>
      <c r="AF25" s="95">
        <f t="shared" si="2"/>
        <v>0</v>
      </c>
      <c r="AI25" s="30"/>
    </row>
    <row r="26" spans="1:41" ht="18.75" x14ac:dyDescent="0.3">
      <c r="A26" s="844" t="s">
        <v>305</v>
      </c>
      <c r="B26" s="844"/>
      <c r="C26" s="844"/>
      <c r="D26" s="844"/>
      <c r="E26" s="18"/>
      <c r="M26" s="33"/>
      <c r="N26" s="33"/>
      <c r="O26" s="33"/>
      <c r="P26" s="33"/>
      <c r="S26" s="306">
        <v>2009</v>
      </c>
      <c r="T26" s="704">
        <v>4.2999999999999997E-2</v>
      </c>
      <c r="V26" t="s">
        <v>147</v>
      </c>
      <c r="W26" s="295">
        <v>2.9278994735290933</v>
      </c>
      <c r="X26" s="295">
        <v>2.4399162305634654</v>
      </c>
      <c r="Y26" s="295">
        <v>1.8073453578640175</v>
      </c>
      <c r="Z26" s="140">
        <f>'Yield-data'!C13</f>
        <v>0</v>
      </c>
      <c r="AA26" s="9">
        <f>IFERROR(Z26*'Area&amp;production data'!F13,"")</f>
        <v>0</v>
      </c>
      <c r="AB26" s="206">
        <f>'Yield-penalty-by-LD-class'!B12</f>
        <v>0</v>
      </c>
      <c r="AC26" s="206">
        <f>'Yield-penalty-by-LD-class'!C12</f>
        <v>0</v>
      </c>
      <c r="AD26" s="95">
        <f t="shared" si="0"/>
        <v>0.1999999987101749</v>
      </c>
      <c r="AE26" s="9">
        <f t="shared" si="1"/>
        <v>0.34999999858745412</v>
      </c>
      <c r="AF26" s="95">
        <f t="shared" si="2"/>
        <v>0</v>
      </c>
    </row>
    <row r="27" spans="1:41" ht="18.75" x14ac:dyDescent="0.3">
      <c r="A27" s="844" t="s">
        <v>306</v>
      </c>
      <c r="B27" s="844"/>
      <c r="C27" s="18"/>
      <c r="D27" s="18"/>
      <c r="E27" s="18"/>
      <c r="M27" s="33"/>
      <c r="N27" s="33"/>
      <c r="O27" s="33"/>
      <c r="P27" s="33"/>
      <c r="S27" s="306">
        <v>2008</v>
      </c>
      <c r="T27" s="704">
        <v>5.21E-2</v>
      </c>
      <c r="V27" t="s">
        <v>148</v>
      </c>
      <c r="W27" s="295">
        <v>1.389947717508029</v>
      </c>
      <c r="X27" s="295">
        <v>1.1119581880422109</v>
      </c>
      <c r="Y27" s="295">
        <v>0.79425585840579171</v>
      </c>
      <c r="Z27" s="140">
        <f>'Yield-data'!C14</f>
        <v>0</v>
      </c>
      <c r="AA27" s="9">
        <f>IFERROR(Z27*'Area&amp;production data'!F14,"")</f>
        <v>0</v>
      </c>
      <c r="AB27" s="206">
        <f>'Yield-penalty-by-LD-class'!B13</f>
        <v>0</v>
      </c>
      <c r="AC27" s="206">
        <f>'Yield-penalty-by-LD-class'!C13</f>
        <v>0</v>
      </c>
      <c r="AD27" s="95">
        <f t="shared" si="0"/>
        <v>0.2499999842217677</v>
      </c>
      <c r="AE27" s="9">
        <f t="shared" si="1"/>
        <v>0.39999998271854426</v>
      </c>
      <c r="AF27" s="95">
        <f t="shared" si="2"/>
        <v>0</v>
      </c>
      <c r="AI27" s="30"/>
    </row>
    <row r="28" spans="1:41" ht="27.6" customHeight="1" x14ac:dyDescent="0.3">
      <c r="A28" s="3" t="s">
        <v>307</v>
      </c>
      <c r="B28" s="3"/>
      <c r="C28" s="3"/>
      <c r="D28" s="3"/>
      <c r="E28" s="3"/>
      <c r="M28" s="34"/>
      <c r="N28" s="34"/>
      <c r="O28" s="34"/>
      <c r="P28" s="34"/>
      <c r="Q28" s="35"/>
      <c r="S28" s="306">
        <v>2007</v>
      </c>
      <c r="T28" s="704">
        <v>5.2400000000000002E-2</v>
      </c>
      <c r="V28" t="s">
        <v>149</v>
      </c>
      <c r="W28" s="295">
        <v>1.9629914530863271</v>
      </c>
      <c r="X28" s="295">
        <v>1.5703932996038963</v>
      </c>
      <c r="Y28" s="295">
        <v>1.1217095955045049</v>
      </c>
      <c r="Z28" s="140">
        <f>'Yield-data'!C15</f>
        <v>0</v>
      </c>
      <c r="AA28" s="9">
        <f>IFERROR(Z28*'Area&amp;production data'!F15,"")</f>
        <v>0</v>
      </c>
      <c r="AB28" s="206">
        <f>'Yield-penalty-by-LD-class'!B14</f>
        <v>0</v>
      </c>
      <c r="AC28" s="206">
        <f>'Yield-penalty-by-LD-class'!C14</f>
        <v>0</v>
      </c>
      <c r="AD28" s="95">
        <f t="shared" si="0"/>
        <v>0.24999989084355917</v>
      </c>
      <c r="AE28" s="9">
        <f t="shared" si="1"/>
        <v>0.39999988044819168</v>
      </c>
      <c r="AF28" s="95">
        <f t="shared" si="2"/>
        <v>0</v>
      </c>
      <c r="AI28" s="30"/>
      <c r="AL28" s="1"/>
      <c r="AM28" s="1"/>
      <c r="AN28" s="1"/>
      <c r="AO28" s="22"/>
    </row>
    <row r="29" spans="1:41" x14ac:dyDescent="0.25">
      <c r="A29" s="1" t="s">
        <v>308</v>
      </c>
      <c r="F29" s="1"/>
      <c r="V29" t="s">
        <v>150</v>
      </c>
      <c r="W29" s="295">
        <v>0.16893189143051604</v>
      </c>
      <c r="X29" s="295">
        <v>0.13514551314441284</v>
      </c>
      <c r="Y29" s="295">
        <v>9.6532509388866303E-2</v>
      </c>
      <c r="Z29" s="140">
        <f>'Yield-data'!C16</f>
        <v>0</v>
      </c>
      <c r="AA29" s="9">
        <f>IFERROR(Z29*'Area&amp;production data'!F16,"")</f>
        <v>0</v>
      </c>
      <c r="AB29" s="206">
        <f>'Yield-penalty-by-LD-class'!B15</f>
        <v>0</v>
      </c>
      <c r="AC29" s="206">
        <f>'Yield-penalty-by-LD-class'!C15</f>
        <v>0</v>
      </c>
      <c r="AD29" s="95">
        <f t="shared" si="0"/>
        <v>0.24999999999999994</v>
      </c>
      <c r="AE29" s="9">
        <f t="shared" si="1"/>
        <v>0.40000000000000013</v>
      </c>
      <c r="AF29" s="95">
        <f t="shared" si="2"/>
        <v>0</v>
      </c>
      <c r="AJ29" s="50"/>
      <c r="AK29" s="1"/>
      <c r="AL29" s="49"/>
      <c r="AM29" s="49"/>
      <c r="AN29" s="49"/>
      <c r="AO29" s="49"/>
    </row>
    <row r="30" spans="1:41" x14ac:dyDescent="0.25">
      <c r="V30" t="s">
        <v>151</v>
      </c>
      <c r="W30" s="295">
        <v>5.0310054159032967E-2</v>
      </c>
      <c r="X30" s="295">
        <v>4.0248043327226368E-2</v>
      </c>
      <c r="Y30" s="295">
        <v>2.8748602376590264E-2</v>
      </c>
      <c r="Z30" s="140">
        <f>'Yield-data'!C17</f>
        <v>0</v>
      </c>
      <c r="AA30" s="9">
        <f>IFERROR(Z30*'Area&amp;production data'!F17,"")</f>
        <v>0</v>
      </c>
      <c r="AB30" s="206">
        <f>'Yield-penalty-by-LD-class'!B16</f>
        <v>0</v>
      </c>
      <c r="AC30" s="206">
        <f>'Yield-penalty-by-LD-class'!C16</f>
        <v>0</v>
      </c>
      <c r="AD30" s="95">
        <f t="shared" si="0"/>
        <v>0.25000000000000017</v>
      </c>
      <c r="AE30" s="9">
        <f t="shared" si="1"/>
        <v>0.39999999999999997</v>
      </c>
      <c r="AF30" s="95">
        <f t="shared" si="2"/>
        <v>0</v>
      </c>
      <c r="AL30" s="83"/>
      <c r="AM30" s="83"/>
      <c r="AN30" s="83"/>
    </row>
    <row r="31" spans="1:41" ht="19.350000000000001" customHeight="1" x14ac:dyDescent="0.25">
      <c r="A31" s="1" t="s">
        <v>309</v>
      </c>
      <c r="D31" s="1"/>
      <c r="F31" s="1"/>
      <c r="G31" s="60"/>
      <c r="H31" s="60"/>
      <c r="J31" s="246"/>
      <c r="K31" s="246"/>
      <c r="L31" s="442"/>
      <c r="V31" t="s">
        <v>152</v>
      </c>
      <c r="W31" s="295">
        <v>0.20779003220651682</v>
      </c>
      <c r="X31" s="295">
        <v>0.16623202576521345</v>
      </c>
      <c r="Y31" s="295">
        <v>0.11873716126086675</v>
      </c>
      <c r="Z31" s="140">
        <f>'Yield-data'!C18</f>
        <v>0</v>
      </c>
      <c r="AA31" s="9">
        <f>IFERROR(Z31*'Area&amp;production data'!F18,"")</f>
        <v>0</v>
      </c>
      <c r="AB31" s="206">
        <f>'Yield-penalty-by-LD-class'!B17</f>
        <v>0</v>
      </c>
      <c r="AC31" s="206">
        <f>'Yield-penalty-by-LD-class'!C17</f>
        <v>0</v>
      </c>
      <c r="AD31" s="95">
        <f t="shared" si="0"/>
        <v>0.25</v>
      </c>
      <c r="AE31" s="9">
        <f t="shared" si="1"/>
        <v>0.4</v>
      </c>
      <c r="AF31" s="95">
        <f t="shared" si="2"/>
        <v>0</v>
      </c>
    </row>
    <row r="32" spans="1:41" s="2" customFormat="1" ht="29.45" customHeight="1" x14ac:dyDescent="0.25">
      <c r="A32" s="44" t="s">
        <v>101</v>
      </c>
      <c r="B32" s="814" t="s">
        <v>310</v>
      </c>
      <c r="C32" s="814" t="s">
        <v>311</v>
      </c>
      <c r="D32" s="814"/>
      <c r="E32" s="814"/>
      <c r="F32" s="814"/>
      <c r="G32" s="814" t="s">
        <v>312</v>
      </c>
      <c r="H32" s="814"/>
      <c r="I32" s="814"/>
      <c r="J32" s="814"/>
      <c r="K32" s="814" t="s">
        <v>313</v>
      </c>
      <c r="L32" s="814"/>
      <c r="M32" s="814"/>
      <c r="N32" s="814"/>
      <c r="O32" s="814" t="s">
        <v>314</v>
      </c>
      <c r="P32" s="814"/>
      <c r="Q32" s="814"/>
      <c r="R32" s="814"/>
      <c r="S32" s="22" t="s">
        <v>120</v>
      </c>
      <c r="T32" s="44"/>
      <c r="V32" s="2" t="s">
        <v>153</v>
      </c>
      <c r="W32" s="295">
        <v>5.5234800848260171E-5</v>
      </c>
      <c r="X32" s="295">
        <v>4.4187841104530028E-5</v>
      </c>
      <c r="Y32" s="295">
        <v>3.1562748933295108E-5</v>
      </c>
      <c r="Z32" s="140">
        <f>'Yield-data'!C19</f>
        <v>0</v>
      </c>
      <c r="AA32" s="9">
        <f>IFERROR(Z32*'Area&amp;production data'!F19,0)</f>
        <v>0</v>
      </c>
      <c r="AB32" s="206">
        <f>'Yield-penalty-by-LD-class'!B18</f>
        <v>0</v>
      </c>
      <c r="AC32" s="206">
        <f>'Yield-penalty-by-LD-class'!C18</f>
        <v>0</v>
      </c>
      <c r="AD32" s="95">
        <f t="shared" si="0"/>
        <v>0.2499999879513832</v>
      </c>
      <c r="AE32" s="9">
        <f t="shared" si="1"/>
        <v>0.39999976548040417</v>
      </c>
      <c r="AF32" s="95">
        <f>SUMPRODUCT(W32:Y32,C48:E48)-Z32</f>
        <v>0</v>
      </c>
      <c r="AG32"/>
      <c r="AM32" s="434"/>
      <c r="AN32" s="44"/>
      <c r="AO32" s="44"/>
    </row>
    <row r="33" spans="1:32" x14ac:dyDescent="0.25">
      <c r="A33" s="1"/>
      <c r="B33" s="814"/>
      <c r="C33" s="1" t="s">
        <v>136</v>
      </c>
      <c r="D33" s="1" t="s">
        <v>137</v>
      </c>
      <c r="E33" s="1" t="s">
        <v>138</v>
      </c>
      <c r="F33" s="1" t="s">
        <v>120</v>
      </c>
      <c r="G33" s="1" t="s">
        <v>136</v>
      </c>
      <c r="H33" s="1" t="s">
        <v>137</v>
      </c>
      <c r="I33" s="1" t="s">
        <v>289</v>
      </c>
      <c r="J33" s="1" t="s">
        <v>120</v>
      </c>
      <c r="K33" s="1" t="s">
        <v>136</v>
      </c>
      <c r="L33" s="1" t="s">
        <v>137</v>
      </c>
      <c r="M33" s="1" t="s">
        <v>289</v>
      </c>
      <c r="N33" s="1" t="s">
        <v>120</v>
      </c>
      <c r="O33" s="1" t="s">
        <v>136</v>
      </c>
      <c r="P33" s="1" t="s">
        <v>137</v>
      </c>
      <c r="Q33" s="1" t="s">
        <v>289</v>
      </c>
      <c r="R33" s="1" t="s">
        <v>120</v>
      </c>
      <c r="V33" t="s">
        <v>154</v>
      </c>
      <c r="W33" s="295">
        <v>2.6401345856517344</v>
      </c>
      <c r="X33" s="295">
        <v>2.1121076685213875</v>
      </c>
      <c r="Y33" s="295">
        <v>1.5086483346581341</v>
      </c>
      <c r="Z33" s="140">
        <f>'Yield-data'!C20</f>
        <v>0</v>
      </c>
      <c r="AA33" s="9">
        <f>IFERROR(Z33*'Area&amp;production data'!F20,"")</f>
        <v>0</v>
      </c>
      <c r="AB33" s="206">
        <f>'Yield-penalty-by-LD-class'!B19</f>
        <v>0</v>
      </c>
      <c r="AC33" s="206">
        <f>'Yield-penalty-by-LD-class'!C19</f>
        <v>0</v>
      </c>
      <c r="AD33" s="95">
        <f t="shared" si="0"/>
        <v>0.25</v>
      </c>
      <c r="AE33" s="9">
        <f t="shared" si="1"/>
        <v>0.39999999999999986</v>
      </c>
      <c r="AF33" s="95">
        <f t="shared" si="2"/>
        <v>0</v>
      </c>
    </row>
    <row r="34" spans="1:32" x14ac:dyDescent="0.25">
      <c r="A34" s="13" t="s">
        <v>139</v>
      </c>
      <c r="B34" s="67">
        <f>'Area&amp;production data'!F5</f>
        <v>0</v>
      </c>
      <c r="C34" s="169">
        <f>'Area(ha)-by-degradation-level'!O5</f>
        <v>0</v>
      </c>
      <c r="D34" s="169">
        <f>'Area(ha)-by-degradation-level'!P5</f>
        <v>0</v>
      </c>
      <c r="E34" s="169">
        <f>'Area(ha)-by-degradation-level'!Q5</f>
        <v>0</v>
      </c>
      <c r="F34" s="25">
        <f>SUM(C34:E34)</f>
        <v>0</v>
      </c>
      <c r="G34" s="180">
        <f t="shared" ref="G34:I49" si="3">$W18-W18</f>
        <v>0</v>
      </c>
      <c r="H34" s="180">
        <f t="shared" si="3"/>
        <v>0.5850126210170119</v>
      </c>
      <c r="I34" s="180">
        <f t="shared" si="3"/>
        <v>1.343361788397551</v>
      </c>
      <c r="J34" s="81">
        <f>SUMPRODUCT(C34:E34,G34:I34)</f>
        <v>0</v>
      </c>
      <c r="K34" s="38">
        <f t="shared" ref="K34:N49" si="4">G34*C34*$B34</f>
        <v>0</v>
      </c>
      <c r="L34" s="38">
        <f t="shared" si="4"/>
        <v>0</v>
      </c>
      <c r="M34" s="38">
        <f t="shared" si="4"/>
        <v>0</v>
      </c>
      <c r="N34" s="38">
        <f t="shared" si="4"/>
        <v>0</v>
      </c>
      <c r="O34" s="38">
        <f t="shared" ref="O34:Q49" si="5">$D$19*K34</f>
        <v>0</v>
      </c>
      <c r="P34" s="38">
        <f t="shared" si="5"/>
        <v>0</v>
      </c>
      <c r="Q34" s="38">
        <f t="shared" si="5"/>
        <v>0</v>
      </c>
      <c r="R34" s="24">
        <f>SUM(O34:Q34)</f>
        <v>0</v>
      </c>
      <c r="V34" t="s">
        <v>155</v>
      </c>
      <c r="W34" s="295">
        <v>0.25053559212559806</v>
      </c>
      <c r="X34" s="295">
        <v>0.20042847370047845</v>
      </c>
      <c r="Y34" s="295">
        <v>0.14316319550034173</v>
      </c>
      <c r="Z34" s="140">
        <f>'Yield-data'!C21</f>
        <v>0</v>
      </c>
      <c r="AA34" s="9">
        <f>IFERROR(Z34*'Area&amp;production data'!F21,"")</f>
        <v>0</v>
      </c>
      <c r="AB34" s="206">
        <f>'Yield-penalty-by-LD-class'!B20</f>
        <v>0</v>
      </c>
      <c r="AC34" s="206">
        <f>'Yield-penalty-by-LD-class'!C20</f>
        <v>0</v>
      </c>
      <c r="AD34" s="95">
        <f t="shared" si="0"/>
        <v>0.25</v>
      </c>
      <c r="AE34" s="9">
        <f t="shared" si="1"/>
        <v>0.40000000000000013</v>
      </c>
      <c r="AF34" s="95">
        <f t="shared" si="2"/>
        <v>0</v>
      </c>
    </row>
    <row r="35" spans="1:32" x14ac:dyDescent="0.25">
      <c r="A35" s="13" t="s">
        <v>140</v>
      </c>
      <c r="B35" s="67">
        <f>'Area&amp;production data'!F6</f>
        <v>0</v>
      </c>
      <c r="C35" s="169">
        <f>'Area(ha)-by-degradation-level'!O6</f>
        <v>0</v>
      </c>
      <c r="D35" s="169">
        <f>'Area(ha)-by-degradation-level'!P6</f>
        <v>0</v>
      </c>
      <c r="E35" s="169">
        <f>'Area(ha)-by-degradation-level'!Q6</f>
        <v>0</v>
      </c>
      <c r="F35" s="25">
        <f t="shared" ref="F35:F57" si="6">SUM(C35:E35)</f>
        <v>0</v>
      </c>
      <c r="G35" s="180">
        <f t="shared" si="3"/>
        <v>0</v>
      </c>
      <c r="H35" s="180">
        <f t="shared" si="3"/>
        <v>0.48490839522970974</v>
      </c>
      <c r="I35" s="180">
        <f t="shared" si="3"/>
        <v>1.1134934286334695</v>
      </c>
      <c r="J35" s="81">
        <f t="shared" ref="J35:J57" si="7">SUMPRODUCT(C35:E35,G35:I35)</f>
        <v>0</v>
      </c>
      <c r="K35" s="38">
        <f t="shared" si="4"/>
        <v>0</v>
      </c>
      <c r="L35" s="38">
        <f t="shared" si="4"/>
        <v>0</v>
      </c>
      <c r="M35" s="38">
        <f t="shared" si="4"/>
        <v>0</v>
      </c>
      <c r="N35" s="38">
        <f t="shared" si="4"/>
        <v>0</v>
      </c>
      <c r="O35" s="38">
        <f t="shared" si="5"/>
        <v>0</v>
      </c>
      <c r="P35" s="38">
        <f t="shared" si="5"/>
        <v>0</v>
      </c>
      <c r="Q35" s="38">
        <f t="shared" si="5"/>
        <v>0</v>
      </c>
      <c r="R35" s="24">
        <f t="shared" ref="R35:R57" si="8">SUM(O35:Q35)</f>
        <v>0</v>
      </c>
      <c r="V35" t="s">
        <v>156</v>
      </c>
      <c r="W35" s="295">
        <v>4.7442887148240995</v>
      </c>
      <c r="X35" s="295">
        <v>3.7954311299657708</v>
      </c>
      <c r="Y35" s="295">
        <v>2.7110223461253304</v>
      </c>
      <c r="Z35" s="140">
        <f>'Yield-data'!C22</f>
        <v>0</v>
      </c>
      <c r="AA35" s="9">
        <f>IFERROR(Z35*'Area&amp;production data'!F22,"")</f>
        <v>0</v>
      </c>
      <c r="AB35" s="206">
        <f>'Yield-penalty-by-LD-class'!B21</f>
        <v>0</v>
      </c>
      <c r="AC35" s="206">
        <f>'Yield-penalty-by-LD-class'!C21</f>
        <v>0</v>
      </c>
      <c r="AD35" s="95">
        <f t="shared" si="0"/>
        <v>0.24999994792867866</v>
      </c>
      <c r="AE35" s="9">
        <f t="shared" si="1"/>
        <v>0.39999994296996777</v>
      </c>
      <c r="AF35" s="95">
        <f t="shared" si="2"/>
        <v>0</v>
      </c>
    </row>
    <row r="36" spans="1:32" x14ac:dyDescent="0.25">
      <c r="A36" s="13" t="s">
        <v>141</v>
      </c>
      <c r="B36" s="67">
        <f>'Area&amp;production data'!F7</f>
        <v>0</v>
      </c>
      <c r="C36" s="169">
        <f>'Area(ha)-by-degradation-level'!O7</f>
        <v>0</v>
      </c>
      <c r="D36" s="169">
        <f>'Area(ha)-by-degradation-level'!P7</f>
        <v>0</v>
      </c>
      <c r="E36" s="169">
        <f>'Area(ha)-by-degradation-level'!Q7</f>
        <v>0</v>
      </c>
      <c r="F36" s="25">
        <f t="shared" si="6"/>
        <v>0</v>
      </c>
      <c r="G36" s="180">
        <f t="shared" si="3"/>
        <v>0</v>
      </c>
      <c r="H36" s="180">
        <f t="shared" si="3"/>
        <v>0.39525906724547211</v>
      </c>
      <c r="I36" s="180">
        <f t="shared" si="3"/>
        <v>0.90763194724187435</v>
      </c>
      <c r="J36" s="81">
        <f t="shared" si="7"/>
        <v>0</v>
      </c>
      <c r="K36" s="38">
        <f t="shared" si="4"/>
        <v>0</v>
      </c>
      <c r="L36" s="38">
        <f t="shared" si="4"/>
        <v>0</v>
      </c>
      <c r="M36" s="38">
        <f t="shared" si="4"/>
        <v>0</v>
      </c>
      <c r="N36" s="38">
        <f t="shared" si="4"/>
        <v>0</v>
      </c>
      <c r="O36" s="38">
        <f t="shared" si="5"/>
        <v>0</v>
      </c>
      <c r="P36" s="38">
        <f t="shared" si="5"/>
        <v>0</v>
      </c>
      <c r="Q36" s="38">
        <f t="shared" si="5"/>
        <v>0</v>
      </c>
      <c r="R36" s="24">
        <f t="shared" si="8"/>
        <v>0</v>
      </c>
      <c r="V36" t="s">
        <v>157</v>
      </c>
      <c r="W36" s="295">
        <v>1.5759682433450246</v>
      </c>
      <c r="X36" s="295">
        <v>1.1673838839592776</v>
      </c>
      <c r="Y36" s="295">
        <v>0.77825592263951837</v>
      </c>
      <c r="Z36" s="140">
        <f>'Yield-data'!C23</f>
        <v>0</v>
      </c>
      <c r="AA36" s="9">
        <f>IFERROR(Z36*'Area&amp;production data'!F23,"")</f>
        <v>0</v>
      </c>
      <c r="AB36" s="206">
        <f>'Yield-penalty-by-LD-class'!B22</f>
        <v>0</v>
      </c>
      <c r="AC36" s="206">
        <f>'Yield-penalty-by-LD-class'!C22</f>
        <v>0</v>
      </c>
      <c r="AD36" s="95">
        <f t="shared" si="0"/>
        <v>0.34999999999999987</v>
      </c>
      <c r="AE36" s="9">
        <f t="shared" si="1"/>
        <v>0.50000000000000011</v>
      </c>
      <c r="AF36" s="95">
        <f t="shared" si="2"/>
        <v>0</v>
      </c>
    </row>
    <row r="37" spans="1:32" x14ac:dyDescent="0.25">
      <c r="A37" s="13" t="s">
        <v>142</v>
      </c>
      <c r="B37" s="67">
        <f>'Area&amp;production data'!F8</f>
        <v>0</v>
      </c>
      <c r="C37" s="169">
        <f>'Area(ha)-by-degradation-level'!O8</f>
        <v>0</v>
      </c>
      <c r="D37" s="169">
        <f>'Area(ha)-by-degradation-level'!P8</f>
        <v>0</v>
      </c>
      <c r="E37" s="169">
        <f>'Area(ha)-by-degradation-level'!Q8</f>
        <v>0</v>
      </c>
      <c r="F37" s="25">
        <f t="shared" si="6"/>
        <v>0</v>
      </c>
      <c r="G37" s="180">
        <f t="shared" si="3"/>
        <v>0</v>
      </c>
      <c r="H37" s="180">
        <f t="shared" si="3"/>
        <v>0.39613151608169694</v>
      </c>
      <c r="I37" s="180">
        <f t="shared" si="3"/>
        <v>0.90963534647853472</v>
      </c>
      <c r="J37" s="81">
        <f t="shared" si="7"/>
        <v>0</v>
      </c>
      <c r="K37" s="38">
        <f t="shared" si="4"/>
        <v>0</v>
      </c>
      <c r="L37" s="38">
        <f t="shared" si="4"/>
        <v>0</v>
      </c>
      <c r="M37" s="38">
        <f t="shared" si="4"/>
        <v>0</v>
      </c>
      <c r="N37" s="38">
        <f t="shared" si="4"/>
        <v>0</v>
      </c>
      <c r="O37" s="38">
        <f t="shared" si="5"/>
        <v>0</v>
      </c>
      <c r="P37" s="38">
        <f t="shared" si="5"/>
        <v>0</v>
      </c>
      <c r="Q37" s="38">
        <f t="shared" si="5"/>
        <v>0</v>
      </c>
      <c r="R37" s="24">
        <f t="shared" si="8"/>
        <v>0</v>
      </c>
      <c r="V37" t="s">
        <v>158</v>
      </c>
      <c r="W37" s="295">
        <v>1.2489400808479141</v>
      </c>
      <c r="X37" s="295">
        <v>0.92514080062808457</v>
      </c>
      <c r="Y37" s="295">
        <v>0.61676053375205631</v>
      </c>
      <c r="Z37" s="140">
        <f>'Yield-data'!C24</f>
        <v>0</v>
      </c>
      <c r="AA37" s="9">
        <f>IFERROR(Z37*'Area&amp;production data'!F24,"")</f>
        <v>0</v>
      </c>
      <c r="AB37" s="206">
        <f>'Yield-penalty-by-LD-class'!B23</f>
        <v>0</v>
      </c>
      <c r="AC37" s="206">
        <f>'Yield-penalty-by-LD-class'!C23</f>
        <v>0</v>
      </c>
      <c r="AD37" s="95">
        <f t="shared" si="0"/>
        <v>0.34999999999999992</v>
      </c>
      <c r="AE37" s="9">
        <f t="shared" si="1"/>
        <v>0.50000000000000022</v>
      </c>
      <c r="AF37" s="95">
        <f t="shared" si="2"/>
        <v>0</v>
      </c>
    </row>
    <row r="38" spans="1:32" x14ac:dyDescent="0.25">
      <c r="A38" s="13" t="s">
        <v>143</v>
      </c>
      <c r="B38" s="67">
        <f>'Area&amp;production data'!F9</f>
        <v>0</v>
      </c>
      <c r="C38" s="169">
        <f>'Area(ha)-by-degradation-level'!O9</f>
        <v>0</v>
      </c>
      <c r="D38" s="169">
        <f>'Area(ha)-by-degradation-level'!P9</f>
        <v>0</v>
      </c>
      <c r="E38" s="169">
        <f>'Area(ha)-by-degradation-level'!Q9</f>
        <v>0</v>
      </c>
      <c r="F38" s="25">
        <f t="shared" si="6"/>
        <v>0</v>
      </c>
      <c r="G38" s="180">
        <f t="shared" si="3"/>
        <v>0</v>
      </c>
      <c r="H38" s="180">
        <f t="shared" si="3"/>
        <v>0.51040980583195639</v>
      </c>
      <c r="I38" s="180">
        <f t="shared" si="3"/>
        <v>1.1720523707940056</v>
      </c>
      <c r="J38" s="81">
        <f t="shared" si="7"/>
        <v>0</v>
      </c>
      <c r="K38" s="38">
        <f t="shared" si="4"/>
        <v>0</v>
      </c>
      <c r="L38" s="38">
        <f t="shared" si="4"/>
        <v>0</v>
      </c>
      <c r="M38" s="38">
        <f t="shared" si="4"/>
        <v>0</v>
      </c>
      <c r="N38" s="38">
        <f t="shared" si="4"/>
        <v>0</v>
      </c>
      <c r="O38" s="38">
        <f t="shared" si="5"/>
        <v>0</v>
      </c>
      <c r="P38" s="38">
        <f t="shared" si="5"/>
        <v>0</v>
      </c>
      <c r="Q38" s="38">
        <f t="shared" si="5"/>
        <v>0</v>
      </c>
      <c r="R38" s="24">
        <f t="shared" si="8"/>
        <v>0</v>
      </c>
      <c r="V38" t="s">
        <v>159</v>
      </c>
      <c r="W38" s="295">
        <v>0.54861157297410901</v>
      </c>
      <c r="X38" s="295">
        <v>0.40637894294378446</v>
      </c>
      <c r="Y38" s="295">
        <v>0.27091929529585634</v>
      </c>
      <c r="Z38" s="140">
        <f>'Yield-data'!C25</f>
        <v>0</v>
      </c>
      <c r="AA38" s="9">
        <f>IFERROR(Z38*'Area&amp;production data'!F25,"")</f>
        <v>0</v>
      </c>
      <c r="AB38" s="206">
        <f>'Yield-penalty-by-LD-class'!B24</f>
        <v>0</v>
      </c>
      <c r="AC38" s="206">
        <f>'Yield-penalty-by-LD-class'!C24</f>
        <v>0</v>
      </c>
      <c r="AD38" s="95">
        <f t="shared" si="0"/>
        <v>0.35</v>
      </c>
      <c r="AE38" s="9">
        <f t="shared" si="1"/>
        <v>0.49999999999999978</v>
      </c>
      <c r="AF38" s="95">
        <f t="shared" si="2"/>
        <v>0</v>
      </c>
    </row>
    <row r="39" spans="1:32" x14ac:dyDescent="0.25">
      <c r="A39" s="13" t="s">
        <v>144</v>
      </c>
      <c r="B39" s="67">
        <f>'Area&amp;production data'!F10</f>
        <v>0</v>
      </c>
      <c r="C39" s="169">
        <f>'Area(ha)-by-degradation-level'!O10</f>
        <v>0</v>
      </c>
      <c r="D39" s="169">
        <f>'Area(ha)-by-degradation-level'!P10</f>
        <v>0</v>
      </c>
      <c r="E39" s="169">
        <f>'Area(ha)-by-degradation-level'!Q10</f>
        <v>0</v>
      </c>
      <c r="F39" s="25">
        <f t="shared" si="6"/>
        <v>0</v>
      </c>
      <c r="G39" s="180">
        <f t="shared" si="3"/>
        <v>0</v>
      </c>
      <c r="H39" s="180">
        <f t="shared" si="3"/>
        <v>0.53329251768220454</v>
      </c>
      <c r="I39" s="180">
        <f t="shared" si="3"/>
        <v>1.2245979573938472</v>
      </c>
      <c r="J39" s="81">
        <f t="shared" si="7"/>
        <v>0</v>
      </c>
      <c r="K39" s="38">
        <f t="shared" si="4"/>
        <v>0</v>
      </c>
      <c r="L39" s="38">
        <f t="shared" si="4"/>
        <v>0</v>
      </c>
      <c r="M39" s="38">
        <f t="shared" si="4"/>
        <v>0</v>
      </c>
      <c r="N39" s="38">
        <f t="shared" si="4"/>
        <v>0</v>
      </c>
      <c r="O39" s="38">
        <f t="shared" si="5"/>
        <v>0</v>
      </c>
      <c r="P39" s="38">
        <f t="shared" si="5"/>
        <v>0</v>
      </c>
      <c r="Q39" s="38">
        <f t="shared" si="5"/>
        <v>0</v>
      </c>
      <c r="R39" s="24">
        <f t="shared" si="8"/>
        <v>0</v>
      </c>
      <c r="V39" t="s">
        <v>160</v>
      </c>
      <c r="W39" s="295">
        <v>3.2565792666934006</v>
      </c>
      <c r="X39" s="295">
        <v>2.4122805498155282</v>
      </c>
      <c r="Y39" s="295">
        <v>1.6081867798560097</v>
      </c>
      <c r="Z39" s="140">
        <f>'Yield-data'!C26</f>
        <v>0</v>
      </c>
      <c r="AA39" s="9">
        <f>IFERROR(Z39*'Area&amp;production data'!F26,"")</f>
        <v>0</v>
      </c>
      <c r="AB39" s="206">
        <f>'Yield-penalty-by-LD-class'!B25</f>
        <v>0</v>
      </c>
      <c r="AC39" s="206">
        <f>'Yield-penalty-by-LD-class'!C25</f>
        <v>0</v>
      </c>
      <c r="AD39" s="95">
        <f t="shared" si="0"/>
        <v>0.35000021740524234</v>
      </c>
      <c r="AE39" s="9">
        <f t="shared" si="1"/>
        <v>0.50000023631055701</v>
      </c>
      <c r="AF39" s="95">
        <f t="shared" si="2"/>
        <v>0</v>
      </c>
    </row>
    <row r="40" spans="1:32" x14ac:dyDescent="0.25">
      <c r="A40" s="13" t="s">
        <v>145</v>
      </c>
      <c r="B40" s="67">
        <f>'Area&amp;production data'!F11</f>
        <v>0</v>
      </c>
      <c r="C40" s="169">
        <f>'Area(ha)-by-degradation-level'!O11</f>
        <v>0</v>
      </c>
      <c r="D40" s="169">
        <f>'Area(ha)-by-degradation-level'!P11</f>
        <v>0</v>
      </c>
      <c r="E40" s="169">
        <f>'Area(ha)-by-degradation-level'!Q11</f>
        <v>0</v>
      </c>
      <c r="F40" s="25">
        <f t="shared" si="6"/>
        <v>0</v>
      </c>
      <c r="G40" s="180">
        <f t="shared" si="3"/>
        <v>0</v>
      </c>
      <c r="H40" s="180">
        <f t="shared" si="3"/>
        <v>0.21229496662322545</v>
      </c>
      <c r="I40" s="180">
        <f t="shared" si="3"/>
        <v>0.4874919351118997</v>
      </c>
      <c r="J40" s="81">
        <f t="shared" si="7"/>
        <v>0</v>
      </c>
      <c r="K40" s="38">
        <f t="shared" si="4"/>
        <v>0</v>
      </c>
      <c r="L40" s="38">
        <f t="shared" si="4"/>
        <v>0</v>
      </c>
      <c r="M40" s="38">
        <f t="shared" si="4"/>
        <v>0</v>
      </c>
      <c r="N40" s="38">
        <f t="shared" si="4"/>
        <v>0</v>
      </c>
      <c r="O40" s="38">
        <f t="shared" si="5"/>
        <v>0</v>
      </c>
      <c r="P40" s="38">
        <f t="shared" si="5"/>
        <v>0</v>
      </c>
      <c r="Q40" s="38">
        <f t="shared" si="5"/>
        <v>0</v>
      </c>
      <c r="R40" s="24">
        <f t="shared" si="8"/>
        <v>0</v>
      </c>
      <c r="V40" t="s">
        <v>161</v>
      </c>
      <c r="W40" s="295">
        <v>1.9338572927643765E-7</v>
      </c>
      <c r="X40" s="295">
        <v>1.4324871671367353E-7</v>
      </c>
      <c r="Y40" s="295">
        <v>9.5499143903666844E-8</v>
      </c>
      <c r="Z40" s="140">
        <f>'Yield-data'!C27</f>
        <v>0</v>
      </c>
      <c r="AA40" s="9">
        <f>IFERROR(Z40*'Area&amp;production data'!F27,"")</f>
        <v>0</v>
      </c>
      <c r="AB40" s="206">
        <f>'Yield-penalty-by-LD-class'!B26</f>
        <v>0</v>
      </c>
      <c r="AC40" s="206">
        <f>'Yield-penalty-by-LD-class'!C26</f>
        <v>0</v>
      </c>
      <c r="AD40" s="95">
        <f t="shared" si="0"/>
        <v>0.34999973272345825</v>
      </c>
      <c r="AE40" s="9">
        <f t="shared" si="1"/>
        <v>0.50000000898618802</v>
      </c>
      <c r="AF40" s="95">
        <f>SUMPRODUCT(W40:Y40,C56:E56)-Z40</f>
        <v>0</v>
      </c>
    </row>
    <row r="41" spans="1:32" x14ac:dyDescent="0.25">
      <c r="A41" s="13" t="s">
        <v>146</v>
      </c>
      <c r="B41" s="67">
        <f>'Area&amp;production data'!F12</f>
        <v>0</v>
      </c>
      <c r="C41" s="169">
        <f>'Area(ha)-by-degradation-level'!O12</f>
        <v>0</v>
      </c>
      <c r="D41" s="169">
        <f>'Area(ha)-by-degradation-level'!P12</f>
        <v>0</v>
      </c>
      <c r="E41" s="169">
        <f>'Area(ha)-by-degradation-level'!Q12</f>
        <v>0</v>
      </c>
      <c r="F41" s="25">
        <f t="shared" si="6"/>
        <v>0</v>
      </c>
      <c r="G41" s="180">
        <f t="shared" si="3"/>
        <v>0</v>
      </c>
      <c r="H41" s="180">
        <f t="shared" si="3"/>
        <v>0.62132739952934024</v>
      </c>
      <c r="I41" s="180">
        <f t="shared" si="3"/>
        <v>1.4267518241301209</v>
      </c>
      <c r="J41" s="81">
        <f t="shared" si="7"/>
        <v>0</v>
      </c>
      <c r="K41" s="38">
        <f t="shared" si="4"/>
        <v>0</v>
      </c>
      <c r="L41" s="38">
        <f t="shared" si="4"/>
        <v>0</v>
      </c>
      <c r="M41" s="38">
        <f t="shared" si="4"/>
        <v>0</v>
      </c>
      <c r="N41" s="38">
        <f t="shared" si="4"/>
        <v>0</v>
      </c>
      <c r="O41" s="38">
        <f t="shared" si="5"/>
        <v>0</v>
      </c>
      <c r="P41" s="38">
        <f t="shared" si="5"/>
        <v>0</v>
      </c>
      <c r="Q41" s="38">
        <f t="shared" si="5"/>
        <v>0</v>
      </c>
      <c r="R41" s="24">
        <f t="shared" si="8"/>
        <v>0</v>
      </c>
      <c r="V41" t="s">
        <v>162</v>
      </c>
      <c r="W41" s="295">
        <v>0.6031913812666102</v>
      </c>
      <c r="X41" s="295">
        <v>0.44680866251543405</v>
      </c>
      <c r="Y41" s="295">
        <v>0.29787259294736063</v>
      </c>
      <c r="Z41" s="140">
        <f>'Yield-data'!C28</f>
        <v>0</v>
      </c>
      <c r="AA41" s="9">
        <f>IFERROR(Z41*'Area&amp;production data'!F28,"")</f>
        <v>0</v>
      </c>
      <c r="AB41" s="206">
        <f>'Yield-penalty-by-LD-class'!B27</f>
        <v>0</v>
      </c>
      <c r="AC41" s="206">
        <f>'Yield-penalty-by-LD-class'!C27</f>
        <v>0</v>
      </c>
      <c r="AD41" s="95">
        <f t="shared" si="0"/>
        <v>0.34999929918720912</v>
      </c>
      <c r="AE41" s="9">
        <f t="shared" si="1"/>
        <v>0.49999923824610837</v>
      </c>
      <c r="AF41" s="95">
        <f t="shared" si="2"/>
        <v>0</v>
      </c>
    </row>
    <row r="42" spans="1:32" x14ac:dyDescent="0.25">
      <c r="A42" s="13" t="s">
        <v>147</v>
      </c>
      <c r="B42" s="67">
        <f>'Area&amp;production data'!F13</f>
        <v>0</v>
      </c>
      <c r="C42" s="169">
        <f>'Area(ha)-by-degradation-level'!O13</f>
        <v>0</v>
      </c>
      <c r="D42" s="169">
        <f>'Area(ha)-by-degradation-level'!P13</f>
        <v>0</v>
      </c>
      <c r="E42" s="169">
        <f>'Area(ha)-by-degradation-level'!Q13</f>
        <v>0</v>
      </c>
      <c r="F42" s="25">
        <f t="shared" si="6"/>
        <v>0</v>
      </c>
      <c r="G42" s="180">
        <f t="shared" si="3"/>
        <v>0</v>
      </c>
      <c r="H42" s="180">
        <f t="shared" si="3"/>
        <v>0.48798324296562789</v>
      </c>
      <c r="I42" s="180">
        <f t="shared" si="3"/>
        <v>1.1205541156650758</v>
      </c>
      <c r="J42" s="81">
        <f t="shared" si="7"/>
        <v>0</v>
      </c>
      <c r="K42" s="38">
        <f t="shared" si="4"/>
        <v>0</v>
      </c>
      <c r="L42" s="38">
        <f t="shared" si="4"/>
        <v>0</v>
      </c>
      <c r="M42" s="38">
        <f t="shared" si="4"/>
        <v>0</v>
      </c>
      <c r="N42" s="38">
        <f t="shared" si="4"/>
        <v>0</v>
      </c>
      <c r="O42" s="38">
        <f t="shared" si="5"/>
        <v>0</v>
      </c>
      <c r="P42" s="38">
        <f t="shared" si="5"/>
        <v>0</v>
      </c>
      <c r="Q42" s="38">
        <f t="shared" si="5"/>
        <v>0</v>
      </c>
      <c r="R42" s="24">
        <f t="shared" si="8"/>
        <v>0</v>
      </c>
      <c r="V42" t="s">
        <v>163</v>
      </c>
      <c r="W42" s="28">
        <f>SUMPRODUCT(W18:W41,C34:C57)</f>
        <v>0</v>
      </c>
      <c r="X42" s="28">
        <f>SUMPRODUCT(X18:X41,D34:D57)</f>
        <v>0</v>
      </c>
      <c r="Y42" s="28">
        <f t="shared" ref="Y42" si="9">SUMPRODUCT(Y18:Y41,E34:E57)</f>
        <v>0</v>
      </c>
      <c r="Z42" s="28" t="e">
        <f>SUMPRODUCT(Z18:Z41,B34:B57)/B58</f>
        <v>#DIV/0!</v>
      </c>
      <c r="AA42" s="26">
        <f>SUMPRODUCT(Z18:Z41,B34:B57)</f>
        <v>0</v>
      </c>
      <c r="AB42" s="26" t="e">
        <f>SUMPRODUCT(AB18:AB41,B34:B57)/B58</f>
        <v>#DIV/0!</v>
      </c>
      <c r="AC42" s="26" t="e">
        <f>SUMPRODUCT(AC18:AC41,B34:B57)/B58</f>
        <v>#DIV/0!</v>
      </c>
    </row>
    <row r="43" spans="1:32" x14ac:dyDescent="0.25">
      <c r="A43" s="13" t="s">
        <v>148</v>
      </c>
      <c r="B43" s="67">
        <f>'Area&amp;production data'!F14</f>
        <v>0</v>
      </c>
      <c r="C43" s="169">
        <f>'Area(ha)-by-degradation-level'!O14</f>
        <v>0</v>
      </c>
      <c r="D43" s="169">
        <f>'Area(ha)-by-degradation-level'!P14</f>
        <v>0</v>
      </c>
      <c r="E43" s="169">
        <f>'Area(ha)-by-degradation-level'!Q14</f>
        <v>0</v>
      </c>
      <c r="F43" s="25">
        <f t="shared" si="6"/>
        <v>0</v>
      </c>
      <c r="G43" s="180">
        <f t="shared" si="3"/>
        <v>0</v>
      </c>
      <c r="H43" s="180">
        <f t="shared" si="3"/>
        <v>0.27798952946581812</v>
      </c>
      <c r="I43" s="180">
        <f t="shared" si="3"/>
        <v>0.59569185910223732</v>
      </c>
      <c r="J43" s="81">
        <f t="shared" si="7"/>
        <v>0</v>
      </c>
      <c r="K43" s="38">
        <f t="shared" si="4"/>
        <v>0</v>
      </c>
      <c r="L43" s="38">
        <f t="shared" si="4"/>
        <v>0</v>
      </c>
      <c r="M43" s="38">
        <f t="shared" si="4"/>
        <v>0</v>
      </c>
      <c r="N43" s="38">
        <f t="shared" si="4"/>
        <v>0</v>
      </c>
      <c r="O43" s="38">
        <f t="shared" si="5"/>
        <v>0</v>
      </c>
      <c r="P43" s="38">
        <f t="shared" si="5"/>
        <v>0</v>
      </c>
      <c r="Q43" s="38">
        <f t="shared" si="5"/>
        <v>0</v>
      </c>
      <c r="R43" s="24">
        <f t="shared" si="8"/>
        <v>0</v>
      </c>
      <c r="W43" s="297"/>
      <c r="X43" s="297"/>
      <c r="Y43" s="297"/>
      <c r="Z43" s="140"/>
      <c r="AA43" s="23"/>
      <c r="AB43" s="26"/>
      <c r="AC43" s="26"/>
      <c r="AD43" s="140"/>
      <c r="AE43" s="140"/>
      <c r="AF43" s="95"/>
    </row>
    <row r="44" spans="1:32" x14ac:dyDescent="0.25">
      <c r="A44" s="13" t="s">
        <v>149</v>
      </c>
      <c r="B44" s="67">
        <f>'Area&amp;production data'!F15</f>
        <v>0</v>
      </c>
      <c r="C44" s="169">
        <f>'Area(ha)-by-degradation-level'!O15</f>
        <v>0</v>
      </c>
      <c r="D44" s="169">
        <f>'Area(ha)-by-degradation-level'!P15</f>
        <v>0</v>
      </c>
      <c r="E44" s="169">
        <f>'Area(ha)-by-degradation-level'!Q15</f>
        <v>0</v>
      </c>
      <c r="F44" s="25">
        <f t="shared" si="6"/>
        <v>0</v>
      </c>
      <c r="G44" s="180">
        <f t="shared" si="3"/>
        <v>0</v>
      </c>
      <c r="H44" s="180">
        <f t="shared" si="3"/>
        <v>0.39259815348243077</v>
      </c>
      <c r="I44" s="180">
        <f t="shared" si="3"/>
        <v>0.84128185758182217</v>
      </c>
      <c r="J44" s="81">
        <f t="shared" si="7"/>
        <v>0</v>
      </c>
      <c r="K44" s="38">
        <f t="shared" si="4"/>
        <v>0</v>
      </c>
      <c r="L44" s="38">
        <f t="shared" si="4"/>
        <v>0</v>
      </c>
      <c r="M44" s="38">
        <f t="shared" si="4"/>
        <v>0</v>
      </c>
      <c r="N44" s="38">
        <f t="shared" si="4"/>
        <v>0</v>
      </c>
      <c r="O44" s="38">
        <f t="shared" si="5"/>
        <v>0</v>
      </c>
      <c r="P44" s="38">
        <f t="shared" si="5"/>
        <v>0</v>
      </c>
      <c r="Q44" s="38">
        <f t="shared" si="5"/>
        <v>0</v>
      </c>
      <c r="R44" s="24">
        <f t="shared" si="8"/>
        <v>0</v>
      </c>
      <c r="T44" s="1"/>
      <c r="W44" s="52"/>
      <c r="X44" s="290"/>
      <c r="Y44" s="290"/>
    </row>
    <row r="45" spans="1:32" x14ac:dyDescent="0.25">
      <c r="A45" s="13" t="s">
        <v>150</v>
      </c>
      <c r="B45" s="67">
        <f>'Area&amp;production data'!F16</f>
        <v>0</v>
      </c>
      <c r="C45" s="169">
        <f>'Area(ha)-by-degradation-level'!O16</f>
        <v>0</v>
      </c>
      <c r="D45" s="169">
        <f>'Area(ha)-by-degradation-level'!P16</f>
        <v>0</v>
      </c>
      <c r="E45" s="169">
        <f>'Area(ha)-by-degradation-level'!Q16</f>
        <v>0</v>
      </c>
      <c r="F45" s="25">
        <f t="shared" si="6"/>
        <v>0</v>
      </c>
      <c r="G45" s="180">
        <f t="shared" si="3"/>
        <v>0</v>
      </c>
      <c r="H45" s="180">
        <f t="shared" si="3"/>
        <v>3.3786378286103202E-2</v>
      </c>
      <c r="I45" s="180">
        <f t="shared" si="3"/>
        <v>7.2399382041649737E-2</v>
      </c>
      <c r="J45" s="81">
        <f t="shared" si="7"/>
        <v>0</v>
      </c>
      <c r="K45" s="38">
        <f t="shared" si="4"/>
        <v>0</v>
      </c>
      <c r="L45" s="38">
        <f t="shared" si="4"/>
        <v>0</v>
      </c>
      <c r="M45" s="38">
        <f t="shared" si="4"/>
        <v>0</v>
      </c>
      <c r="N45" s="38">
        <f t="shared" si="4"/>
        <v>0</v>
      </c>
      <c r="O45" s="38">
        <f t="shared" si="5"/>
        <v>0</v>
      </c>
      <c r="P45" s="38">
        <f t="shared" si="5"/>
        <v>0</v>
      </c>
      <c r="Q45" s="38">
        <f t="shared" si="5"/>
        <v>0</v>
      </c>
      <c r="R45" s="24">
        <f t="shared" si="8"/>
        <v>0</v>
      </c>
      <c r="U45" s="1"/>
      <c r="X45" s="431"/>
      <c r="Y45" s="431"/>
      <c r="AA45" s="76"/>
      <c r="AB45" s="76"/>
    </row>
    <row r="46" spans="1:32" s="1" customFormat="1" x14ac:dyDescent="0.25">
      <c r="A46" s="13" t="s">
        <v>151</v>
      </c>
      <c r="B46" s="67">
        <f>'Area&amp;production data'!F17</f>
        <v>0</v>
      </c>
      <c r="C46" s="169">
        <f>'Area(ha)-by-degradation-level'!O17</f>
        <v>0</v>
      </c>
      <c r="D46" s="169">
        <f>'Area(ha)-by-degradation-level'!P17</f>
        <v>0</v>
      </c>
      <c r="E46" s="169">
        <f>'Area(ha)-by-degradation-level'!Q17</f>
        <v>0</v>
      </c>
      <c r="F46" s="25">
        <f t="shared" si="6"/>
        <v>0</v>
      </c>
      <c r="G46" s="180">
        <f t="shared" si="3"/>
        <v>0</v>
      </c>
      <c r="H46" s="180">
        <f t="shared" si="3"/>
        <v>1.0062010831806599E-2</v>
      </c>
      <c r="I46" s="180">
        <f t="shared" si="3"/>
        <v>2.1561451782442703E-2</v>
      </c>
      <c r="J46" s="81">
        <f t="shared" si="7"/>
        <v>0</v>
      </c>
      <c r="K46" s="38">
        <f t="shared" si="4"/>
        <v>0</v>
      </c>
      <c r="L46" s="38">
        <f t="shared" si="4"/>
        <v>0</v>
      </c>
      <c r="M46" s="38">
        <f t="shared" si="4"/>
        <v>0</v>
      </c>
      <c r="N46" s="38">
        <f t="shared" si="4"/>
        <v>0</v>
      </c>
      <c r="O46" s="38">
        <f t="shared" si="5"/>
        <v>0</v>
      </c>
      <c r="P46" s="38">
        <f t="shared" si="5"/>
        <v>0</v>
      </c>
      <c r="Q46" s="38">
        <f t="shared" si="5"/>
        <v>0</v>
      </c>
      <c r="R46" s="24">
        <f t="shared" si="8"/>
        <v>0</v>
      </c>
      <c r="S46"/>
      <c r="T46"/>
      <c r="V46" s="189"/>
      <c r="X46" s="290"/>
      <c r="Y46" s="290"/>
      <c r="Z46"/>
      <c r="AA46"/>
      <c r="AB46"/>
      <c r="AC46"/>
      <c r="AD46"/>
    </row>
    <row r="47" spans="1:32" x14ac:dyDescent="0.25">
      <c r="A47" s="13" t="s">
        <v>152</v>
      </c>
      <c r="B47" s="67">
        <f>'Area&amp;production data'!F18</f>
        <v>0</v>
      </c>
      <c r="C47" s="169">
        <f>'Area(ha)-by-degradation-level'!O18</f>
        <v>0</v>
      </c>
      <c r="D47" s="169">
        <f>'Area(ha)-by-degradation-level'!P18</f>
        <v>0</v>
      </c>
      <c r="E47" s="169">
        <f>'Area(ha)-by-degradation-level'!Q18</f>
        <v>0</v>
      </c>
      <c r="F47" s="25">
        <f t="shared" si="6"/>
        <v>0</v>
      </c>
      <c r="G47" s="180">
        <f t="shared" si="3"/>
        <v>0</v>
      </c>
      <c r="H47" s="180">
        <f t="shared" si="3"/>
        <v>4.1558006441303363E-2</v>
      </c>
      <c r="I47" s="180">
        <f t="shared" si="3"/>
        <v>8.9052870945650064E-2</v>
      </c>
      <c r="J47" s="81">
        <f t="shared" si="7"/>
        <v>0</v>
      </c>
      <c r="K47" s="38">
        <f t="shared" si="4"/>
        <v>0</v>
      </c>
      <c r="L47" s="38">
        <f t="shared" si="4"/>
        <v>0</v>
      </c>
      <c r="M47" s="38">
        <f t="shared" si="4"/>
        <v>0</v>
      </c>
      <c r="N47" s="38">
        <f t="shared" si="4"/>
        <v>0</v>
      </c>
      <c r="O47" s="38">
        <f t="shared" si="5"/>
        <v>0</v>
      </c>
      <c r="P47" s="38">
        <f t="shared" si="5"/>
        <v>0</v>
      </c>
      <c r="Q47" s="38">
        <f t="shared" si="5"/>
        <v>0</v>
      </c>
      <c r="R47" s="24">
        <f t="shared" si="8"/>
        <v>0</v>
      </c>
      <c r="X47" s="290"/>
      <c r="Y47" s="290"/>
    </row>
    <row r="48" spans="1:32" x14ac:dyDescent="0.25">
      <c r="A48" s="13" t="s">
        <v>153</v>
      </c>
      <c r="B48" s="67">
        <f>'Area&amp;production data'!F19</f>
        <v>0</v>
      </c>
      <c r="C48" s="169">
        <f>'Area(ha)-by-degradation-level'!O19</f>
        <v>0</v>
      </c>
      <c r="D48" s="169">
        <f>'Area(ha)-by-degradation-level'!P19</f>
        <v>0</v>
      </c>
      <c r="E48" s="169">
        <f>'Area(ha)-by-degradation-level'!Q19</f>
        <v>0</v>
      </c>
      <c r="F48" s="25">
        <f t="shared" si="6"/>
        <v>0</v>
      </c>
      <c r="G48" s="180">
        <f t="shared" si="3"/>
        <v>0</v>
      </c>
      <c r="H48" s="180">
        <f t="shared" si="3"/>
        <v>1.1046959743730143E-5</v>
      </c>
      <c r="I48" s="180">
        <f t="shared" si="3"/>
        <v>2.3672051914965063E-5</v>
      </c>
      <c r="J48" s="81">
        <f t="shared" si="7"/>
        <v>0</v>
      </c>
      <c r="K48" s="38">
        <f t="shared" si="4"/>
        <v>0</v>
      </c>
      <c r="L48" s="38">
        <f t="shared" si="4"/>
        <v>0</v>
      </c>
      <c r="M48" s="38">
        <f t="shared" si="4"/>
        <v>0</v>
      </c>
      <c r="N48" s="38">
        <f t="shared" si="4"/>
        <v>0</v>
      </c>
      <c r="O48" s="38">
        <f t="shared" si="5"/>
        <v>0</v>
      </c>
      <c r="P48" s="38">
        <f t="shared" si="5"/>
        <v>0</v>
      </c>
      <c r="Q48" s="38">
        <f t="shared" si="5"/>
        <v>0</v>
      </c>
      <c r="R48" s="24">
        <f t="shared" si="8"/>
        <v>0</v>
      </c>
      <c r="S48" s="39" t="b">
        <f>SUM(O58:Q58)=R58</f>
        <v>1</v>
      </c>
      <c r="X48" s="290"/>
      <c r="Y48" s="290"/>
    </row>
    <row r="49" spans="1:30" x14ac:dyDescent="0.25">
      <c r="A49" s="13" t="s">
        <v>154</v>
      </c>
      <c r="B49" s="67">
        <f>'Area&amp;production data'!F20</f>
        <v>0</v>
      </c>
      <c r="C49" s="169">
        <f>'Area(ha)-by-degradation-level'!O20</f>
        <v>0</v>
      </c>
      <c r="D49" s="169">
        <f>'Area(ha)-by-degradation-level'!P20</f>
        <v>0</v>
      </c>
      <c r="E49" s="169">
        <f>'Area(ha)-by-degradation-level'!Q20</f>
        <v>0</v>
      </c>
      <c r="F49" s="25">
        <f t="shared" si="6"/>
        <v>0</v>
      </c>
      <c r="G49" s="180">
        <f t="shared" si="3"/>
        <v>0</v>
      </c>
      <c r="H49" s="180">
        <f t="shared" si="3"/>
        <v>0.52802691713034688</v>
      </c>
      <c r="I49" s="180">
        <f t="shared" si="3"/>
        <v>1.1314862509936003</v>
      </c>
      <c r="J49" s="81">
        <f t="shared" si="7"/>
        <v>0</v>
      </c>
      <c r="K49" s="38">
        <f t="shared" si="4"/>
        <v>0</v>
      </c>
      <c r="L49" s="38">
        <f t="shared" si="4"/>
        <v>0</v>
      </c>
      <c r="M49" s="38">
        <f t="shared" si="4"/>
        <v>0</v>
      </c>
      <c r="N49" s="38">
        <f t="shared" si="4"/>
        <v>0</v>
      </c>
      <c r="O49" s="38">
        <f t="shared" si="5"/>
        <v>0</v>
      </c>
      <c r="P49" s="38">
        <f t="shared" si="5"/>
        <v>0</v>
      </c>
      <c r="Q49" s="38">
        <f t="shared" si="5"/>
        <v>0</v>
      </c>
      <c r="R49" s="24">
        <f t="shared" si="8"/>
        <v>0</v>
      </c>
      <c r="X49" s="290"/>
      <c r="Y49" s="290"/>
    </row>
    <row r="50" spans="1:30" x14ac:dyDescent="0.25">
      <c r="A50" s="13" t="s">
        <v>155</v>
      </c>
      <c r="B50" s="67">
        <f>'Area&amp;production data'!F21</f>
        <v>0</v>
      </c>
      <c r="C50" s="169">
        <f>'Area(ha)-by-degradation-level'!O21</f>
        <v>0</v>
      </c>
      <c r="D50" s="169">
        <f>'Area(ha)-by-degradation-level'!P21</f>
        <v>0</v>
      </c>
      <c r="E50" s="169">
        <f>'Area(ha)-by-degradation-level'!Q21</f>
        <v>0</v>
      </c>
      <c r="F50" s="25">
        <f t="shared" si="6"/>
        <v>0</v>
      </c>
      <c r="G50" s="180">
        <f t="shared" ref="G50:I57" si="10">$W34-W34</f>
        <v>0</v>
      </c>
      <c r="H50" s="180">
        <f t="shared" si="10"/>
        <v>5.0107118425119612E-2</v>
      </c>
      <c r="I50" s="180">
        <f t="shared" si="10"/>
        <v>0.10737239662525633</v>
      </c>
      <c r="J50" s="81">
        <f t="shared" si="7"/>
        <v>0</v>
      </c>
      <c r="K50" s="38">
        <f t="shared" ref="K50:N57" si="11">G50*C50*$B50</f>
        <v>0</v>
      </c>
      <c r="L50" s="38">
        <f t="shared" si="11"/>
        <v>0</v>
      </c>
      <c r="M50" s="38">
        <f t="shared" si="11"/>
        <v>0</v>
      </c>
      <c r="N50" s="38">
        <f t="shared" si="11"/>
        <v>0</v>
      </c>
      <c r="O50" s="38">
        <f t="shared" ref="O50:Q57" si="12">$D$19*K50</f>
        <v>0</v>
      </c>
      <c r="P50" s="38">
        <f t="shared" si="12"/>
        <v>0</v>
      </c>
      <c r="Q50" s="38">
        <f t="shared" si="12"/>
        <v>0</v>
      </c>
      <c r="R50" s="24">
        <f t="shared" si="8"/>
        <v>0</v>
      </c>
      <c r="X50" s="290"/>
      <c r="Y50" s="290"/>
    </row>
    <row r="51" spans="1:30" x14ac:dyDescent="0.25">
      <c r="A51" s="13" t="s">
        <v>156</v>
      </c>
      <c r="B51" s="67">
        <f>'Area&amp;production data'!F22</f>
        <v>0</v>
      </c>
      <c r="C51" s="169">
        <f>'Area(ha)-by-degradation-level'!O22</f>
        <v>0</v>
      </c>
      <c r="D51" s="169">
        <f>'Area(ha)-by-degradation-level'!P22</f>
        <v>0</v>
      </c>
      <c r="E51" s="169">
        <f>'Area(ha)-by-degradation-level'!Q22</f>
        <v>0</v>
      </c>
      <c r="F51" s="25">
        <f t="shared" si="6"/>
        <v>0</v>
      </c>
      <c r="G51" s="180">
        <f t="shared" si="10"/>
        <v>0</v>
      </c>
      <c r="H51" s="180">
        <f t="shared" si="10"/>
        <v>0.94885758485832872</v>
      </c>
      <c r="I51" s="180">
        <f t="shared" si="10"/>
        <v>2.0332663686987691</v>
      </c>
      <c r="J51" s="81">
        <f t="shared" si="7"/>
        <v>0</v>
      </c>
      <c r="K51" s="38">
        <f t="shared" si="11"/>
        <v>0</v>
      </c>
      <c r="L51" s="38">
        <f t="shared" si="11"/>
        <v>0</v>
      </c>
      <c r="M51" s="38">
        <f t="shared" si="11"/>
        <v>0</v>
      </c>
      <c r="N51" s="38">
        <f t="shared" si="11"/>
        <v>0</v>
      </c>
      <c r="O51" s="38">
        <f t="shared" si="12"/>
        <v>0</v>
      </c>
      <c r="P51" s="38">
        <f t="shared" si="12"/>
        <v>0</v>
      </c>
      <c r="Q51" s="38">
        <f t="shared" si="12"/>
        <v>0</v>
      </c>
      <c r="R51" s="24">
        <f t="shared" si="8"/>
        <v>0</v>
      </c>
      <c r="S51" s="17" t="s">
        <v>120</v>
      </c>
      <c r="T51" s="44"/>
      <c r="U51" s="22"/>
      <c r="X51" s="290"/>
      <c r="Y51" s="290"/>
    </row>
    <row r="52" spans="1:30" x14ac:dyDescent="0.25">
      <c r="A52" s="13" t="s">
        <v>157</v>
      </c>
      <c r="B52" s="67">
        <f>'Area&amp;production data'!F23</f>
        <v>0</v>
      </c>
      <c r="C52" s="169">
        <f>'Area(ha)-by-degradation-level'!O23</f>
        <v>0</v>
      </c>
      <c r="D52" s="169">
        <f>'Area(ha)-by-degradation-level'!P23</f>
        <v>0</v>
      </c>
      <c r="E52" s="169">
        <f>'Area(ha)-by-degradation-level'!Q23</f>
        <v>0</v>
      </c>
      <c r="F52" s="25">
        <f t="shared" si="6"/>
        <v>0</v>
      </c>
      <c r="G52" s="180">
        <f t="shared" si="10"/>
        <v>0</v>
      </c>
      <c r="H52" s="180">
        <f t="shared" si="10"/>
        <v>0.408584359385747</v>
      </c>
      <c r="I52" s="180">
        <f t="shared" si="10"/>
        <v>0.79771232070550624</v>
      </c>
      <c r="J52" s="81">
        <f t="shared" si="7"/>
        <v>0</v>
      </c>
      <c r="K52" s="38">
        <f t="shared" si="11"/>
        <v>0</v>
      </c>
      <c r="L52" s="38">
        <f t="shared" si="11"/>
        <v>0</v>
      </c>
      <c r="M52" s="38">
        <f t="shared" si="11"/>
        <v>0</v>
      </c>
      <c r="N52" s="38">
        <f t="shared" si="11"/>
        <v>0</v>
      </c>
      <c r="O52" s="38">
        <f t="shared" si="12"/>
        <v>0</v>
      </c>
      <c r="P52" s="38">
        <f t="shared" si="12"/>
        <v>0</v>
      </c>
      <c r="Q52" s="38">
        <f t="shared" si="12"/>
        <v>0</v>
      </c>
      <c r="R52" s="24">
        <f t="shared" si="8"/>
        <v>0</v>
      </c>
      <c r="X52" s="290"/>
      <c r="Y52" s="290"/>
    </row>
    <row r="53" spans="1:30" x14ac:dyDescent="0.25">
      <c r="A53" s="13" t="s">
        <v>158</v>
      </c>
      <c r="B53" s="67">
        <f>'Area&amp;production data'!F24</f>
        <v>0</v>
      </c>
      <c r="C53" s="169">
        <f>'Area(ha)-by-degradation-level'!O24</f>
        <v>0</v>
      </c>
      <c r="D53" s="169">
        <f>'Area(ha)-by-degradation-level'!P24</f>
        <v>0</v>
      </c>
      <c r="E53" s="169">
        <f>'Area(ha)-by-degradation-level'!Q24</f>
        <v>0</v>
      </c>
      <c r="F53" s="25">
        <f t="shared" si="6"/>
        <v>0</v>
      </c>
      <c r="G53" s="180">
        <f t="shared" si="10"/>
        <v>0</v>
      </c>
      <c r="H53" s="180">
        <f t="shared" si="10"/>
        <v>0.32379928021982951</v>
      </c>
      <c r="I53" s="180">
        <f t="shared" si="10"/>
        <v>0.63217954709585777</v>
      </c>
      <c r="J53" s="81">
        <f t="shared" si="7"/>
        <v>0</v>
      </c>
      <c r="K53" s="38">
        <f t="shared" si="11"/>
        <v>0</v>
      </c>
      <c r="L53" s="38">
        <f t="shared" si="11"/>
        <v>0</v>
      </c>
      <c r="M53" s="38">
        <f t="shared" si="11"/>
        <v>0</v>
      </c>
      <c r="N53" s="38">
        <f t="shared" si="11"/>
        <v>0</v>
      </c>
      <c r="O53" s="38">
        <f t="shared" si="12"/>
        <v>0</v>
      </c>
      <c r="P53" s="38">
        <f t="shared" si="12"/>
        <v>0</v>
      </c>
      <c r="Q53" s="38">
        <f t="shared" si="12"/>
        <v>0</v>
      </c>
      <c r="R53" s="24">
        <f t="shared" si="8"/>
        <v>0</v>
      </c>
      <c r="X53" s="290"/>
      <c r="Y53" s="290"/>
    </row>
    <row r="54" spans="1:30" x14ac:dyDescent="0.25">
      <c r="A54" s="13" t="s">
        <v>159</v>
      </c>
      <c r="B54" s="67">
        <f>'Area&amp;production data'!F25</f>
        <v>0</v>
      </c>
      <c r="C54" s="169">
        <f>'Area(ha)-by-degradation-level'!O25</f>
        <v>0</v>
      </c>
      <c r="D54" s="169">
        <f>'Area(ha)-by-degradation-level'!P25</f>
        <v>0</v>
      </c>
      <c r="E54" s="169">
        <f>'Area(ha)-by-degradation-level'!Q25</f>
        <v>0</v>
      </c>
      <c r="F54" s="25">
        <f t="shared" si="6"/>
        <v>0</v>
      </c>
      <c r="G54" s="180">
        <f t="shared" si="10"/>
        <v>0</v>
      </c>
      <c r="H54" s="180">
        <f t="shared" si="10"/>
        <v>0.14223263003032455</v>
      </c>
      <c r="I54" s="180">
        <f t="shared" si="10"/>
        <v>0.27769227767825266</v>
      </c>
      <c r="J54" s="81">
        <f t="shared" si="7"/>
        <v>0</v>
      </c>
      <c r="K54" s="38">
        <f t="shared" si="11"/>
        <v>0</v>
      </c>
      <c r="L54" s="38">
        <f t="shared" si="11"/>
        <v>0</v>
      </c>
      <c r="M54" s="38">
        <f t="shared" si="11"/>
        <v>0</v>
      </c>
      <c r="N54" s="38">
        <f t="shared" si="11"/>
        <v>0</v>
      </c>
      <c r="O54" s="38">
        <f t="shared" si="12"/>
        <v>0</v>
      </c>
      <c r="P54" s="38">
        <f t="shared" si="12"/>
        <v>0</v>
      </c>
      <c r="Q54" s="38">
        <f t="shared" si="12"/>
        <v>0</v>
      </c>
      <c r="R54" s="24">
        <f t="shared" si="8"/>
        <v>0</v>
      </c>
      <c r="X54" s="290"/>
      <c r="Y54" s="290"/>
    </row>
    <row r="55" spans="1:30" x14ac:dyDescent="0.25">
      <c r="A55" s="13" t="s">
        <v>160</v>
      </c>
      <c r="B55" s="67">
        <f>'Area&amp;production data'!F26</f>
        <v>0</v>
      </c>
      <c r="C55" s="169">
        <f>'Area(ha)-by-degradation-level'!O26</f>
        <v>0</v>
      </c>
      <c r="D55" s="169">
        <f>'Area(ha)-by-degradation-level'!P26</f>
        <v>0</v>
      </c>
      <c r="E55" s="169">
        <f>'Area(ha)-by-degradation-level'!Q26</f>
        <v>0</v>
      </c>
      <c r="F55" s="25">
        <f t="shared" si="6"/>
        <v>0</v>
      </c>
      <c r="G55" s="180">
        <f t="shared" si="10"/>
        <v>0</v>
      </c>
      <c r="H55" s="180">
        <f t="shared" si="10"/>
        <v>0.84429871687787239</v>
      </c>
      <c r="I55" s="180">
        <f t="shared" si="10"/>
        <v>1.6483924868373909</v>
      </c>
      <c r="J55" s="81">
        <f t="shared" si="7"/>
        <v>0</v>
      </c>
      <c r="K55" s="38">
        <f t="shared" si="11"/>
        <v>0</v>
      </c>
      <c r="L55" s="38">
        <f t="shared" si="11"/>
        <v>0</v>
      </c>
      <c r="M55" s="38">
        <f t="shared" si="11"/>
        <v>0</v>
      </c>
      <c r="N55" s="38">
        <f t="shared" si="11"/>
        <v>0</v>
      </c>
      <c r="O55" s="38">
        <f t="shared" si="12"/>
        <v>0</v>
      </c>
      <c r="P55" s="38">
        <f t="shared" si="12"/>
        <v>0</v>
      </c>
      <c r="Q55" s="38">
        <f t="shared" si="12"/>
        <v>0</v>
      </c>
      <c r="R55" s="24">
        <f t="shared" si="8"/>
        <v>0</v>
      </c>
      <c r="W55" s="1"/>
      <c r="X55" s="290"/>
      <c r="Y55" s="290"/>
    </row>
    <row r="56" spans="1:30" x14ac:dyDescent="0.25">
      <c r="A56" s="13" t="s">
        <v>161</v>
      </c>
      <c r="B56" s="67">
        <f>'Area&amp;production data'!F27</f>
        <v>0</v>
      </c>
      <c r="C56" s="169">
        <f>'Area(ha)-by-degradation-level'!O27</f>
        <v>0</v>
      </c>
      <c r="D56" s="169">
        <f>'Area(ha)-by-degradation-level'!P27</f>
        <v>0</v>
      </c>
      <c r="E56" s="169">
        <f>'Area(ha)-by-degradation-level'!Q27</f>
        <v>0</v>
      </c>
      <c r="F56" s="25">
        <f t="shared" si="6"/>
        <v>0</v>
      </c>
      <c r="G56" s="180">
        <f t="shared" si="10"/>
        <v>0</v>
      </c>
      <c r="H56" s="180">
        <f t="shared" si="10"/>
        <v>5.0137012562764122E-8</v>
      </c>
      <c r="I56" s="180">
        <f t="shared" si="10"/>
        <v>9.7886585372770808E-8</v>
      </c>
      <c r="J56" s="81">
        <f t="shared" si="7"/>
        <v>0</v>
      </c>
      <c r="K56" s="38">
        <f t="shared" si="11"/>
        <v>0</v>
      </c>
      <c r="L56" s="38">
        <f t="shared" si="11"/>
        <v>0</v>
      </c>
      <c r="M56" s="38">
        <f t="shared" si="11"/>
        <v>0</v>
      </c>
      <c r="N56" s="38">
        <f t="shared" si="11"/>
        <v>0</v>
      </c>
      <c r="O56" s="38">
        <f t="shared" si="12"/>
        <v>0</v>
      </c>
      <c r="P56" s="38">
        <f t="shared" si="12"/>
        <v>0</v>
      </c>
      <c r="Q56" s="38">
        <f t="shared" si="12"/>
        <v>0</v>
      </c>
      <c r="R56" s="24">
        <f t="shared" si="8"/>
        <v>0</v>
      </c>
      <c r="V56" s="1"/>
      <c r="W56" s="126"/>
      <c r="X56" s="290"/>
      <c r="Y56" s="290"/>
    </row>
    <row r="57" spans="1:30" x14ac:dyDescent="0.25">
      <c r="A57" s="13" t="s">
        <v>162</v>
      </c>
      <c r="B57" s="67">
        <f>'Area&amp;production data'!F28</f>
        <v>0</v>
      </c>
      <c r="C57" s="169">
        <f>'Area(ha)-by-degradation-level'!O28</f>
        <v>0</v>
      </c>
      <c r="D57" s="169">
        <f>'Area(ha)-by-degradation-level'!P28</f>
        <v>0</v>
      </c>
      <c r="E57" s="169">
        <f>'Area(ha)-by-degradation-level'!Q28</f>
        <v>0</v>
      </c>
      <c r="F57" s="25">
        <f t="shared" si="6"/>
        <v>0</v>
      </c>
      <c r="G57" s="180">
        <f t="shared" si="10"/>
        <v>0</v>
      </c>
      <c r="H57" s="180">
        <f t="shared" si="10"/>
        <v>0.15638271875117615</v>
      </c>
      <c r="I57" s="180">
        <f t="shared" si="10"/>
        <v>0.30531878831924958</v>
      </c>
      <c r="J57" s="81">
        <f t="shared" si="7"/>
        <v>0</v>
      </c>
      <c r="K57" s="38">
        <f t="shared" si="11"/>
        <v>0</v>
      </c>
      <c r="L57" s="38">
        <f t="shared" si="11"/>
        <v>0</v>
      </c>
      <c r="M57" s="38">
        <f t="shared" si="11"/>
        <v>0</v>
      </c>
      <c r="N57" s="38">
        <f t="shared" si="11"/>
        <v>0</v>
      </c>
      <c r="O57" s="38">
        <f t="shared" si="12"/>
        <v>0</v>
      </c>
      <c r="P57" s="38">
        <f t="shared" si="12"/>
        <v>0</v>
      </c>
      <c r="Q57" s="38">
        <f t="shared" si="12"/>
        <v>0</v>
      </c>
      <c r="R57" s="24">
        <f t="shared" si="8"/>
        <v>0</v>
      </c>
      <c r="V57" s="1"/>
      <c r="W57" s="126"/>
      <c r="X57" s="290"/>
      <c r="Y57" s="290"/>
      <c r="Z57" s="1"/>
      <c r="AA57" s="1"/>
      <c r="AB57" s="1"/>
      <c r="AC57" s="1"/>
    </row>
    <row r="58" spans="1:30" x14ac:dyDescent="0.25">
      <c r="A58" s="1" t="s">
        <v>163</v>
      </c>
      <c r="B58" s="24">
        <f>SUM(B34:B57)</f>
        <v>0</v>
      </c>
      <c r="C58" s="51" t="e">
        <f>SUMPRODUCT($B$34:$B$57,C34:C57)/$B$58</f>
        <v>#DIV/0!</v>
      </c>
      <c r="D58" s="51" t="e">
        <f>SUMPRODUCT($B$34:$B$57,D34:D57)/$B$58</f>
        <v>#DIV/0!</v>
      </c>
      <c r="E58" s="51" t="e">
        <f>SUMPRODUCT($B$34:$B$57,E34:E57)/$B$58</f>
        <v>#DIV/0!</v>
      </c>
      <c r="F58" s="27" t="e">
        <f>SUM(C58:E58)</f>
        <v>#DIV/0!</v>
      </c>
      <c r="G58" s="28" t="e">
        <f>SUMPRODUCT($B$34:$B$57,G34:G57)/$B$58</f>
        <v>#DIV/0!</v>
      </c>
      <c r="H58" s="28" t="e">
        <f t="shared" ref="H58:I58" si="13">SUMPRODUCT($B$34:$B$57,H34:H57)/$B$58</f>
        <v>#DIV/0!</v>
      </c>
      <c r="I58" s="28" t="e">
        <f t="shared" si="13"/>
        <v>#DIV/0!</v>
      </c>
      <c r="J58" s="81" t="e">
        <f>SUMPRODUCT(C58:E58,G58:I58)</f>
        <v>#DIV/0!</v>
      </c>
      <c r="K58" s="38">
        <f t="shared" ref="K58:R58" si="14">SUM(K34:K57)</f>
        <v>0</v>
      </c>
      <c r="L58" s="38">
        <f t="shared" si="14"/>
        <v>0</v>
      </c>
      <c r="M58" s="38">
        <f t="shared" si="14"/>
        <v>0</v>
      </c>
      <c r="N58" s="38">
        <f t="shared" si="14"/>
        <v>0</v>
      </c>
      <c r="O58" s="38">
        <f t="shared" si="14"/>
        <v>0</v>
      </c>
      <c r="P58" s="38">
        <f t="shared" si="14"/>
        <v>0</v>
      </c>
      <c r="Q58" s="38">
        <f t="shared" si="14"/>
        <v>0</v>
      </c>
      <c r="R58" s="24">
        <f t="shared" si="14"/>
        <v>0</v>
      </c>
    </row>
    <row r="59" spans="1:30" x14ac:dyDescent="0.25">
      <c r="A59" s="17" t="s">
        <v>8</v>
      </c>
      <c r="B59" s="29" t="b">
        <f>B58='Area&amp;production data'!F29</f>
        <v>1</v>
      </c>
      <c r="C59" s="842"/>
      <c r="D59" s="842"/>
      <c r="E59" s="842"/>
      <c r="F59" s="6"/>
      <c r="N59" s="29" t="b">
        <f>SUM(K58:M58)=N58</f>
        <v>1</v>
      </c>
      <c r="X59" s="39" t="b">
        <f>SUM(O58:Q58)=R58</f>
        <v>1</v>
      </c>
      <c r="AD59" s="1"/>
    </row>
    <row r="60" spans="1:30" x14ac:dyDescent="0.25">
      <c r="A60" s="17"/>
      <c r="C60" s="21"/>
      <c r="D60" s="21"/>
      <c r="E60" s="21"/>
      <c r="K60" s="1" t="s">
        <v>315</v>
      </c>
      <c r="N60" s="51" t="e">
        <f>N58/AA42</f>
        <v>#DIV/0!</v>
      </c>
    </row>
    <row r="61" spans="1:30" x14ac:dyDescent="0.25">
      <c r="A61" s="1" t="s">
        <v>316</v>
      </c>
      <c r="D61" s="3" t="s">
        <v>317</v>
      </c>
      <c r="E61" s="1"/>
      <c r="F61" s="580" t="e">
        <f>'Prices,exch.rates,harvest index'!H57</f>
        <v>#DIV/0!</v>
      </c>
      <c r="G61" t="s">
        <v>96</v>
      </c>
      <c r="H61" s="20" t="s">
        <v>318</v>
      </c>
      <c r="O61" s="20" t="s">
        <v>319</v>
      </c>
      <c r="P61" s="20"/>
      <c r="X61" s="20" t="s">
        <v>320</v>
      </c>
    </row>
    <row r="62" spans="1:30" x14ac:dyDescent="0.25">
      <c r="A62" s="1" t="s">
        <v>101</v>
      </c>
      <c r="B62" s="814" t="s">
        <v>310</v>
      </c>
      <c r="C62" s="814" t="s">
        <v>321</v>
      </c>
      <c r="D62" s="814"/>
      <c r="E62" s="814"/>
      <c r="F62" s="814"/>
      <c r="G62" s="814" t="s">
        <v>322</v>
      </c>
      <c r="H62" s="814"/>
      <c r="I62" s="814"/>
      <c r="J62" s="814"/>
      <c r="K62" s="814" t="s">
        <v>323</v>
      </c>
      <c r="L62" s="814"/>
      <c r="M62" s="814"/>
      <c r="N62" s="814"/>
      <c r="O62" s="814" t="s">
        <v>324</v>
      </c>
      <c r="P62" s="814"/>
      <c r="Q62" s="814"/>
      <c r="R62" s="814"/>
      <c r="V62" s="22"/>
      <c r="W62" s="22"/>
    </row>
    <row r="63" spans="1:30" x14ac:dyDescent="0.25">
      <c r="A63" s="1"/>
      <c r="B63" s="814"/>
      <c r="C63" s="1" t="s">
        <v>136</v>
      </c>
      <c r="D63" s="1" t="s">
        <v>137</v>
      </c>
      <c r="E63" s="1" t="s">
        <v>138</v>
      </c>
      <c r="F63" s="1" t="s">
        <v>120</v>
      </c>
      <c r="G63" s="1" t="s">
        <v>136</v>
      </c>
      <c r="H63" s="1" t="s">
        <v>137</v>
      </c>
      <c r="I63" s="1" t="s">
        <v>289</v>
      </c>
      <c r="J63" s="1" t="s">
        <v>120</v>
      </c>
      <c r="K63" s="1" t="s">
        <v>136</v>
      </c>
      <c r="L63" s="1" t="s">
        <v>137</v>
      </c>
      <c r="M63" s="1" t="s">
        <v>289</v>
      </c>
      <c r="N63" s="1" t="s">
        <v>120</v>
      </c>
      <c r="O63" s="1" t="s">
        <v>136</v>
      </c>
      <c r="P63" s="1" t="s">
        <v>137</v>
      </c>
      <c r="Q63" s="1" t="s">
        <v>289</v>
      </c>
      <c r="R63" s="17" t="s">
        <v>120</v>
      </c>
    </row>
    <row r="64" spans="1:30" x14ac:dyDescent="0.25">
      <c r="A64" t="str">
        <f t="shared" ref="A64:E79" si="15">A34</f>
        <v>Tunis</v>
      </c>
      <c r="B64" s="36">
        <f t="shared" si="15"/>
        <v>0</v>
      </c>
      <c r="C64" s="25">
        <f t="shared" si="15"/>
        <v>0</v>
      </c>
      <c r="D64" s="25">
        <f t="shared" si="15"/>
        <v>0</v>
      </c>
      <c r="E64" s="25">
        <f t="shared" si="15"/>
        <v>0</v>
      </c>
      <c r="F64" s="25">
        <f>SUM(C64:E64)</f>
        <v>0</v>
      </c>
      <c r="G64" s="184" t="e">
        <f t="shared" ref="G64:I79" si="16">$F$61*G34</f>
        <v>#DIV/0!</v>
      </c>
      <c r="H64" s="184" t="e">
        <f t="shared" si="16"/>
        <v>#DIV/0!</v>
      </c>
      <c r="I64" s="184" t="e">
        <f t="shared" si="16"/>
        <v>#DIV/0!</v>
      </c>
      <c r="J64" s="9" t="e">
        <f>SUMPRODUCT(C64:E64,G64:I64)</f>
        <v>#DIV/0!</v>
      </c>
      <c r="K64" s="26" t="e">
        <f t="shared" ref="K64:N79" si="17">G64*C64*$B64</f>
        <v>#DIV/0!</v>
      </c>
      <c r="L64" s="26" t="e">
        <f t="shared" si="17"/>
        <v>#DIV/0!</v>
      </c>
      <c r="M64" s="26" t="e">
        <f t="shared" si="17"/>
        <v>#DIV/0!</v>
      </c>
      <c r="N64" s="26" t="e">
        <f t="shared" si="17"/>
        <v>#DIV/0!</v>
      </c>
      <c r="O64" s="26" t="e">
        <f t="shared" ref="O64:Q79" si="18">$D$20*K64</f>
        <v>#DIV/0!</v>
      </c>
      <c r="P64" s="26" t="e">
        <f t="shared" si="18"/>
        <v>#DIV/0!</v>
      </c>
      <c r="Q64" s="26" t="e">
        <f t="shared" si="18"/>
        <v>#DIV/0!</v>
      </c>
      <c r="R64" s="26" t="e">
        <f>SUM(O64:Q64)</f>
        <v>#DIV/0!</v>
      </c>
    </row>
    <row r="65" spans="1:19" x14ac:dyDescent="0.25">
      <c r="A65" t="str">
        <f t="shared" si="15"/>
        <v>Ariana</v>
      </c>
      <c r="B65" s="36">
        <f t="shared" si="15"/>
        <v>0</v>
      </c>
      <c r="C65" s="25">
        <f t="shared" si="15"/>
        <v>0</v>
      </c>
      <c r="D65" s="25">
        <f t="shared" si="15"/>
        <v>0</v>
      </c>
      <c r="E65" s="25">
        <f t="shared" si="15"/>
        <v>0</v>
      </c>
      <c r="F65" s="25">
        <f t="shared" ref="F65:F87" si="19">SUM(C65:E65)</f>
        <v>0</v>
      </c>
      <c r="G65" s="184" t="e">
        <f t="shared" si="16"/>
        <v>#DIV/0!</v>
      </c>
      <c r="H65" s="184" t="e">
        <f t="shared" si="16"/>
        <v>#DIV/0!</v>
      </c>
      <c r="I65" s="184" t="e">
        <f t="shared" si="16"/>
        <v>#DIV/0!</v>
      </c>
      <c r="J65" s="9" t="e">
        <f t="shared" ref="J65:J87" si="20">SUMPRODUCT(C65:E65,G65:I65)</f>
        <v>#DIV/0!</v>
      </c>
      <c r="K65" s="26" t="e">
        <f t="shared" si="17"/>
        <v>#DIV/0!</v>
      </c>
      <c r="L65" s="26" t="e">
        <f t="shared" si="17"/>
        <v>#DIV/0!</v>
      </c>
      <c r="M65" s="26" t="e">
        <f t="shared" si="17"/>
        <v>#DIV/0!</v>
      </c>
      <c r="N65" s="26" t="e">
        <f t="shared" si="17"/>
        <v>#DIV/0!</v>
      </c>
      <c r="O65" s="26" t="e">
        <f t="shared" si="18"/>
        <v>#DIV/0!</v>
      </c>
      <c r="P65" s="26" t="e">
        <f t="shared" si="18"/>
        <v>#DIV/0!</v>
      </c>
      <c r="Q65" s="26" t="e">
        <f t="shared" si="18"/>
        <v>#DIV/0!</v>
      </c>
      <c r="R65" s="26" t="e">
        <f t="shared" ref="R65:R87" si="21">SUM(O65:Q65)</f>
        <v>#DIV/0!</v>
      </c>
    </row>
    <row r="66" spans="1:19" x14ac:dyDescent="0.25">
      <c r="A66" t="str">
        <f t="shared" si="15"/>
        <v>La Manouba</v>
      </c>
      <c r="B66" s="36">
        <f t="shared" si="15"/>
        <v>0</v>
      </c>
      <c r="C66" s="25">
        <f t="shared" si="15"/>
        <v>0</v>
      </c>
      <c r="D66" s="25">
        <f t="shared" si="15"/>
        <v>0</v>
      </c>
      <c r="E66" s="25">
        <f t="shared" si="15"/>
        <v>0</v>
      </c>
      <c r="F66" s="25">
        <f t="shared" si="19"/>
        <v>0</v>
      </c>
      <c r="G66" s="184" t="e">
        <f t="shared" si="16"/>
        <v>#DIV/0!</v>
      </c>
      <c r="H66" s="184" t="e">
        <f t="shared" si="16"/>
        <v>#DIV/0!</v>
      </c>
      <c r="I66" s="184" t="e">
        <f t="shared" si="16"/>
        <v>#DIV/0!</v>
      </c>
      <c r="J66" s="9" t="e">
        <f t="shared" si="20"/>
        <v>#DIV/0!</v>
      </c>
      <c r="K66" s="26" t="e">
        <f t="shared" si="17"/>
        <v>#DIV/0!</v>
      </c>
      <c r="L66" s="26" t="e">
        <f t="shared" si="17"/>
        <v>#DIV/0!</v>
      </c>
      <c r="M66" s="26" t="e">
        <f t="shared" si="17"/>
        <v>#DIV/0!</v>
      </c>
      <c r="N66" s="26" t="e">
        <f t="shared" si="17"/>
        <v>#DIV/0!</v>
      </c>
      <c r="O66" s="26" t="e">
        <f t="shared" si="18"/>
        <v>#DIV/0!</v>
      </c>
      <c r="P66" s="26" t="e">
        <f t="shared" si="18"/>
        <v>#DIV/0!</v>
      </c>
      <c r="Q66" s="26" t="e">
        <f t="shared" si="18"/>
        <v>#DIV/0!</v>
      </c>
      <c r="R66" s="26" t="e">
        <f t="shared" si="21"/>
        <v>#DIV/0!</v>
      </c>
    </row>
    <row r="67" spans="1:19" x14ac:dyDescent="0.25">
      <c r="A67" t="str">
        <f t="shared" si="15"/>
        <v>Ben Arous</v>
      </c>
      <c r="B67" s="36">
        <f t="shared" si="15"/>
        <v>0</v>
      </c>
      <c r="C67" s="25">
        <f t="shared" si="15"/>
        <v>0</v>
      </c>
      <c r="D67" s="25">
        <f t="shared" si="15"/>
        <v>0</v>
      </c>
      <c r="E67" s="25">
        <f t="shared" si="15"/>
        <v>0</v>
      </c>
      <c r="F67" s="25">
        <f t="shared" si="19"/>
        <v>0</v>
      </c>
      <c r="G67" s="184" t="e">
        <f t="shared" si="16"/>
        <v>#DIV/0!</v>
      </c>
      <c r="H67" s="184" t="e">
        <f t="shared" si="16"/>
        <v>#DIV/0!</v>
      </c>
      <c r="I67" s="184" t="e">
        <f t="shared" si="16"/>
        <v>#DIV/0!</v>
      </c>
      <c r="J67" s="9" t="e">
        <f t="shared" si="20"/>
        <v>#DIV/0!</v>
      </c>
      <c r="K67" s="26" t="e">
        <f t="shared" si="17"/>
        <v>#DIV/0!</v>
      </c>
      <c r="L67" s="26" t="e">
        <f t="shared" si="17"/>
        <v>#DIV/0!</v>
      </c>
      <c r="M67" s="26" t="e">
        <f t="shared" si="17"/>
        <v>#DIV/0!</v>
      </c>
      <c r="N67" s="26" t="e">
        <f t="shared" si="17"/>
        <v>#DIV/0!</v>
      </c>
      <c r="O67" s="26" t="e">
        <f t="shared" si="18"/>
        <v>#DIV/0!</v>
      </c>
      <c r="P67" s="26" t="e">
        <f t="shared" si="18"/>
        <v>#DIV/0!</v>
      </c>
      <c r="Q67" s="26" t="e">
        <f t="shared" si="18"/>
        <v>#DIV/0!</v>
      </c>
      <c r="R67" s="26" t="e">
        <f t="shared" si="21"/>
        <v>#DIV/0!</v>
      </c>
    </row>
    <row r="68" spans="1:19" x14ac:dyDescent="0.25">
      <c r="A68" t="str">
        <f t="shared" si="15"/>
        <v>Nabeul</v>
      </c>
      <c r="B68" s="36">
        <f t="shared" si="15"/>
        <v>0</v>
      </c>
      <c r="C68" s="25">
        <f t="shared" si="15"/>
        <v>0</v>
      </c>
      <c r="D68" s="25">
        <f t="shared" si="15"/>
        <v>0</v>
      </c>
      <c r="E68" s="25">
        <f t="shared" si="15"/>
        <v>0</v>
      </c>
      <c r="F68" s="25">
        <f t="shared" si="19"/>
        <v>0</v>
      </c>
      <c r="G68" s="184" t="e">
        <f t="shared" si="16"/>
        <v>#DIV/0!</v>
      </c>
      <c r="H68" s="184" t="e">
        <f t="shared" si="16"/>
        <v>#DIV/0!</v>
      </c>
      <c r="I68" s="184" t="e">
        <f t="shared" si="16"/>
        <v>#DIV/0!</v>
      </c>
      <c r="J68" s="9" t="e">
        <f t="shared" si="20"/>
        <v>#DIV/0!</v>
      </c>
      <c r="K68" s="26" t="e">
        <f t="shared" si="17"/>
        <v>#DIV/0!</v>
      </c>
      <c r="L68" s="26" t="e">
        <f t="shared" si="17"/>
        <v>#DIV/0!</v>
      </c>
      <c r="M68" s="26" t="e">
        <f t="shared" si="17"/>
        <v>#DIV/0!</v>
      </c>
      <c r="N68" s="26" t="e">
        <f t="shared" si="17"/>
        <v>#DIV/0!</v>
      </c>
      <c r="O68" s="26" t="e">
        <f t="shared" si="18"/>
        <v>#DIV/0!</v>
      </c>
      <c r="P68" s="26" t="e">
        <f t="shared" si="18"/>
        <v>#DIV/0!</v>
      </c>
      <c r="Q68" s="26" t="e">
        <f t="shared" si="18"/>
        <v>#DIV/0!</v>
      </c>
      <c r="R68" s="26" t="e">
        <f t="shared" si="21"/>
        <v>#DIV/0!</v>
      </c>
    </row>
    <row r="69" spans="1:19" x14ac:dyDescent="0.25">
      <c r="A69" t="str">
        <f t="shared" si="15"/>
        <v>Bizerte</v>
      </c>
      <c r="B69" s="36">
        <f t="shared" si="15"/>
        <v>0</v>
      </c>
      <c r="C69" s="25">
        <f t="shared" si="15"/>
        <v>0</v>
      </c>
      <c r="D69" s="25">
        <f t="shared" si="15"/>
        <v>0</v>
      </c>
      <c r="E69" s="25">
        <f t="shared" si="15"/>
        <v>0</v>
      </c>
      <c r="F69" s="25">
        <f t="shared" si="19"/>
        <v>0</v>
      </c>
      <c r="G69" s="184" t="e">
        <f t="shared" si="16"/>
        <v>#DIV/0!</v>
      </c>
      <c r="H69" s="184" t="e">
        <f t="shared" si="16"/>
        <v>#DIV/0!</v>
      </c>
      <c r="I69" s="184" t="e">
        <f t="shared" si="16"/>
        <v>#DIV/0!</v>
      </c>
      <c r="J69" s="9" t="e">
        <f t="shared" si="20"/>
        <v>#DIV/0!</v>
      </c>
      <c r="K69" s="26" t="e">
        <f t="shared" si="17"/>
        <v>#DIV/0!</v>
      </c>
      <c r="L69" s="26" t="e">
        <f t="shared" si="17"/>
        <v>#DIV/0!</v>
      </c>
      <c r="M69" s="26" t="e">
        <f t="shared" si="17"/>
        <v>#DIV/0!</v>
      </c>
      <c r="N69" s="26" t="e">
        <f t="shared" si="17"/>
        <v>#DIV/0!</v>
      </c>
      <c r="O69" s="26" t="e">
        <f t="shared" si="18"/>
        <v>#DIV/0!</v>
      </c>
      <c r="P69" s="26" t="e">
        <f t="shared" si="18"/>
        <v>#DIV/0!</v>
      </c>
      <c r="Q69" s="26" t="e">
        <f t="shared" si="18"/>
        <v>#DIV/0!</v>
      </c>
      <c r="R69" s="26" t="e">
        <f t="shared" si="21"/>
        <v>#DIV/0!</v>
      </c>
    </row>
    <row r="70" spans="1:19" x14ac:dyDescent="0.25">
      <c r="A70" t="str">
        <f t="shared" si="15"/>
        <v>Zaghouan</v>
      </c>
      <c r="B70" s="36">
        <f t="shared" si="15"/>
        <v>0</v>
      </c>
      <c r="C70" s="25">
        <f t="shared" si="15"/>
        <v>0</v>
      </c>
      <c r="D70" s="25">
        <f t="shared" si="15"/>
        <v>0</v>
      </c>
      <c r="E70" s="25">
        <f t="shared" si="15"/>
        <v>0</v>
      </c>
      <c r="F70" s="25">
        <f t="shared" si="19"/>
        <v>0</v>
      </c>
      <c r="G70" s="184" t="e">
        <f t="shared" si="16"/>
        <v>#DIV/0!</v>
      </c>
      <c r="H70" s="184" t="e">
        <f t="shared" si="16"/>
        <v>#DIV/0!</v>
      </c>
      <c r="I70" s="184" t="e">
        <f t="shared" si="16"/>
        <v>#DIV/0!</v>
      </c>
      <c r="J70" s="9" t="e">
        <f t="shared" si="20"/>
        <v>#DIV/0!</v>
      </c>
      <c r="K70" s="26" t="e">
        <f t="shared" si="17"/>
        <v>#DIV/0!</v>
      </c>
      <c r="L70" s="26" t="e">
        <f t="shared" si="17"/>
        <v>#DIV/0!</v>
      </c>
      <c r="M70" s="26" t="e">
        <f t="shared" si="17"/>
        <v>#DIV/0!</v>
      </c>
      <c r="N70" s="26" t="e">
        <f t="shared" si="17"/>
        <v>#DIV/0!</v>
      </c>
      <c r="O70" s="26" t="e">
        <f t="shared" si="18"/>
        <v>#DIV/0!</v>
      </c>
      <c r="P70" s="26" t="e">
        <f t="shared" si="18"/>
        <v>#DIV/0!</v>
      </c>
      <c r="Q70" s="26" t="e">
        <f t="shared" si="18"/>
        <v>#DIV/0!</v>
      </c>
      <c r="R70" s="26" t="e">
        <f t="shared" si="21"/>
        <v>#DIV/0!</v>
      </c>
    </row>
    <row r="71" spans="1:19" x14ac:dyDescent="0.25">
      <c r="A71" t="str">
        <f t="shared" si="15"/>
        <v>Béja</v>
      </c>
      <c r="B71" s="36">
        <f t="shared" si="15"/>
        <v>0</v>
      </c>
      <c r="C71" s="25">
        <f t="shared" si="15"/>
        <v>0</v>
      </c>
      <c r="D71" s="25">
        <f t="shared" si="15"/>
        <v>0</v>
      </c>
      <c r="E71" s="25">
        <f t="shared" si="15"/>
        <v>0</v>
      </c>
      <c r="F71" s="25">
        <f t="shared" si="19"/>
        <v>0</v>
      </c>
      <c r="G71" s="184" t="e">
        <f t="shared" si="16"/>
        <v>#DIV/0!</v>
      </c>
      <c r="H71" s="184" t="e">
        <f t="shared" si="16"/>
        <v>#DIV/0!</v>
      </c>
      <c r="I71" s="184" t="e">
        <f t="shared" si="16"/>
        <v>#DIV/0!</v>
      </c>
      <c r="J71" s="9" t="e">
        <f t="shared" si="20"/>
        <v>#DIV/0!</v>
      </c>
      <c r="K71" s="26" t="e">
        <f t="shared" si="17"/>
        <v>#DIV/0!</v>
      </c>
      <c r="L71" s="26" t="e">
        <f t="shared" si="17"/>
        <v>#DIV/0!</v>
      </c>
      <c r="M71" s="26" t="e">
        <f t="shared" si="17"/>
        <v>#DIV/0!</v>
      </c>
      <c r="N71" s="26" t="e">
        <f t="shared" si="17"/>
        <v>#DIV/0!</v>
      </c>
      <c r="O71" s="26" t="e">
        <f t="shared" si="18"/>
        <v>#DIV/0!</v>
      </c>
      <c r="P71" s="26" t="e">
        <f t="shared" si="18"/>
        <v>#DIV/0!</v>
      </c>
      <c r="Q71" s="26" t="e">
        <f t="shared" si="18"/>
        <v>#DIV/0!</v>
      </c>
      <c r="R71" s="26" t="e">
        <f t="shared" si="21"/>
        <v>#DIV/0!</v>
      </c>
    </row>
    <row r="72" spans="1:19" x14ac:dyDescent="0.25">
      <c r="A72" t="str">
        <f t="shared" si="15"/>
        <v>Jendouba</v>
      </c>
      <c r="B72" s="36">
        <f t="shared" si="15"/>
        <v>0</v>
      </c>
      <c r="C72" s="25">
        <f t="shared" si="15"/>
        <v>0</v>
      </c>
      <c r="D72" s="25">
        <f t="shared" si="15"/>
        <v>0</v>
      </c>
      <c r="E72" s="25">
        <f t="shared" si="15"/>
        <v>0</v>
      </c>
      <c r="F72" s="25">
        <f t="shared" si="19"/>
        <v>0</v>
      </c>
      <c r="G72" s="184" t="e">
        <f t="shared" si="16"/>
        <v>#DIV/0!</v>
      </c>
      <c r="H72" s="184" t="e">
        <f t="shared" si="16"/>
        <v>#DIV/0!</v>
      </c>
      <c r="I72" s="184" t="e">
        <f t="shared" si="16"/>
        <v>#DIV/0!</v>
      </c>
      <c r="J72" s="9" t="e">
        <f t="shared" si="20"/>
        <v>#DIV/0!</v>
      </c>
      <c r="K72" s="26" t="e">
        <f t="shared" si="17"/>
        <v>#DIV/0!</v>
      </c>
      <c r="L72" s="26" t="e">
        <f t="shared" si="17"/>
        <v>#DIV/0!</v>
      </c>
      <c r="M72" s="26" t="e">
        <f t="shared" si="17"/>
        <v>#DIV/0!</v>
      </c>
      <c r="N72" s="26" t="e">
        <f t="shared" si="17"/>
        <v>#DIV/0!</v>
      </c>
      <c r="O72" s="26" t="e">
        <f t="shared" si="18"/>
        <v>#DIV/0!</v>
      </c>
      <c r="P72" s="26" t="e">
        <f t="shared" si="18"/>
        <v>#DIV/0!</v>
      </c>
      <c r="Q72" s="26" t="e">
        <f t="shared" si="18"/>
        <v>#DIV/0!</v>
      </c>
      <c r="R72" s="26" t="e">
        <f t="shared" si="21"/>
        <v>#DIV/0!</v>
      </c>
    </row>
    <row r="73" spans="1:19" x14ac:dyDescent="0.25">
      <c r="A73" t="str">
        <f t="shared" si="15"/>
        <v>Le Kef</v>
      </c>
      <c r="B73" s="36">
        <f t="shared" si="15"/>
        <v>0</v>
      </c>
      <c r="C73" s="25">
        <f t="shared" si="15"/>
        <v>0</v>
      </c>
      <c r="D73" s="25">
        <f t="shared" si="15"/>
        <v>0</v>
      </c>
      <c r="E73" s="25">
        <f t="shared" si="15"/>
        <v>0</v>
      </c>
      <c r="F73" s="25">
        <f t="shared" si="19"/>
        <v>0</v>
      </c>
      <c r="G73" s="184" t="e">
        <f t="shared" si="16"/>
        <v>#DIV/0!</v>
      </c>
      <c r="H73" s="184" t="e">
        <f t="shared" si="16"/>
        <v>#DIV/0!</v>
      </c>
      <c r="I73" s="184" t="e">
        <f t="shared" si="16"/>
        <v>#DIV/0!</v>
      </c>
      <c r="J73" s="9" t="e">
        <f t="shared" si="20"/>
        <v>#DIV/0!</v>
      </c>
      <c r="K73" s="26" t="e">
        <f t="shared" si="17"/>
        <v>#DIV/0!</v>
      </c>
      <c r="L73" s="26" t="e">
        <f t="shared" si="17"/>
        <v>#DIV/0!</v>
      </c>
      <c r="M73" s="26" t="e">
        <f t="shared" si="17"/>
        <v>#DIV/0!</v>
      </c>
      <c r="N73" s="26" t="e">
        <f t="shared" si="17"/>
        <v>#DIV/0!</v>
      </c>
      <c r="O73" s="26" t="e">
        <f t="shared" si="18"/>
        <v>#DIV/0!</v>
      </c>
      <c r="P73" s="26" t="e">
        <f t="shared" si="18"/>
        <v>#DIV/0!</v>
      </c>
      <c r="Q73" s="26" t="e">
        <f t="shared" si="18"/>
        <v>#DIV/0!</v>
      </c>
      <c r="R73" s="26" t="e">
        <f t="shared" si="21"/>
        <v>#DIV/0!</v>
      </c>
    </row>
    <row r="74" spans="1:19" x14ac:dyDescent="0.25">
      <c r="A74" t="str">
        <f t="shared" si="15"/>
        <v>Siliana</v>
      </c>
      <c r="B74" s="36">
        <f t="shared" si="15"/>
        <v>0</v>
      </c>
      <c r="C74" s="25">
        <f t="shared" si="15"/>
        <v>0</v>
      </c>
      <c r="D74" s="25">
        <f t="shared" si="15"/>
        <v>0</v>
      </c>
      <c r="E74" s="25">
        <f t="shared" si="15"/>
        <v>0</v>
      </c>
      <c r="F74" s="25">
        <f t="shared" si="19"/>
        <v>0</v>
      </c>
      <c r="G74" s="184" t="e">
        <f t="shared" si="16"/>
        <v>#DIV/0!</v>
      </c>
      <c r="H74" s="184" t="e">
        <f t="shared" si="16"/>
        <v>#DIV/0!</v>
      </c>
      <c r="I74" s="184" t="e">
        <f t="shared" si="16"/>
        <v>#DIV/0!</v>
      </c>
      <c r="J74" s="9" t="e">
        <f t="shared" si="20"/>
        <v>#DIV/0!</v>
      </c>
      <c r="K74" s="26" t="e">
        <f t="shared" si="17"/>
        <v>#DIV/0!</v>
      </c>
      <c r="L74" s="26" t="e">
        <f t="shared" si="17"/>
        <v>#DIV/0!</v>
      </c>
      <c r="M74" s="26" t="e">
        <f t="shared" si="17"/>
        <v>#DIV/0!</v>
      </c>
      <c r="N74" s="26" t="e">
        <f t="shared" si="17"/>
        <v>#DIV/0!</v>
      </c>
      <c r="O74" s="26" t="e">
        <f t="shared" si="18"/>
        <v>#DIV/0!</v>
      </c>
      <c r="P74" s="26" t="e">
        <f t="shared" si="18"/>
        <v>#DIV/0!</v>
      </c>
      <c r="Q74" s="26" t="e">
        <f t="shared" si="18"/>
        <v>#DIV/0!</v>
      </c>
      <c r="R74" s="26" t="e">
        <f t="shared" si="21"/>
        <v>#DIV/0!</v>
      </c>
    </row>
    <row r="75" spans="1:19" x14ac:dyDescent="0.25">
      <c r="A75" t="str">
        <f t="shared" si="15"/>
        <v>Sousse</v>
      </c>
      <c r="B75" s="36">
        <f t="shared" si="15"/>
        <v>0</v>
      </c>
      <c r="C75" s="25">
        <f t="shared" si="15"/>
        <v>0</v>
      </c>
      <c r="D75" s="25">
        <f t="shared" si="15"/>
        <v>0</v>
      </c>
      <c r="E75" s="25">
        <f t="shared" si="15"/>
        <v>0</v>
      </c>
      <c r="F75" s="25">
        <f t="shared" si="19"/>
        <v>0</v>
      </c>
      <c r="G75" s="184" t="e">
        <f t="shared" si="16"/>
        <v>#DIV/0!</v>
      </c>
      <c r="H75" s="184" t="e">
        <f t="shared" si="16"/>
        <v>#DIV/0!</v>
      </c>
      <c r="I75" s="184" t="e">
        <f t="shared" si="16"/>
        <v>#DIV/0!</v>
      </c>
      <c r="J75" s="9" t="e">
        <f t="shared" si="20"/>
        <v>#DIV/0!</v>
      </c>
      <c r="K75" s="26" t="e">
        <f t="shared" si="17"/>
        <v>#DIV/0!</v>
      </c>
      <c r="L75" s="26" t="e">
        <f t="shared" si="17"/>
        <v>#DIV/0!</v>
      </c>
      <c r="M75" s="26" t="e">
        <f t="shared" si="17"/>
        <v>#DIV/0!</v>
      </c>
      <c r="N75" s="26" t="e">
        <f t="shared" si="17"/>
        <v>#DIV/0!</v>
      </c>
      <c r="O75" s="26" t="e">
        <f t="shared" si="18"/>
        <v>#DIV/0!</v>
      </c>
      <c r="P75" s="26" t="e">
        <f t="shared" si="18"/>
        <v>#DIV/0!</v>
      </c>
      <c r="Q75" s="26" t="e">
        <f t="shared" si="18"/>
        <v>#DIV/0!</v>
      </c>
      <c r="R75" s="26" t="e">
        <f t="shared" si="21"/>
        <v>#DIV/0!</v>
      </c>
    </row>
    <row r="76" spans="1:19" x14ac:dyDescent="0.25">
      <c r="A76" t="str">
        <f t="shared" si="15"/>
        <v>Monastir</v>
      </c>
      <c r="B76" s="36">
        <f t="shared" si="15"/>
        <v>0</v>
      </c>
      <c r="C76" s="25">
        <f t="shared" si="15"/>
        <v>0</v>
      </c>
      <c r="D76" s="25">
        <f t="shared" si="15"/>
        <v>0</v>
      </c>
      <c r="E76" s="25">
        <f t="shared" si="15"/>
        <v>0</v>
      </c>
      <c r="F76" s="25">
        <f t="shared" si="19"/>
        <v>0</v>
      </c>
      <c r="G76" s="184" t="e">
        <f t="shared" si="16"/>
        <v>#DIV/0!</v>
      </c>
      <c r="H76" s="184" t="e">
        <f t="shared" si="16"/>
        <v>#DIV/0!</v>
      </c>
      <c r="I76" s="184" t="e">
        <f t="shared" si="16"/>
        <v>#DIV/0!</v>
      </c>
      <c r="J76" s="9" t="e">
        <f t="shared" si="20"/>
        <v>#DIV/0!</v>
      </c>
      <c r="K76" s="26" t="e">
        <f t="shared" si="17"/>
        <v>#DIV/0!</v>
      </c>
      <c r="L76" s="26" t="e">
        <f t="shared" si="17"/>
        <v>#DIV/0!</v>
      </c>
      <c r="M76" s="26" t="e">
        <f t="shared" si="17"/>
        <v>#DIV/0!</v>
      </c>
      <c r="N76" s="26" t="e">
        <f t="shared" si="17"/>
        <v>#DIV/0!</v>
      </c>
      <c r="O76" s="26" t="e">
        <f t="shared" si="18"/>
        <v>#DIV/0!</v>
      </c>
      <c r="P76" s="26" t="e">
        <f t="shared" si="18"/>
        <v>#DIV/0!</v>
      </c>
      <c r="Q76" s="26" t="e">
        <f t="shared" si="18"/>
        <v>#DIV/0!</v>
      </c>
      <c r="R76" s="26" t="e">
        <f t="shared" si="21"/>
        <v>#DIV/0!</v>
      </c>
    </row>
    <row r="77" spans="1:19" x14ac:dyDescent="0.25">
      <c r="A77" t="str">
        <f t="shared" si="15"/>
        <v>Mahdia</v>
      </c>
      <c r="B77" s="36">
        <f t="shared" si="15"/>
        <v>0</v>
      </c>
      <c r="C77" s="25">
        <f t="shared" si="15"/>
        <v>0</v>
      </c>
      <c r="D77" s="25">
        <f t="shared" si="15"/>
        <v>0</v>
      </c>
      <c r="E77" s="25">
        <f t="shared" si="15"/>
        <v>0</v>
      </c>
      <c r="F77" s="25">
        <f t="shared" si="19"/>
        <v>0</v>
      </c>
      <c r="G77" s="184" t="e">
        <f t="shared" si="16"/>
        <v>#DIV/0!</v>
      </c>
      <c r="H77" s="184" t="e">
        <f t="shared" si="16"/>
        <v>#DIV/0!</v>
      </c>
      <c r="I77" s="184" t="e">
        <f t="shared" si="16"/>
        <v>#DIV/0!</v>
      </c>
      <c r="J77" s="9" t="e">
        <f t="shared" si="20"/>
        <v>#DIV/0!</v>
      </c>
      <c r="K77" s="26" t="e">
        <f t="shared" si="17"/>
        <v>#DIV/0!</v>
      </c>
      <c r="L77" s="26" t="e">
        <f t="shared" si="17"/>
        <v>#DIV/0!</v>
      </c>
      <c r="M77" s="26" t="e">
        <f t="shared" si="17"/>
        <v>#DIV/0!</v>
      </c>
      <c r="N77" s="26" t="e">
        <f t="shared" si="17"/>
        <v>#DIV/0!</v>
      </c>
      <c r="O77" s="26" t="e">
        <f t="shared" si="18"/>
        <v>#DIV/0!</v>
      </c>
      <c r="P77" s="26" t="e">
        <f t="shared" si="18"/>
        <v>#DIV/0!</v>
      </c>
      <c r="Q77" s="26" t="e">
        <f t="shared" si="18"/>
        <v>#DIV/0!</v>
      </c>
      <c r="R77" s="26" t="e">
        <f t="shared" si="21"/>
        <v>#DIV/0!</v>
      </c>
    </row>
    <row r="78" spans="1:19" x14ac:dyDescent="0.25">
      <c r="A78" t="str">
        <f t="shared" si="15"/>
        <v>Sfax</v>
      </c>
      <c r="B78" s="36">
        <f t="shared" si="15"/>
        <v>0</v>
      </c>
      <c r="C78" s="25">
        <f t="shared" si="15"/>
        <v>0</v>
      </c>
      <c r="D78" s="25">
        <f t="shared" si="15"/>
        <v>0</v>
      </c>
      <c r="E78" s="25">
        <f t="shared" si="15"/>
        <v>0</v>
      </c>
      <c r="F78" s="25">
        <f t="shared" si="19"/>
        <v>0</v>
      </c>
      <c r="G78" s="184" t="e">
        <f t="shared" si="16"/>
        <v>#DIV/0!</v>
      </c>
      <c r="H78" s="184" t="e">
        <f t="shared" si="16"/>
        <v>#DIV/0!</v>
      </c>
      <c r="I78" s="184" t="e">
        <f t="shared" si="16"/>
        <v>#DIV/0!</v>
      </c>
      <c r="J78" s="9" t="e">
        <f t="shared" si="20"/>
        <v>#DIV/0!</v>
      </c>
      <c r="K78" s="26" t="e">
        <f t="shared" si="17"/>
        <v>#DIV/0!</v>
      </c>
      <c r="L78" s="26" t="e">
        <f t="shared" si="17"/>
        <v>#DIV/0!</v>
      </c>
      <c r="M78" s="26" t="e">
        <f t="shared" si="17"/>
        <v>#DIV/0!</v>
      </c>
      <c r="N78" s="26" t="e">
        <f t="shared" si="17"/>
        <v>#DIV/0!</v>
      </c>
      <c r="O78" s="26" t="e">
        <f t="shared" si="18"/>
        <v>#DIV/0!</v>
      </c>
      <c r="P78" s="26" t="e">
        <f t="shared" si="18"/>
        <v>#DIV/0!</v>
      </c>
      <c r="Q78" s="26" t="e">
        <f t="shared" si="18"/>
        <v>#DIV/0!</v>
      </c>
      <c r="R78" s="26" t="e">
        <f t="shared" si="21"/>
        <v>#DIV/0!</v>
      </c>
      <c r="S78" s="39" t="e">
        <f>SUM(O88:Q88)=R88</f>
        <v>#DIV/0!</v>
      </c>
    </row>
    <row r="79" spans="1:19" x14ac:dyDescent="0.25">
      <c r="A79" t="str">
        <f t="shared" si="15"/>
        <v>Kairouan</v>
      </c>
      <c r="B79" s="36">
        <f t="shared" si="15"/>
        <v>0</v>
      </c>
      <c r="C79" s="25">
        <f t="shared" si="15"/>
        <v>0</v>
      </c>
      <c r="D79" s="25">
        <f t="shared" si="15"/>
        <v>0</v>
      </c>
      <c r="E79" s="25">
        <f t="shared" si="15"/>
        <v>0</v>
      </c>
      <c r="F79" s="25">
        <f t="shared" si="19"/>
        <v>0</v>
      </c>
      <c r="G79" s="184" t="e">
        <f t="shared" si="16"/>
        <v>#DIV/0!</v>
      </c>
      <c r="H79" s="184" t="e">
        <f t="shared" si="16"/>
        <v>#DIV/0!</v>
      </c>
      <c r="I79" s="184" t="e">
        <f t="shared" si="16"/>
        <v>#DIV/0!</v>
      </c>
      <c r="J79" s="9" t="e">
        <f t="shared" si="20"/>
        <v>#DIV/0!</v>
      </c>
      <c r="K79" s="26" t="e">
        <f t="shared" si="17"/>
        <v>#DIV/0!</v>
      </c>
      <c r="L79" s="26" t="e">
        <f t="shared" si="17"/>
        <v>#DIV/0!</v>
      </c>
      <c r="M79" s="26" t="e">
        <f t="shared" si="17"/>
        <v>#DIV/0!</v>
      </c>
      <c r="N79" s="26" t="e">
        <f t="shared" si="17"/>
        <v>#DIV/0!</v>
      </c>
      <c r="O79" s="26" t="e">
        <f t="shared" si="18"/>
        <v>#DIV/0!</v>
      </c>
      <c r="P79" s="26" t="e">
        <f t="shared" si="18"/>
        <v>#DIV/0!</v>
      </c>
      <c r="Q79" s="26" t="e">
        <f t="shared" si="18"/>
        <v>#DIV/0!</v>
      </c>
      <c r="R79" s="26" t="e">
        <f t="shared" si="21"/>
        <v>#DIV/0!</v>
      </c>
    </row>
    <row r="80" spans="1:19" x14ac:dyDescent="0.25">
      <c r="A80" t="str">
        <f t="shared" ref="A80:E87" si="22">A50</f>
        <v>Kasserine</v>
      </c>
      <c r="B80" s="36">
        <f t="shared" si="22"/>
        <v>0</v>
      </c>
      <c r="C80" s="25">
        <f t="shared" si="22"/>
        <v>0</v>
      </c>
      <c r="D80" s="25">
        <f t="shared" si="22"/>
        <v>0</v>
      </c>
      <c r="E80" s="25">
        <f t="shared" si="22"/>
        <v>0</v>
      </c>
      <c r="F80" s="25">
        <f t="shared" si="19"/>
        <v>0</v>
      </c>
      <c r="G80" s="184" t="e">
        <f t="shared" ref="G80:I87" si="23">$F$61*G50</f>
        <v>#DIV/0!</v>
      </c>
      <c r="H80" s="184" t="e">
        <f t="shared" si="23"/>
        <v>#DIV/0!</v>
      </c>
      <c r="I80" s="184" t="e">
        <f t="shared" si="23"/>
        <v>#DIV/0!</v>
      </c>
      <c r="J80" s="9" t="e">
        <f t="shared" si="20"/>
        <v>#DIV/0!</v>
      </c>
      <c r="K80" s="26" t="e">
        <f t="shared" ref="K80:N87" si="24">G80*C80*$B80</f>
        <v>#DIV/0!</v>
      </c>
      <c r="L80" s="26" t="e">
        <f t="shared" si="24"/>
        <v>#DIV/0!</v>
      </c>
      <c r="M80" s="26" t="e">
        <f t="shared" si="24"/>
        <v>#DIV/0!</v>
      </c>
      <c r="N80" s="26" t="e">
        <f t="shared" si="24"/>
        <v>#DIV/0!</v>
      </c>
      <c r="O80" s="26" t="e">
        <f t="shared" ref="O80:Q87" si="25">$D$20*K80</f>
        <v>#DIV/0!</v>
      </c>
      <c r="P80" s="26" t="e">
        <f t="shared" si="25"/>
        <v>#DIV/0!</v>
      </c>
      <c r="Q80" s="26" t="e">
        <f t="shared" si="25"/>
        <v>#DIV/0!</v>
      </c>
      <c r="R80" s="26" t="e">
        <f t="shared" si="21"/>
        <v>#DIV/0!</v>
      </c>
    </row>
    <row r="81" spans="1:20" x14ac:dyDescent="0.25">
      <c r="A81" t="str">
        <f t="shared" si="22"/>
        <v>Sidi Bouzid</v>
      </c>
      <c r="B81" s="36">
        <f t="shared" si="22"/>
        <v>0</v>
      </c>
      <c r="C81" s="25">
        <f t="shared" si="22"/>
        <v>0</v>
      </c>
      <c r="D81" s="25">
        <f t="shared" si="22"/>
        <v>0</v>
      </c>
      <c r="E81" s="25">
        <f t="shared" si="22"/>
        <v>0</v>
      </c>
      <c r="F81" s="25">
        <f t="shared" si="19"/>
        <v>0</v>
      </c>
      <c r="G81" s="184" t="e">
        <f t="shared" si="23"/>
        <v>#DIV/0!</v>
      </c>
      <c r="H81" s="184" t="e">
        <f t="shared" si="23"/>
        <v>#DIV/0!</v>
      </c>
      <c r="I81" s="184" t="e">
        <f t="shared" si="23"/>
        <v>#DIV/0!</v>
      </c>
      <c r="J81" s="9" t="e">
        <f t="shared" si="20"/>
        <v>#DIV/0!</v>
      </c>
      <c r="K81" s="26" t="e">
        <f t="shared" si="24"/>
        <v>#DIV/0!</v>
      </c>
      <c r="L81" s="26" t="e">
        <f t="shared" si="24"/>
        <v>#DIV/0!</v>
      </c>
      <c r="M81" s="26" t="e">
        <f t="shared" si="24"/>
        <v>#DIV/0!</v>
      </c>
      <c r="N81" s="26" t="e">
        <f t="shared" si="24"/>
        <v>#DIV/0!</v>
      </c>
      <c r="O81" s="26" t="e">
        <f t="shared" si="25"/>
        <v>#DIV/0!</v>
      </c>
      <c r="P81" s="26" t="e">
        <f t="shared" si="25"/>
        <v>#DIV/0!</v>
      </c>
      <c r="Q81" s="26" t="e">
        <f t="shared" si="25"/>
        <v>#DIV/0!</v>
      </c>
      <c r="R81" s="26" t="e">
        <f t="shared" si="21"/>
        <v>#DIV/0!</v>
      </c>
    </row>
    <row r="82" spans="1:20" x14ac:dyDescent="0.25">
      <c r="A82" t="str">
        <f t="shared" si="22"/>
        <v>Gafsa</v>
      </c>
      <c r="B82" s="36">
        <f t="shared" si="22"/>
        <v>0</v>
      </c>
      <c r="C82" s="25">
        <f t="shared" si="22"/>
        <v>0</v>
      </c>
      <c r="D82" s="25">
        <f t="shared" si="22"/>
        <v>0</v>
      </c>
      <c r="E82" s="25">
        <f t="shared" si="22"/>
        <v>0</v>
      </c>
      <c r="F82" s="25">
        <f t="shared" si="19"/>
        <v>0</v>
      </c>
      <c r="G82" s="184" t="e">
        <f t="shared" si="23"/>
        <v>#DIV/0!</v>
      </c>
      <c r="H82" s="184" t="e">
        <f t="shared" si="23"/>
        <v>#DIV/0!</v>
      </c>
      <c r="I82" s="184" t="e">
        <f t="shared" si="23"/>
        <v>#DIV/0!</v>
      </c>
      <c r="J82" s="9" t="e">
        <f t="shared" si="20"/>
        <v>#DIV/0!</v>
      </c>
      <c r="K82" s="26" t="e">
        <f t="shared" si="24"/>
        <v>#DIV/0!</v>
      </c>
      <c r="L82" s="26" t="e">
        <f t="shared" si="24"/>
        <v>#DIV/0!</v>
      </c>
      <c r="M82" s="26" t="e">
        <f t="shared" si="24"/>
        <v>#DIV/0!</v>
      </c>
      <c r="N82" s="26" t="e">
        <f t="shared" si="24"/>
        <v>#DIV/0!</v>
      </c>
      <c r="O82" s="26" t="e">
        <f t="shared" si="25"/>
        <v>#DIV/0!</v>
      </c>
      <c r="P82" s="26" t="e">
        <f t="shared" si="25"/>
        <v>#DIV/0!</v>
      </c>
      <c r="Q82" s="26" t="e">
        <f t="shared" si="25"/>
        <v>#DIV/0!</v>
      </c>
      <c r="R82" s="26" t="e">
        <f t="shared" si="21"/>
        <v>#DIV/0!</v>
      </c>
    </row>
    <row r="83" spans="1:20" x14ac:dyDescent="0.25">
      <c r="A83" t="str">
        <f t="shared" si="22"/>
        <v>Gabès</v>
      </c>
      <c r="B83" s="36">
        <f t="shared" si="22"/>
        <v>0</v>
      </c>
      <c r="C83" s="25">
        <f t="shared" si="22"/>
        <v>0</v>
      </c>
      <c r="D83" s="25">
        <f t="shared" si="22"/>
        <v>0</v>
      </c>
      <c r="E83" s="25">
        <f t="shared" si="22"/>
        <v>0</v>
      </c>
      <c r="F83" s="25">
        <f t="shared" si="19"/>
        <v>0</v>
      </c>
      <c r="G83" s="184" t="e">
        <f t="shared" si="23"/>
        <v>#DIV/0!</v>
      </c>
      <c r="H83" s="184" t="e">
        <f t="shared" si="23"/>
        <v>#DIV/0!</v>
      </c>
      <c r="I83" s="184" t="e">
        <f t="shared" si="23"/>
        <v>#DIV/0!</v>
      </c>
      <c r="J83" s="9" t="e">
        <f t="shared" si="20"/>
        <v>#DIV/0!</v>
      </c>
      <c r="K83" s="26" t="e">
        <f t="shared" si="24"/>
        <v>#DIV/0!</v>
      </c>
      <c r="L83" s="26" t="e">
        <f t="shared" si="24"/>
        <v>#DIV/0!</v>
      </c>
      <c r="M83" s="26" t="e">
        <f t="shared" si="24"/>
        <v>#DIV/0!</v>
      </c>
      <c r="N83" s="26" t="e">
        <f t="shared" si="24"/>
        <v>#DIV/0!</v>
      </c>
      <c r="O83" s="26" t="e">
        <f t="shared" si="25"/>
        <v>#DIV/0!</v>
      </c>
      <c r="P83" s="26" t="e">
        <f t="shared" si="25"/>
        <v>#DIV/0!</v>
      </c>
      <c r="Q83" s="26" t="e">
        <f t="shared" si="25"/>
        <v>#DIV/0!</v>
      </c>
      <c r="R83" s="26" t="e">
        <f t="shared" si="21"/>
        <v>#DIV/0!</v>
      </c>
    </row>
    <row r="84" spans="1:20" x14ac:dyDescent="0.25">
      <c r="A84" t="str">
        <f t="shared" si="22"/>
        <v>Médenine</v>
      </c>
      <c r="B84" s="36">
        <f t="shared" si="22"/>
        <v>0</v>
      </c>
      <c r="C84" s="25">
        <f t="shared" si="22"/>
        <v>0</v>
      </c>
      <c r="D84" s="25">
        <f t="shared" si="22"/>
        <v>0</v>
      </c>
      <c r="E84" s="25">
        <f t="shared" si="22"/>
        <v>0</v>
      </c>
      <c r="F84" s="25">
        <f t="shared" si="19"/>
        <v>0</v>
      </c>
      <c r="G84" s="184" t="e">
        <f t="shared" si="23"/>
        <v>#DIV/0!</v>
      </c>
      <c r="H84" s="184" t="e">
        <f t="shared" si="23"/>
        <v>#DIV/0!</v>
      </c>
      <c r="I84" s="184" t="e">
        <f t="shared" si="23"/>
        <v>#DIV/0!</v>
      </c>
      <c r="J84" s="9" t="e">
        <f t="shared" si="20"/>
        <v>#DIV/0!</v>
      </c>
      <c r="K84" s="26" t="e">
        <f t="shared" si="24"/>
        <v>#DIV/0!</v>
      </c>
      <c r="L84" s="26" t="e">
        <f t="shared" si="24"/>
        <v>#DIV/0!</v>
      </c>
      <c r="M84" s="26" t="e">
        <f t="shared" si="24"/>
        <v>#DIV/0!</v>
      </c>
      <c r="N84" s="26" t="e">
        <f t="shared" si="24"/>
        <v>#DIV/0!</v>
      </c>
      <c r="O84" s="26" t="e">
        <f t="shared" si="25"/>
        <v>#DIV/0!</v>
      </c>
      <c r="P84" s="26" t="e">
        <f t="shared" si="25"/>
        <v>#DIV/0!</v>
      </c>
      <c r="Q84" s="26" t="e">
        <f t="shared" si="25"/>
        <v>#DIV/0!</v>
      </c>
      <c r="R84" s="26" t="e">
        <f t="shared" si="21"/>
        <v>#DIV/0!</v>
      </c>
      <c r="S84" s="44"/>
      <c r="T84" s="44"/>
    </row>
    <row r="85" spans="1:20" x14ac:dyDescent="0.25">
      <c r="A85" t="str">
        <f t="shared" si="22"/>
        <v>Tataouine</v>
      </c>
      <c r="B85" s="36">
        <f t="shared" si="22"/>
        <v>0</v>
      </c>
      <c r="C85" s="25">
        <f t="shared" si="22"/>
        <v>0</v>
      </c>
      <c r="D85" s="25">
        <f t="shared" si="22"/>
        <v>0</v>
      </c>
      <c r="E85" s="25">
        <f t="shared" si="22"/>
        <v>0</v>
      </c>
      <c r="F85" s="25">
        <f t="shared" si="19"/>
        <v>0</v>
      </c>
      <c r="G85" s="184" t="e">
        <f t="shared" si="23"/>
        <v>#DIV/0!</v>
      </c>
      <c r="H85" s="184" t="e">
        <f t="shared" si="23"/>
        <v>#DIV/0!</v>
      </c>
      <c r="I85" s="184" t="e">
        <f t="shared" si="23"/>
        <v>#DIV/0!</v>
      </c>
      <c r="J85" s="9" t="e">
        <f t="shared" si="20"/>
        <v>#DIV/0!</v>
      </c>
      <c r="K85" s="26" t="e">
        <f t="shared" si="24"/>
        <v>#DIV/0!</v>
      </c>
      <c r="L85" s="26" t="e">
        <f t="shared" si="24"/>
        <v>#DIV/0!</v>
      </c>
      <c r="M85" s="26" t="e">
        <f t="shared" si="24"/>
        <v>#DIV/0!</v>
      </c>
      <c r="N85" s="26" t="e">
        <f t="shared" si="24"/>
        <v>#DIV/0!</v>
      </c>
      <c r="O85" s="26" t="e">
        <f t="shared" si="25"/>
        <v>#DIV/0!</v>
      </c>
      <c r="P85" s="26" t="e">
        <f t="shared" si="25"/>
        <v>#DIV/0!</v>
      </c>
      <c r="Q85" s="26" t="e">
        <f t="shared" si="25"/>
        <v>#DIV/0!</v>
      </c>
      <c r="R85" s="26" t="e">
        <f t="shared" si="21"/>
        <v>#DIV/0!</v>
      </c>
    </row>
    <row r="86" spans="1:20" x14ac:dyDescent="0.25">
      <c r="A86" t="str">
        <f t="shared" si="22"/>
        <v>Tozeur</v>
      </c>
      <c r="B86" s="36">
        <f t="shared" si="22"/>
        <v>0</v>
      </c>
      <c r="C86" s="25">
        <f t="shared" si="22"/>
        <v>0</v>
      </c>
      <c r="D86" s="25">
        <f t="shared" si="22"/>
        <v>0</v>
      </c>
      <c r="E86" s="25">
        <f t="shared" si="22"/>
        <v>0</v>
      </c>
      <c r="F86" s="25">
        <f t="shared" si="19"/>
        <v>0</v>
      </c>
      <c r="G86" s="184" t="e">
        <f t="shared" si="23"/>
        <v>#DIV/0!</v>
      </c>
      <c r="H86" s="184" t="e">
        <f t="shared" si="23"/>
        <v>#DIV/0!</v>
      </c>
      <c r="I86" s="184" t="e">
        <f t="shared" si="23"/>
        <v>#DIV/0!</v>
      </c>
      <c r="J86" s="9" t="e">
        <f t="shared" si="20"/>
        <v>#DIV/0!</v>
      </c>
      <c r="K86" s="26" t="e">
        <f t="shared" si="24"/>
        <v>#DIV/0!</v>
      </c>
      <c r="L86" s="26" t="e">
        <f t="shared" si="24"/>
        <v>#DIV/0!</v>
      </c>
      <c r="M86" s="26" t="e">
        <f t="shared" si="24"/>
        <v>#DIV/0!</v>
      </c>
      <c r="N86" s="26" t="e">
        <f t="shared" si="24"/>
        <v>#DIV/0!</v>
      </c>
      <c r="O86" s="26" t="e">
        <f t="shared" si="25"/>
        <v>#DIV/0!</v>
      </c>
      <c r="P86" s="26" t="e">
        <f t="shared" si="25"/>
        <v>#DIV/0!</v>
      </c>
      <c r="Q86" s="26" t="e">
        <f t="shared" si="25"/>
        <v>#DIV/0!</v>
      </c>
      <c r="R86" s="26" t="e">
        <f t="shared" si="21"/>
        <v>#DIV/0!</v>
      </c>
    </row>
    <row r="87" spans="1:20" x14ac:dyDescent="0.25">
      <c r="A87" t="str">
        <f t="shared" si="22"/>
        <v>Kébili</v>
      </c>
      <c r="B87" s="36">
        <f t="shared" si="22"/>
        <v>0</v>
      </c>
      <c r="C87" s="25">
        <f t="shared" si="22"/>
        <v>0</v>
      </c>
      <c r="D87" s="25">
        <f t="shared" si="22"/>
        <v>0</v>
      </c>
      <c r="E87" s="25">
        <f t="shared" si="22"/>
        <v>0</v>
      </c>
      <c r="F87" s="25">
        <f t="shared" si="19"/>
        <v>0</v>
      </c>
      <c r="G87" s="184" t="e">
        <f t="shared" si="23"/>
        <v>#DIV/0!</v>
      </c>
      <c r="H87" s="184" t="e">
        <f t="shared" si="23"/>
        <v>#DIV/0!</v>
      </c>
      <c r="I87" s="184" t="e">
        <f t="shared" si="23"/>
        <v>#DIV/0!</v>
      </c>
      <c r="J87" s="9" t="e">
        <f t="shared" si="20"/>
        <v>#DIV/0!</v>
      </c>
      <c r="K87" s="26" t="e">
        <f t="shared" si="24"/>
        <v>#DIV/0!</v>
      </c>
      <c r="L87" s="26" t="e">
        <f t="shared" si="24"/>
        <v>#DIV/0!</v>
      </c>
      <c r="M87" s="26" t="e">
        <f t="shared" si="24"/>
        <v>#DIV/0!</v>
      </c>
      <c r="N87" s="26" t="e">
        <f t="shared" si="24"/>
        <v>#DIV/0!</v>
      </c>
      <c r="O87" s="26" t="e">
        <f t="shared" si="25"/>
        <v>#DIV/0!</v>
      </c>
      <c r="P87" s="26" t="e">
        <f t="shared" si="25"/>
        <v>#DIV/0!</v>
      </c>
      <c r="Q87" s="26" t="e">
        <f t="shared" si="25"/>
        <v>#DIV/0!</v>
      </c>
      <c r="R87" s="26" t="e">
        <f t="shared" si="21"/>
        <v>#DIV/0!</v>
      </c>
    </row>
    <row r="88" spans="1:20" x14ac:dyDescent="0.25">
      <c r="A88" s="1" t="s">
        <v>163</v>
      </c>
      <c r="B88" s="10">
        <f>SUM(B64:B87)</f>
        <v>0</v>
      </c>
      <c r="C88" s="51" t="e">
        <f>SUMPRODUCT($B$64:$B$87,C64:C87)/$B$88</f>
        <v>#DIV/0!</v>
      </c>
      <c r="D88" s="51" t="e">
        <f>SUMPRODUCT($B$64:$B$87,D64:D87)/$B$88</f>
        <v>#DIV/0!</v>
      </c>
      <c r="E88" s="51" t="e">
        <f>SUMPRODUCT($B$64:$B$87,E64:E87)/$B$88</f>
        <v>#DIV/0!</v>
      </c>
      <c r="F88" s="37" t="e">
        <f>SUM(C88:E88)</f>
        <v>#DIV/0!</v>
      </c>
      <c r="G88" s="10" t="e">
        <f>SUMPRODUCT(B64:B87,G64:G87)/E88</f>
        <v>#DIV/0!</v>
      </c>
      <c r="H88" s="10" t="e">
        <f>SUMPRODUCT(B64:B87,H64:H87)/G88</f>
        <v>#DIV/0!</v>
      </c>
      <c r="I88" s="10" t="e">
        <f>SUMPRODUCT(B64:B87,I64:I87)/H88</f>
        <v>#DIV/0!</v>
      </c>
      <c r="J88" s="9" t="e">
        <f>SUMPRODUCT(C88:E88,G88:I88)</f>
        <v>#DIV/0!</v>
      </c>
      <c r="K88" s="10" t="e">
        <f>SUM(K64:K87)</f>
        <v>#DIV/0!</v>
      </c>
      <c r="L88" s="10" t="e">
        <f>SUM(L64:L87)</f>
        <v>#DIV/0!</v>
      </c>
      <c r="M88" s="10" t="e">
        <f t="shared" ref="M88" si="26">SUM(M64:M87)</f>
        <v>#DIV/0!</v>
      </c>
      <c r="N88" s="23" t="e">
        <f>SUM(K88:M88)</f>
        <v>#DIV/0!</v>
      </c>
      <c r="O88" s="10" t="e">
        <f>SUM(O64:O87)</f>
        <v>#DIV/0!</v>
      </c>
      <c r="P88" s="10" t="e">
        <f>SUM(P64:P87)</f>
        <v>#DIV/0!</v>
      </c>
      <c r="Q88" s="10" t="e">
        <f>SUM(Q64:Q87)</f>
        <v>#DIV/0!</v>
      </c>
      <c r="R88" s="23" t="e">
        <f>SUM(R64:R87)</f>
        <v>#DIV/0!</v>
      </c>
    </row>
    <row r="89" spans="1:20" x14ac:dyDescent="0.25">
      <c r="A89" s="17" t="s">
        <v>8</v>
      </c>
      <c r="C89" s="842"/>
      <c r="D89" s="842"/>
      <c r="E89" s="842"/>
      <c r="F89" s="6"/>
      <c r="N89" s="29" t="e">
        <f>SUM(K88:M88)=N88</f>
        <v>#DIV/0!</v>
      </c>
    </row>
    <row r="90" spans="1:20" x14ac:dyDescent="0.25">
      <c r="A90" s="17"/>
      <c r="C90" s="21"/>
      <c r="D90" s="21"/>
      <c r="E90" s="21"/>
    </row>
    <row r="93" spans="1:20" x14ac:dyDescent="0.25">
      <c r="A93" s="3" t="s">
        <v>325</v>
      </c>
    </row>
    <row r="94" spans="1:20" x14ac:dyDescent="0.25">
      <c r="A94" s="1" t="s">
        <v>326</v>
      </c>
    </row>
    <row r="95" spans="1:20" x14ac:dyDescent="0.25">
      <c r="A95" s="838" t="s">
        <v>101</v>
      </c>
      <c r="B95" s="814" t="s">
        <v>327</v>
      </c>
      <c r="C95" s="814" t="s">
        <v>328</v>
      </c>
      <c r="D95" s="814"/>
      <c r="E95" s="814"/>
      <c r="F95" s="814"/>
      <c r="G95" s="814" t="s">
        <v>329</v>
      </c>
      <c r="H95" s="814"/>
      <c r="I95" s="814"/>
      <c r="J95" s="814"/>
      <c r="K95" s="814" t="s">
        <v>330</v>
      </c>
      <c r="L95" s="814"/>
      <c r="M95" s="814"/>
      <c r="N95" s="814"/>
      <c r="O95" s="44"/>
      <c r="P95" s="44"/>
      <c r="Q95" s="44"/>
      <c r="R95" s="44"/>
    </row>
    <row r="96" spans="1:20" x14ac:dyDescent="0.25">
      <c r="A96" s="838"/>
      <c r="B96" s="814"/>
      <c r="C96" s="1" t="s">
        <v>331</v>
      </c>
      <c r="D96" s="1" t="s">
        <v>137</v>
      </c>
      <c r="E96" s="1" t="s">
        <v>289</v>
      </c>
      <c r="F96" s="1" t="s">
        <v>120</v>
      </c>
      <c r="G96" s="1" t="s">
        <v>136</v>
      </c>
      <c r="H96" s="1" t="s">
        <v>137</v>
      </c>
      <c r="I96" s="1" t="s">
        <v>289</v>
      </c>
      <c r="J96" s="1" t="s">
        <v>120</v>
      </c>
      <c r="K96" s="1" t="s">
        <v>136</v>
      </c>
      <c r="L96" s="1" t="s">
        <v>137</v>
      </c>
      <c r="M96" s="1" t="s">
        <v>289</v>
      </c>
      <c r="N96" s="1" t="s">
        <v>120</v>
      </c>
    </row>
    <row r="97" spans="1:14" x14ac:dyDescent="0.25">
      <c r="A97" t="str">
        <f>A64</f>
        <v>Tunis</v>
      </c>
      <c r="B97" s="40"/>
      <c r="C97" s="298">
        <f t="shared" ref="C97:E112" si="27">C64</f>
        <v>0</v>
      </c>
      <c r="D97" s="298">
        <f t="shared" si="27"/>
        <v>0</v>
      </c>
      <c r="E97" s="298">
        <f t="shared" si="27"/>
        <v>0</v>
      </c>
      <c r="F97" s="140">
        <f>SUM(C97:E97)</f>
        <v>0</v>
      </c>
      <c r="G97" s="36" t="str">
        <f t="shared" ref="G97:G108" si="28">IFERROR(C97*$B97/(C34*$B34),"")</f>
        <v/>
      </c>
      <c r="H97" s="9" t="str">
        <f>IFERROR(D97*$B97/(D34*$B34),"")</f>
        <v/>
      </c>
      <c r="I97" s="9" t="str">
        <f>IFERROR(E97*$B97/(E34*$B34),"")</f>
        <v/>
      </c>
      <c r="J97" s="9">
        <f>IFERROR(SUMPRODUCT(C97:E97,G97:I97),"")</f>
        <v>0</v>
      </c>
      <c r="K97" s="9" t="str">
        <f>IFERROR(($G97-G97)*(C34*$B34),"")</f>
        <v/>
      </c>
      <c r="L97" s="9" t="str">
        <f>IFERROR(($G97-H97)*(D34*$B34),"")</f>
        <v/>
      </c>
      <c r="M97" s="9" t="str">
        <f>IFERROR(($G97-I97)*(E34*$B34),"")</f>
        <v/>
      </c>
      <c r="N97" s="140">
        <f>'Value-of-fuel-used-under-CT'!S4</f>
        <v>0</v>
      </c>
    </row>
    <row r="98" spans="1:14" x14ac:dyDescent="0.25">
      <c r="A98" t="str">
        <f t="shared" ref="A98:A120" si="29">A65</f>
        <v>Ariana</v>
      </c>
      <c r="B98" s="40"/>
      <c r="C98" s="298">
        <f t="shared" si="27"/>
        <v>0</v>
      </c>
      <c r="D98" s="298">
        <f t="shared" si="27"/>
        <v>0</v>
      </c>
      <c r="E98" s="298">
        <f t="shared" si="27"/>
        <v>0</v>
      </c>
      <c r="F98" s="140">
        <f t="shared" ref="F98:F120" si="30">SUM(C98:E98)</f>
        <v>0</v>
      </c>
      <c r="G98" s="36" t="str">
        <f t="shared" si="28"/>
        <v/>
      </c>
      <c r="H98" s="9" t="str">
        <f t="shared" ref="H98:H120" si="31">IFERROR(D98*$B98/(D35*$B35),"")</f>
        <v/>
      </c>
      <c r="I98" s="9" t="str">
        <f t="shared" ref="I98:I120" si="32">IFERROR(E98*$B98/(E35*$B35),"")</f>
        <v/>
      </c>
      <c r="J98" s="9">
        <f t="shared" ref="J98:J120" si="33">IFERROR(SUMPRODUCT(C98:E98,G98:I98),"")</f>
        <v>0</v>
      </c>
      <c r="K98" s="9" t="str">
        <f t="shared" ref="K98:K120" si="34">IFERROR(($G98-G98)*(C35*$B35),"")</f>
        <v/>
      </c>
      <c r="L98" s="9" t="str">
        <f t="shared" ref="L98:L120" si="35">IFERROR(($G98-H98)*(D35*$B35),"")</f>
        <v/>
      </c>
      <c r="M98" s="9" t="str">
        <f t="shared" ref="M98:M120" si="36">IFERROR(($G98-I98)*(E35*$B35),"")</f>
        <v/>
      </c>
      <c r="N98" s="140">
        <f>'Value-of-fuel-used-under-CT'!S5</f>
        <v>0</v>
      </c>
    </row>
    <row r="99" spans="1:14" x14ac:dyDescent="0.25">
      <c r="A99" t="str">
        <f t="shared" si="29"/>
        <v>La Manouba</v>
      </c>
      <c r="B99" s="40"/>
      <c r="C99" s="298">
        <f t="shared" si="27"/>
        <v>0</v>
      </c>
      <c r="D99" s="298">
        <f t="shared" si="27"/>
        <v>0</v>
      </c>
      <c r="E99" s="298">
        <f t="shared" si="27"/>
        <v>0</v>
      </c>
      <c r="F99" s="140">
        <f t="shared" si="30"/>
        <v>0</v>
      </c>
      <c r="G99" s="36" t="str">
        <f t="shared" si="28"/>
        <v/>
      </c>
      <c r="H99" s="9" t="str">
        <f t="shared" si="31"/>
        <v/>
      </c>
      <c r="I99" s="9" t="str">
        <f t="shared" si="32"/>
        <v/>
      </c>
      <c r="J99" s="9">
        <f t="shared" si="33"/>
        <v>0</v>
      </c>
      <c r="K99" s="9" t="str">
        <f t="shared" si="34"/>
        <v/>
      </c>
      <c r="L99" s="9" t="str">
        <f t="shared" si="35"/>
        <v/>
      </c>
      <c r="M99" s="9" t="str">
        <f t="shared" si="36"/>
        <v/>
      </c>
      <c r="N99" s="140">
        <f>'Value-of-fuel-used-under-CT'!S17</f>
        <v>0</v>
      </c>
    </row>
    <row r="100" spans="1:14" x14ac:dyDescent="0.25">
      <c r="A100" t="str">
        <f t="shared" si="29"/>
        <v>Ben Arous</v>
      </c>
      <c r="B100" s="40"/>
      <c r="C100" s="298">
        <f t="shared" si="27"/>
        <v>0</v>
      </c>
      <c r="D100" s="298">
        <f t="shared" si="27"/>
        <v>0</v>
      </c>
      <c r="E100" s="298">
        <f t="shared" si="27"/>
        <v>0</v>
      </c>
      <c r="F100" s="140">
        <f t="shared" si="30"/>
        <v>0</v>
      </c>
      <c r="G100" s="36" t="str">
        <f t="shared" si="28"/>
        <v/>
      </c>
      <c r="H100" s="9" t="str">
        <f t="shared" si="31"/>
        <v/>
      </c>
      <c r="I100" s="9" t="str">
        <f t="shared" si="32"/>
        <v/>
      </c>
      <c r="J100" s="9">
        <f t="shared" si="33"/>
        <v>0</v>
      </c>
      <c r="K100" s="9" t="str">
        <f t="shared" si="34"/>
        <v/>
      </c>
      <c r="L100" s="9" t="str">
        <f t="shared" si="35"/>
        <v/>
      </c>
      <c r="M100" s="9" t="str">
        <f t="shared" si="36"/>
        <v/>
      </c>
      <c r="N100" s="140">
        <f>'Value-of-fuel-used-under-CT'!S18</f>
        <v>0</v>
      </c>
    </row>
    <row r="101" spans="1:14" x14ac:dyDescent="0.25">
      <c r="A101" t="str">
        <f t="shared" si="29"/>
        <v>Nabeul</v>
      </c>
      <c r="B101" s="40"/>
      <c r="C101" s="298">
        <f t="shared" si="27"/>
        <v>0</v>
      </c>
      <c r="D101" s="298">
        <f t="shared" si="27"/>
        <v>0</v>
      </c>
      <c r="E101" s="298">
        <f t="shared" si="27"/>
        <v>0</v>
      </c>
      <c r="F101" s="140">
        <f t="shared" si="30"/>
        <v>0</v>
      </c>
      <c r="G101" s="36" t="str">
        <f t="shared" si="28"/>
        <v/>
      </c>
      <c r="H101" s="9" t="str">
        <f t="shared" si="31"/>
        <v/>
      </c>
      <c r="I101" s="9" t="str">
        <f t="shared" si="32"/>
        <v/>
      </c>
      <c r="J101" s="9">
        <f t="shared" si="33"/>
        <v>0</v>
      </c>
      <c r="K101" s="9" t="str">
        <f t="shared" si="34"/>
        <v/>
      </c>
      <c r="L101" s="9" t="str">
        <f t="shared" si="35"/>
        <v/>
      </c>
      <c r="M101" s="9" t="str">
        <f t="shared" si="36"/>
        <v/>
      </c>
      <c r="N101" s="140">
        <f>'Value-of-fuel-used-under-CT'!S19</f>
        <v>0</v>
      </c>
    </row>
    <row r="102" spans="1:14" x14ac:dyDescent="0.25">
      <c r="A102" t="str">
        <f t="shared" si="29"/>
        <v>Bizerte</v>
      </c>
      <c r="B102" s="40"/>
      <c r="C102" s="298">
        <f t="shared" si="27"/>
        <v>0</v>
      </c>
      <c r="D102" s="298">
        <f t="shared" si="27"/>
        <v>0</v>
      </c>
      <c r="E102" s="298">
        <f t="shared" si="27"/>
        <v>0</v>
      </c>
      <c r="F102" s="140">
        <f t="shared" si="30"/>
        <v>0</v>
      </c>
      <c r="G102" s="36" t="str">
        <f t="shared" si="28"/>
        <v/>
      </c>
      <c r="H102" s="9" t="str">
        <f t="shared" si="31"/>
        <v/>
      </c>
      <c r="I102" s="9" t="str">
        <f t="shared" si="32"/>
        <v/>
      </c>
      <c r="J102" s="9">
        <f t="shared" si="33"/>
        <v>0</v>
      </c>
      <c r="K102" s="9" t="str">
        <f t="shared" si="34"/>
        <v/>
      </c>
      <c r="L102" s="9" t="str">
        <f t="shared" si="35"/>
        <v/>
      </c>
      <c r="M102" s="9" t="str">
        <f t="shared" si="36"/>
        <v/>
      </c>
      <c r="N102" s="140">
        <f>'Value-of-fuel-used-under-CT'!S20</f>
        <v>0</v>
      </c>
    </row>
    <row r="103" spans="1:14" x14ac:dyDescent="0.25">
      <c r="A103" t="str">
        <f t="shared" si="29"/>
        <v>Zaghouan</v>
      </c>
      <c r="B103" s="40"/>
      <c r="C103" s="298">
        <f t="shared" si="27"/>
        <v>0</v>
      </c>
      <c r="D103" s="298">
        <f t="shared" si="27"/>
        <v>0</v>
      </c>
      <c r="E103" s="298">
        <f t="shared" si="27"/>
        <v>0</v>
      </c>
      <c r="F103" s="140">
        <f t="shared" si="30"/>
        <v>0</v>
      </c>
      <c r="G103" s="36" t="str">
        <f t="shared" si="28"/>
        <v/>
      </c>
      <c r="H103" s="9" t="str">
        <f t="shared" si="31"/>
        <v/>
      </c>
      <c r="I103" s="9" t="str">
        <f t="shared" si="32"/>
        <v/>
      </c>
      <c r="J103" s="9">
        <f t="shared" si="33"/>
        <v>0</v>
      </c>
      <c r="K103" s="9" t="str">
        <f t="shared" si="34"/>
        <v/>
      </c>
      <c r="L103" s="9" t="str">
        <f t="shared" si="35"/>
        <v/>
      </c>
      <c r="M103" s="9" t="str">
        <f t="shared" si="36"/>
        <v/>
      </c>
      <c r="N103" s="140">
        <f>'Value-of-fuel-used-under-CT'!S21</f>
        <v>0</v>
      </c>
    </row>
    <row r="104" spans="1:14" x14ac:dyDescent="0.25">
      <c r="A104" t="str">
        <f t="shared" si="29"/>
        <v>Béja</v>
      </c>
      <c r="B104" s="40"/>
      <c r="C104" s="298">
        <f t="shared" si="27"/>
        <v>0</v>
      </c>
      <c r="D104" s="298">
        <f t="shared" si="27"/>
        <v>0</v>
      </c>
      <c r="E104" s="298">
        <f t="shared" si="27"/>
        <v>0</v>
      </c>
      <c r="F104" s="140">
        <f t="shared" si="30"/>
        <v>0</v>
      </c>
      <c r="G104" s="36" t="str">
        <f t="shared" si="28"/>
        <v/>
      </c>
      <c r="H104" s="9" t="str">
        <f t="shared" si="31"/>
        <v/>
      </c>
      <c r="I104" s="9" t="str">
        <f t="shared" si="32"/>
        <v/>
      </c>
      <c r="J104" s="9">
        <f t="shared" si="33"/>
        <v>0</v>
      </c>
      <c r="K104" s="9" t="str">
        <f t="shared" si="34"/>
        <v/>
      </c>
      <c r="L104" s="9" t="str">
        <f t="shared" si="35"/>
        <v/>
      </c>
      <c r="M104" s="9" t="str">
        <f t="shared" si="36"/>
        <v/>
      </c>
      <c r="N104" s="140">
        <f>'Value-of-fuel-used-under-CT'!S22</f>
        <v>0</v>
      </c>
    </row>
    <row r="105" spans="1:14" x14ac:dyDescent="0.25">
      <c r="A105" t="str">
        <f t="shared" si="29"/>
        <v>Jendouba</v>
      </c>
      <c r="B105" s="40"/>
      <c r="C105" s="298">
        <f t="shared" si="27"/>
        <v>0</v>
      </c>
      <c r="D105" s="298">
        <f t="shared" si="27"/>
        <v>0</v>
      </c>
      <c r="E105" s="298">
        <f t="shared" si="27"/>
        <v>0</v>
      </c>
      <c r="F105" s="140">
        <f t="shared" si="30"/>
        <v>0</v>
      </c>
      <c r="G105" s="36" t="str">
        <f t="shared" si="28"/>
        <v/>
      </c>
      <c r="H105" s="9" t="str">
        <f t="shared" si="31"/>
        <v/>
      </c>
      <c r="I105" s="9" t="str">
        <f t="shared" si="32"/>
        <v/>
      </c>
      <c r="J105" s="9">
        <f t="shared" si="33"/>
        <v>0</v>
      </c>
      <c r="K105" s="9" t="str">
        <f t="shared" si="34"/>
        <v/>
      </c>
      <c r="L105" s="9" t="str">
        <f t="shared" si="35"/>
        <v/>
      </c>
      <c r="M105" s="9" t="str">
        <f t="shared" si="36"/>
        <v/>
      </c>
      <c r="N105" s="140">
        <f>'Value-of-fuel-used-under-CT'!S23</f>
        <v>0</v>
      </c>
    </row>
    <row r="106" spans="1:14" x14ac:dyDescent="0.25">
      <c r="A106" t="str">
        <f t="shared" si="29"/>
        <v>Le Kef</v>
      </c>
      <c r="B106" s="40"/>
      <c r="C106" s="298">
        <f t="shared" si="27"/>
        <v>0</v>
      </c>
      <c r="D106" s="298">
        <f t="shared" si="27"/>
        <v>0</v>
      </c>
      <c r="E106" s="298">
        <f t="shared" si="27"/>
        <v>0</v>
      </c>
      <c r="F106" s="140">
        <f t="shared" si="30"/>
        <v>0</v>
      </c>
      <c r="G106" s="36" t="str">
        <f t="shared" si="28"/>
        <v/>
      </c>
      <c r="H106" s="9" t="str">
        <f t="shared" si="31"/>
        <v/>
      </c>
      <c r="I106" s="9" t="str">
        <f t="shared" si="32"/>
        <v/>
      </c>
      <c r="J106" s="9">
        <f t="shared" si="33"/>
        <v>0</v>
      </c>
      <c r="K106" s="9" t="str">
        <f t="shared" si="34"/>
        <v/>
      </c>
      <c r="L106" s="9" t="str">
        <f t="shared" si="35"/>
        <v/>
      </c>
      <c r="M106" s="9" t="str">
        <f t="shared" si="36"/>
        <v/>
      </c>
      <c r="N106" s="140">
        <f>'Value-of-fuel-used-under-CT'!S24</f>
        <v>0</v>
      </c>
    </row>
    <row r="107" spans="1:14" x14ac:dyDescent="0.25">
      <c r="A107" t="str">
        <f t="shared" si="29"/>
        <v>Siliana</v>
      </c>
      <c r="B107" s="40"/>
      <c r="C107" s="298">
        <f t="shared" si="27"/>
        <v>0</v>
      </c>
      <c r="D107" s="298">
        <f t="shared" si="27"/>
        <v>0</v>
      </c>
      <c r="E107" s="298">
        <f t="shared" si="27"/>
        <v>0</v>
      </c>
      <c r="F107" s="140">
        <f t="shared" si="30"/>
        <v>0</v>
      </c>
      <c r="G107" s="36" t="str">
        <f t="shared" si="28"/>
        <v/>
      </c>
      <c r="H107" s="9" t="str">
        <f t="shared" si="31"/>
        <v/>
      </c>
      <c r="I107" s="9" t="str">
        <f t="shared" si="32"/>
        <v/>
      </c>
      <c r="J107" s="9">
        <f t="shared" si="33"/>
        <v>0</v>
      </c>
      <c r="K107" s="9" t="str">
        <f t="shared" si="34"/>
        <v/>
      </c>
      <c r="L107" s="9" t="str">
        <f t="shared" si="35"/>
        <v/>
      </c>
      <c r="M107" s="9" t="str">
        <f t="shared" si="36"/>
        <v/>
      </c>
      <c r="N107" s="140">
        <f>'Value-of-fuel-used-under-CT'!S25</f>
        <v>0</v>
      </c>
    </row>
    <row r="108" spans="1:14" x14ac:dyDescent="0.25">
      <c r="A108" t="str">
        <f t="shared" si="29"/>
        <v>Sousse</v>
      </c>
      <c r="B108" s="40"/>
      <c r="C108" s="298">
        <f t="shared" si="27"/>
        <v>0</v>
      </c>
      <c r="D108" s="298">
        <f t="shared" si="27"/>
        <v>0</v>
      </c>
      <c r="E108" s="298">
        <f t="shared" si="27"/>
        <v>0</v>
      </c>
      <c r="F108" s="140">
        <f t="shared" si="30"/>
        <v>0</v>
      </c>
      <c r="G108" s="36" t="str">
        <f t="shared" si="28"/>
        <v/>
      </c>
      <c r="H108" s="9" t="str">
        <f t="shared" si="31"/>
        <v/>
      </c>
      <c r="I108" s="9" t="str">
        <f t="shared" si="32"/>
        <v/>
      </c>
      <c r="J108" s="9">
        <f t="shared" si="33"/>
        <v>0</v>
      </c>
      <c r="K108" s="9" t="str">
        <f t="shared" si="34"/>
        <v/>
      </c>
      <c r="L108" s="9" t="str">
        <f t="shared" si="35"/>
        <v/>
      </c>
      <c r="M108" s="9" t="str">
        <f t="shared" si="36"/>
        <v/>
      </c>
      <c r="N108" s="140">
        <f>'Value-of-fuel-used-under-CT'!S26</f>
        <v>0</v>
      </c>
    </row>
    <row r="109" spans="1:14" x14ac:dyDescent="0.25">
      <c r="A109" t="str">
        <f t="shared" si="29"/>
        <v>Monastir</v>
      </c>
      <c r="B109" s="40"/>
      <c r="C109" s="298">
        <f t="shared" si="27"/>
        <v>0</v>
      </c>
      <c r="D109" s="298">
        <f t="shared" si="27"/>
        <v>0</v>
      </c>
      <c r="E109" s="298">
        <f t="shared" si="27"/>
        <v>0</v>
      </c>
      <c r="F109" s="140">
        <f t="shared" si="30"/>
        <v>0</v>
      </c>
      <c r="G109" s="36" t="str">
        <f>IFERROR(C109*$B109/(C46*$B46),"")</f>
        <v/>
      </c>
      <c r="H109" s="9" t="str">
        <f t="shared" si="31"/>
        <v/>
      </c>
      <c r="I109" s="9" t="str">
        <f t="shared" si="32"/>
        <v/>
      </c>
      <c r="J109" s="9">
        <f t="shared" si="33"/>
        <v>0</v>
      </c>
      <c r="K109" s="9" t="str">
        <f t="shared" si="34"/>
        <v/>
      </c>
      <c r="L109" s="9" t="str">
        <f t="shared" si="35"/>
        <v/>
      </c>
      <c r="M109" s="9" t="str">
        <f t="shared" si="36"/>
        <v/>
      </c>
      <c r="N109" s="140">
        <f>'Value-of-fuel-used-under-CT'!S27</f>
        <v>0</v>
      </c>
    </row>
    <row r="110" spans="1:14" x14ac:dyDescent="0.25">
      <c r="A110" t="str">
        <f t="shared" si="29"/>
        <v>Mahdia</v>
      </c>
      <c r="B110" s="40"/>
      <c r="C110" s="298">
        <f t="shared" si="27"/>
        <v>0</v>
      </c>
      <c r="D110" s="298">
        <f t="shared" si="27"/>
        <v>0</v>
      </c>
      <c r="E110" s="298">
        <f t="shared" si="27"/>
        <v>0</v>
      </c>
      <c r="F110" s="140">
        <f t="shared" si="30"/>
        <v>0</v>
      </c>
      <c r="G110" s="36" t="str">
        <f t="shared" ref="G110:G120" si="37">IFERROR(C110*$B110/(C47*$B47),"")</f>
        <v/>
      </c>
      <c r="H110" s="9" t="str">
        <f t="shared" si="31"/>
        <v/>
      </c>
      <c r="I110" s="9" t="str">
        <f t="shared" si="32"/>
        <v/>
      </c>
      <c r="J110" s="9">
        <f t="shared" si="33"/>
        <v>0</v>
      </c>
      <c r="K110" s="9" t="str">
        <f t="shared" si="34"/>
        <v/>
      </c>
      <c r="L110" s="9" t="str">
        <f t="shared" si="35"/>
        <v/>
      </c>
      <c r="M110" s="9" t="str">
        <f t="shared" si="36"/>
        <v/>
      </c>
      <c r="N110" s="140">
        <f>'Value-of-fuel-used-under-CT'!S28</f>
        <v>0</v>
      </c>
    </row>
    <row r="111" spans="1:14" x14ac:dyDescent="0.25">
      <c r="A111" t="str">
        <f t="shared" si="29"/>
        <v>Sfax</v>
      </c>
      <c r="B111" s="40"/>
      <c r="C111" s="298">
        <f t="shared" si="27"/>
        <v>0</v>
      </c>
      <c r="D111" s="298">
        <f t="shared" si="27"/>
        <v>0</v>
      </c>
      <c r="E111" s="298">
        <f t="shared" si="27"/>
        <v>0</v>
      </c>
      <c r="F111" s="140">
        <f t="shared" si="30"/>
        <v>0</v>
      </c>
      <c r="G111" s="36" t="str">
        <f t="shared" si="37"/>
        <v/>
      </c>
      <c r="H111" s="9" t="str">
        <f t="shared" si="31"/>
        <v/>
      </c>
      <c r="I111" s="9" t="str">
        <f t="shared" si="32"/>
        <v/>
      </c>
      <c r="J111" s="9">
        <f t="shared" si="33"/>
        <v>0</v>
      </c>
      <c r="K111" s="9" t="str">
        <f t="shared" si="34"/>
        <v/>
      </c>
      <c r="L111" s="9" t="str">
        <f t="shared" si="35"/>
        <v/>
      </c>
      <c r="M111" s="9" t="str">
        <f t="shared" si="36"/>
        <v/>
      </c>
      <c r="N111" s="140">
        <f>'Value-of-fuel-used-under-CT'!O29</f>
        <v>0</v>
      </c>
    </row>
    <row r="112" spans="1:14" x14ac:dyDescent="0.25">
      <c r="A112" t="str">
        <f t="shared" si="29"/>
        <v>Kairouan</v>
      </c>
      <c r="B112" s="40"/>
      <c r="C112" s="298">
        <f t="shared" si="27"/>
        <v>0</v>
      </c>
      <c r="D112" s="298">
        <f t="shared" si="27"/>
        <v>0</v>
      </c>
      <c r="E112" s="298">
        <f t="shared" si="27"/>
        <v>0</v>
      </c>
      <c r="F112" s="140">
        <f t="shared" si="30"/>
        <v>0</v>
      </c>
      <c r="G112" s="36" t="str">
        <f t="shared" si="37"/>
        <v/>
      </c>
      <c r="H112" s="9" t="str">
        <f t="shared" si="31"/>
        <v/>
      </c>
      <c r="I112" s="9" t="str">
        <f t="shared" si="32"/>
        <v/>
      </c>
      <c r="J112" s="9">
        <f t="shared" si="33"/>
        <v>0</v>
      </c>
      <c r="K112" s="9" t="str">
        <f t="shared" si="34"/>
        <v/>
      </c>
      <c r="L112" s="9" t="str">
        <f t="shared" si="35"/>
        <v/>
      </c>
      <c r="M112" s="9" t="str">
        <f t="shared" si="36"/>
        <v/>
      </c>
      <c r="N112" s="140">
        <f>'Value-of-fuel-used-under-CT'!Q30</f>
        <v>0</v>
      </c>
    </row>
    <row r="113" spans="1:21" x14ac:dyDescent="0.25">
      <c r="A113" t="str">
        <f t="shared" si="29"/>
        <v>Kasserine</v>
      </c>
      <c r="B113" s="40"/>
      <c r="C113" s="298">
        <f t="shared" ref="C113:E120" si="38">C80</f>
        <v>0</v>
      </c>
      <c r="D113" s="298">
        <f t="shared" si="38"/>
        <v>0</v>
      </c>
      <c r="E113" s="298">
        <f t="shared" si="38"/>
        <v>0</v>
      </c>
      <c r="F113" s="140">
        <f t="shared" si="30"/>
        <v>0</v>
      </c>
      <c r="G113" s="36" t="str">
        <f t="shared" si="37"/>
        <v/>
      </c>
      <c r="H113" s="9" t="str">
        <f t="shared" si="31"/>
        <v/>
      </c>
      <c r="I113" s="9" t="str">
        <f t="shared" si="32"/>
        <v/>
      </c>
      <c r="J113" s="9">
        <f t="shared" si="33"/>
        <v>0</v>
      </c>
      <c r="K113" s="9" t="str">
        <f t="shared" si="34"/>
        <v/>
      </c>
      <c r="L113" s="9" t="str">
        <f t="shared" si="35"/>
        <v/>
      </c>
      <c r="M113" s="9" t="str">
        <f t="shared" si="36"/>
        <v/>
      </c>
      <c r="N113" s="140">
        <f>'Value-of-fuel-used-under-CT'!Q31</f>
        <v>0</v>
      </c>
    </row>
    <row r="114" spans="1:21" x14ac:dyDescent="0.25">
      <c r="A114" t="str">
        <f t="shared" si="29"/>
        <v>Sidi Bouzid</v>
      </c>
      <c r="B114" s="40"/>
      <c r="C114" s="298">
        <f t="shared" si="38"/>
        <v>0</v>
      </c>
      <c r="D114" s="298">
        <f t="shared" si="38"/>
        <v>0</v>
      </c>
      <c r="E114" s="298">
        <f t="shared" si="38"/>
        <v>0</v>
      </c>
      <c r="F114" s="140">
        <f t="shared" si="30"/>
        <v>0</v>
      </c>
      <c r="G114" s="36" t="str">
        <f t="shared" si="37"/>
        <v/>
      </c>
      <c r="H114" s="9" t="str">
        <f t="shared" si="31"/>
        <v/>
      </c>
      <c r="I114" s="9" t="str">
        <f t="shared" si="32"/>
        <v/>
      </c>
      <c r="J114" s="9">
        <f t="shared" si="33"/>
        <v>0</v>
      </c>
      <c r="K114" s="9" t="str">
        <f t="shared" si="34"/>
        <v/>
      </c>
      <c r="L114" s="9" t="str">
        <f t="shared" si="35"/>
        <v/>
      </c>
      <c r="M114" s="9" t="str">
        <f t="shared" si="36"/>
        <v/>
      </c>
      <c r="N114" s="140">
        <f>'Value-of-fuel-used-under-CT'!Q32</f>
        <v>0</v>
      </c>
    </row>
    <row r="115" spans="1:21" x14ac:dyDescent="0.25">
      <c r="A115" t="str">
        <f t="shared" si="29"/>
        <v>Gafsa</v>
      </c>
      <c r="B115" s="40"/>
      <c r="C115" s="298">
        <f t="shared" si="38"/>
        <v>0</v>
      </c>
      <c r="D115" s="298">
        <f t="shared" si="38"/>
        <v>0</v>
      </c>
      <c r="E115" s="298">
        <f t="shared" si="38"/>
        <v>0</v>
      </c>
      <c r="F115" s="140">
        <f t="shared" si="30"/>
        <v>0</v>
      </c>
      <c r="G115" s="36" t="str">
        <f t="shared" si="37"/>
        <v/>
      </c>
      <c r="H115" s="9" t="str">
        <f t="shared" si="31"/>
        <v/>
      </c>
      <c r="I115" s="9" t="str">
        <f t="shared" si="32"/>
        <v/>
      </c>
      <c r="J115" s="9">
        <f t="shared" si="33"/>
        <v>0</v>
      </c>
      <c r="K115" s="9" t="str">
        <f t="shared" si="34"/>
        <v/>
      </c>
      <c r="L115" s="9" t="str">
        <f t="shared" si="35"/>
        <v/>
      </c>
      <c r="M115" s="9" t="str">
        <f t="shared" si="36"/>
        <v/>
      </c>
      <c r="N115" s="140">
        <f>'Value-of-fuel-used-under-CT'!Q33</f>
        <v>0</v>
      </c>
    </row>
    <row r="116" spans="1:21" x14ac:dyDescent="0.25">
      <c r="A116" t="str">
        <f t="shared" si="29"/>
        <v>Gabès</v>
      </c>
      <c r="B116" s="40"/>
      <c r="C116" s="298">
        <f t="shared" si="38"/>
        <v>0</v>
      </c>
      <c r="D116" s="298">
        <f t="shared" si="38"/>
        <v>0</v>
      </c>
      <c r="E116" s="298">
        <f t="shared" si="38"/>
        <v>0</v>
      </c>
      <c r="F116" s="140">
        <f t="shared" si="30"/>
        <v>0</v>
      </c>
      <c r="G116" s="36" t="str">
        <f t="shared" si="37"/>
        <v/>
      </c>
      <c r="H116" s="9" t="str">
        <f t="shared" si="31"/>
        <v/>
      </c>
      <c r="I116" s="9" t="str">
        <f t="shared" si="32"/>
        <v/>
      </c>
      <c r="J116" s="9">
        <f t="shared" si="33"/>
        <v>0</v>
      </c>
      <c r="K116" s="9" t="str">
        <f t="shared" si="34"/>
        <v/>
      </c>
      <c r="L116" s="9" t="str">
        <f t="shared" si="35"/>
        <v/>
      </c>
      <c r="M116" s="9" t="str">
        <f t="shared" si="36"/>
        <v/>
      </c>
      <c r="N116" s="140">
        <f>'Value-of-fuel-used-under-CT'!Q34</f>
        <v>0</v>
      </c>
    </row>
    <row r="117" spans="1:21" x14ac:dyDescent="0.25">
      <c r="A117" t="str">
        <f t="shared" si="29"/>
        <v>Médenine</v>
      </c>
      <c r="B117" s="40"/>
      <c r="C117" s="298">
        <f t="shared" si="38"/>
        <v>0</v>
      </c>
      <c r="D117" s="298">
        <f t="shared" si="38"/>
        <v>0</v>
      </c>
      <c r="E117" s="298">
        <f t="shared" si="38"/>
        <v>0</v>
      </c>
      <c r="F117" s="140">
        <f t="shared" si="30"/>
        <v>0</v>
      </c>
      <c r="G117" s="36" t="str">
        <f t="shared" si="37"/>
        <v/>
      </c>
      <c r="H117" s="9" t="str">
        <f t="shared" si="31"/>
        <v/>
      </c>
      <c r="I117" s="9" t="str">
        <f t="shared" si="32"/>
        <v/>
      </c>
      <c r="J117" s="9">
        <f t="shared" si="33"/>
        <v>0</v>
      </c>
      <c r="K117" s="9" t="str">
        <f t="shared" si="34"/>
        <v/>
      </c>
      <c r="L117" s="9" t="str">
        <f t="shared" si="35"/>
        <v/>
      </c>
      <c r="M117" s="9" t="str">
        <f t="shared" si="36"/>
        <v/>
      </c>
      <c r="N117" s="140">
        <f>'Value-of-fuel-used-under-CT'!Q35</f>
        <v>0</v>
      </c>
    </row>
    <row r="118" spans="1:21" x14ac:dyDescent="0.25">
      <c r="A118" t="str">
        <f t="shared" si="29"/>
        <v>Tataouine</v>
      </c>
      <c r="B118" s="40"/>
      <c r="C118" s="298">
        <f t="shared" si="38"/>
        <v>0</v>
      </c>
      <c r="D118" s="298">
        <f t="shared" si="38"/>
        <v>0</v>
      </c>
      <c r="E118" s="298">
        <f t="shared" si="38"/>
        <v>0</v>
      </c>
      <c r="F118" s="140">
        <f t="shared" si="30"/>
        <v>0</v>
      </c>
      <c r="G118" s="36" t="str">
        <f t="shared" si="37"/>
        <v/>
      </c>
      <c r="H118" s="9" t="str">
        <f t="shared" si="31"/>
        <v/>
      </c>
      <c r="I118" s="9" t="str">
        <f t="shared" si="32"/>
        <v/>
      </c>
      <c r="J118" s="9">
        <f t="shared" si="33"/>
        <v>0</v>
      </c>
      <c r="K118" s="9" t="str">
        <f t="shared" si="34"/>
        <v/>
      </c>
      <c r="L118" s="9" t="str">
        <f t="shared" si="35"/>
        <v/>
      </c>
      <c r="M118" s="9" t="str">
        <f t="shared" si="36"/>
        <v/>
      </c>
      <c r="N118" s="140">
        <f>'Value-of-fuel-used-under-CT'!Q36</f>
        <v>0</v>
      </c>
    </row>
    <row r="119" spans="1:21" x14ac:dyDescent="0.25">
      <c r="A119" t="str">
        <f t="shared" si="29"/>
        <v>Tozeur</v>
      </c>
      <c r="B119" s="40"/>
      <c r="C119" s="298">
        <f t="shared" si="38"/>
        <v>0</v>
      </c>
      <c r="D119" s="298">
        <f t="shared" si="38"/>
        <v>0</v>
      </c>
      <c r="E119" s="298">
        <f t="shared" si="38"/>
        <v>0</v>
      </c>
      <c r="F119" s="140">
        <f t="shared" si="30"/>
        <v>0</v>
      </c>
      <c r="G119" s="36" t="str">
        <f t="shared" si="37"/>
        <v/>
      </c>
      <c r="H119" s="9" t="str">
        <f t="shared" si="31"/>
        <v/>
      </c>
      <c r="I119" s="9" t="str">
        <f t="shared" si="32"/>
        <v/>
      </c>
      <c r="J119" s="9">
        <f t="shared" si="33"/>
        <v>0</v>
      </c>
      <c r="K119" s="9" t="str">
        <f t="shared" si="34"/>
        <v/>
      </c>
      <c r="L119" s="9" t="str">
        <f t="shared" si="35"/>
        <v/>
      </c>
      <c r="M119" s="9" t="str">
        <f t="shared" si="36"/>
        <v/>
      </c>
      <c r="N119" s="140">
        <f>'Value-of-fuel-used-under-CT'!Q37</f>
        <v>0</v>
      </c>
    </row>
    <row r="120" spans="1:21" x14ac:dyDescent="0.25">
      <c r="A120" t="str">
        <f t="shared" si="29"/>
        <v>Kébili</v>
      </c>
      <c r="B120" s="40"/>
      <c r="C120" s="298">
        <f t="shared" si="38"/>
        <v>0</v>
      </c>
      <c r="D120" s="298">
        <f t="shared" si="38"/>
        <v>0</v>
      </c>
      <c r="E120" s="298">
        <f t="shared" si="38"/>
        <v>0</v>
      </c>
      <c r="F120" s="140">
        <f t="shared" si="30"/>
        <v>0</v>
      </c>
      <c r="G120" s="36" t="str">
        <f t="shared" si="37"/>
        <v/>
      </c>
      <c r="H120" s="9" t="str">
        <f t="shared" si="31"/>
        <v/>
      </c>
      <c r="I120" s="9" t="str">
        <f t="shared" si="32"/>
        <v/>
      </c>
      <c r="J120" s="9">
        <f t="shared" si="33"/>
        <v>0</v>
      </c>
      <c r="K120" s="9" t="str">
        <f t="shared" si="34"/>
        <v/>
      </c>
      <c r="L120" s="9" t="str">
        <f t="shared" si="35"/>
        <v/>
      </c>
      <c r="M120" s="9" t="str">
        <f t="shared" si="36"/>
        <v/>
      </c>
      <c r="N120" s="140">
        <f>'Value-of-fuel-used-under-CT'!Q38</f>
        <v>0</v>
      </c>
    </row>
    <row r="121" spans="1:21" x14ac:dyDescent="0.25">
      <c r="A121" s="1" t="s">
        <v>163</v>
      </c>
      <c r="B121" s="10">
        <f>SUM(B97:B120)</f>
        <v>0</v>
      </c>
      <c r="C121" s="26" t="str">
        <f>IFERROR(SUMPRODUCT($B$97:$B$120,C97:C120)/$B$121,"")</f>
        <v/>
      </c>
      <c r="D121" s="26" t="str">
        <f>IFERROR(SUMPRODUCT($B$97:$B$120,D97:D120)/$B$121,"")</f>
        <v/>
      </c>
      <c r="E121" s="26" t="str">
        <f>IFERROR(SUMPRODUCT($B$97:$B$120,E97:E120)/$B$121,"")</f>
        <v/>
      </c>
      <c r="F121" s="140">
        <f>SUM(C121:E121)</f>
        <v>0</v>
      </c>
      <c r="G121" s="36" t="str">
        <f>IFERROR(C121*$B121/(C58*$B58),"")</f>
        <v/>
      </c>
      <c r="H121" s="9" t="str">
        <f>IFERROR(D121*$B121/(D58*$B58),"")</f>
        <v/>
      </c>
      <c r="I121" s="9" t="str">
        <f>IFERROR(E121*$B121/(E58*$B58),"")</f>
        <v/>
      </c>
      <c r="J121" s="9" t="str">
        <f>IFERROR(SUMPRODUCT($B$97:$B$120,J97:J120)/$B$121,"")</f>
        <v/>
      </c>
      <c r="K121" s="9">
        <f>SUM(K97:K120)</f>
        <v>0</v>
      </c>
      <c r="L121" s="9">
        <f>SUM(L97:L120)</f>
        <v>0</v>
      </c>
      <c r="M121" s="9">
        <f>SUM(M97:M120)</f>
        <v>0</v>
      </c>
      <c r="N121" s="69">
        <f>SUM(N97:N120)</f>
        <v>0</v>
      </c>
    </row>
    <row r="123" spans="1:21" x14ac:dyDescent="0.25">
      <c r="A123" s="1" t="s">
        <v>332</v>
      </c>
      <c r="D123" s="2"/>
      <c r="E123" s="2"/>
      <c r="H123" s="20" t="s">
        <v>333</v>
      </c>
    </row>
    <row r="124" spans="1:21" ht="18" x14ac:dyDescent="0.35">
      <c r="A124" s="1"/>
      <c r="B124" s="1" t="s">
        <v>334</v>
      </c>
      <c r="D124" s="124">
        <f>44*F124/12</f>
        <v>187</v>
      </c>
      <c r="E124" s="73" t="s">
        <v>335</v>
      </c>
      <c r="F124" s="5">
        <v>51</v>
      </c>
      <c r="G124" t="s">
        <v>96</v>
      </c>
      <c r="H124" s="20" t="s">
        <v>336</v>
      </c>
    </row>
    <row r="125" spans="1:21" x14ac:dyDescent="0.25">
      <c r="A125" s="1"/>
      <c r="B125" s="1" t="s">
        <v>337</v>
      </c>
      <c r="D125" s="703">
        <v>5.7999999999999996E-3</v>
      </c>
      <c r="E125" s="1"/>
      <c r="F125" s="74" t="s">
        <v>338</v>
      </c>
      <c r="H125" s="20" t="s">
        <v>339</v>
      </c>
    </row>
    <row r="126" spans="1:21" x14ac:dyDescent="0.25">
      <c r="A126" s="1"/>
      <c r="B126" s="1" t="s">
        <v>340</v>
      </c>
      <c r="C126" s="1"/>
      <c r="D126" s="5">
        <v>10</v>
      </c>
      <c r="E126" s="1"/>
      <c r="F126" s="63" t="s">
        <v>341</v>
      </c>
      <c r="G126" s="69">
        <f>10000*(D126/100)*D128</f>
        <v>1400</v>
      </c>
      <c r="H126" s="77"/>
      <c r="R126" s="29" t="s">
        <v>342</v>
      </c>
      <c r="S126" s="29"/>
      <c r="T126" s="343">
        <v>0.10482673846153846</v>
      </c>
      <c r="U126" s="29" t="s">
        <v>343</v>
      </c>
    </row>
    <row r="127" spans="1:21" x14ac:dyDescent="0.25">
      <c r="A127" s="1"/>
      <c r="B127" s="1" t="s">
        <v>344</v>
      </c>
      <c r="C127" s="1"/>
      <c r="D127" s="123" t="e">
        <f>G127/G126</f>
        <v>#DIV/0!</v>
      </c>
      <c r="E127" s="1"/>
      <c r="F127" s="63" t="s">
        <v>1161</v>
      </c>
      <c r="G127" s="95" t="e">
        <f>'Soil-errosion2'!AM28</f>
        <v>#DIV/0!</v>
      </c>
      <c r="H127" t="s">
        <v>345</v>
      </c>
      <c r="I127" t="s">
        <v>346</v>
      </c>
      <c r="R127" s="29" t="s">
        <v>347</v>
      </c>
      <c r="S127" s="29"/>
      <c r="T127" s="344">
        <v>719.77</v>
      </c>
      <c r="U127" s="29" t="s">
        <v>348</v>
      </c>
    </row>
    <row r="128" spans="1:21" ht="17.25" x14ac:dyDescent="0.25">
      <c r="A128" s="1"/>
      <c r="B128" s="1" t="s">
        <v>349</v>
      </c>
      <c r="C128" s="1"/>
      <c r="D128" s="5">
        <v>1.4</v>
      </c>
      <c r="E128" s="1"/>
      <c r="F128" t="s">
        <v>350</v>
      </c>
      <c r="G128" s="140" t="e">
        <f>D126*G127/G126</f>
        <v>#DIV/0!</v>
      </c>
      <c r="I128" s="20" t="s">
        <v>351</v>
      </c>
    </row>
    <row r="129" spans="1:39" x14ac:dyDescent="0.25">
      <c r="A129" s="838" t="s">
        <v>101</v>
      </c>
      <c r="B129" s="814" t="s">
        <v>352</v>
      </c>
      <c r="C129" s="814"/>
      <c r="D129" s="814"/>
      <c r="E129" s="814"/>
      <c r="F129" s="814"/>
      <c r="H129" s="76"/>
    </row>
    <row r="130" spans="1:39" ht="57.95" customHeight="1" x14ac:dyDescent="0.25">
      <c r="A130" s="838"/>
      <c r="B130" s="11" t="s">
        <v>353</v>
      </c>
      <c r="C130" s="839" t="s">
        <v>354</v>
      </c>
      <c r="D130" s="839"/>
      <c r="E130" s="839"/>
      <c r="F130" s="839" t="s">
        <v>355</v>
      </c>
      <c r="G130" s="839"/>
      <c r="H130" s="839"/>
      <c r="I130" s="839"/>
      <c r="J130" s="839" t="s">
        <v>356</v>
      </c>
      <c r="K130" s="839"/>
      <c r="L130" s="839"/>
      <c r="M130" s="839"/>
      <c r="N130" s="839" t="s">
        <v>357</v>
      </c>
      <c r="O130" s="839"/>
      <c r="P130" s="839"/>
      <c r="Q130" s="839"/>
      <c r="R130" s="839" t="s">
        <v>358</v>
      </c>
      <c r="S130" s="839" t="s">
        <v>359</v>
      </c>
      <c r="T130" s="839" t="s">
        <v>360</v>
      </c>
      <c r="U130" s="839" t="s">
        <v>361</v>
      </c>
      <c r="V130" s="839" t="s">
        <v>362</v>
      </c>
      <c r="W130" s="839" t="s">
        <v>363</v>
      </c>
      <c r="X130" s="11" t="s">
        <v>364</v>
      </c>
      <c r="Y130" s="11" t="s">
        <v>365</v>
      </c>
      <c r="Z130" s="839" t="s">
        <v>366</v>
      </c>
      <c r="AA130" s="11" t="s">
        <v>367</v>
      </c>
      <c r="AB130" s="840"/>
      <c r="AC130" s="840"/>
      <c r="AD130" s="840"/>
      <c r="AE130" s="840"/>
      <c r="AF130" s="840"/>
      <c r="AG130" s="840"/>
      <c r="AH130" s="589"/>
      <c r="AI130" s="589"/>
      <c r="AJ130" s="589"/>
      <c r="AK130" s="589"/>
      <c r="AL130" s="589"/>
      <c r="AM130" s="589"/>
    </row>
    <row r="131" spans="1:39" ht="15.75" x14ac:dyDescent="0.25">
      <c r="A131" s="17"/>
      <c r="B131" s="11"/>
      <c r="C131" s="620" t="s">
        <v>234</v>
      </c>
      <c r="D131" s="620" t="s">
        <v>368</v>
      </c>
      <c r="E131" s="620" t="s">
        <v>238</v>
      </c>
      <c r="F131" s="620" t="s">
        <v>234</v>
      </c>
      <c r="G131" s="620" t="s">
        <v>368</v>
      </c>
      <c r="H131" s="620" t="s">
        <v>238</v>
      </c>
      <c r="I131" s="620" t="s">
        <v>120</v>
      </c>
      <c r="J131" s="620" t="s">
        <v>234</v>
      </c>
      <c r="K131" s="620" t="s">
        <v>368</v>
      </c>
      <c r="L131" s="620" t="s">
        <v>238</v>
      </c>
      <c r="M131" s="620" t="s">
        <v>120</v>
      </c>
      <c r="N131" s="620" t="s">
        <v>234</v>
      </c>
      <c r="O131" s="620" t="s">
        <v>368</v>
      </c>
      <c r="P131" s="620" t="s">
        <v>238</v>
      </c>
      <c r="Q131" s="620" t="s">
        <v>120</v>
      </c>
      <c r="R131" s="839"/>
      <c r="S131" s="839"/>
      <c r="T131" s="839"/>
      <c r="U131" s="839"/>
      <c r="V131" s="839"/>
      <c r="W131" s="839"/>
      <c r="X131" s="11"/>
      <c r="Y131" s="11"/>
      <c r="Z131" s="839"/>
      <c r="AD131" s="531"/>
    </row>
    <row r="132" spans="1:39" x14ac:dyDescent="0.25">
      <c r="A132" t="str">
        <f>A97</f>
        <v>Tunis</v>
      </c>
      <c r="B132" s="4"/>
      <c r="C132" s="64"/>
      <c r="D132" s="64"/>
      <c r="E132" s="64"/>
      <c r="F132" s="185">
        <f>'Percent-Soil-Carbon-Content'!C4*'Soil-errosion2'!C4</f>
        <v>0</v>
      </c>
      <c r="G132" s="185">
        <f>'Percent-Soil-Carbon-Content'!N4*'Soil-errosion2'!O4</f>
        <v>0</v>
      </c>
      <c r="H132" s="185">
        <f>'Percent-Soil-Carbon-Content'!Y4*'Soil-errosion2'!AA4</f>
        <v>0</v>
      </c>
      <c r="I132" s="95">
        <f>SUMPRODUCT(F132:H132,$C$34:$E$34)</f>
        <v>0</v>
      </c>
      <c r="J132" s="185">
        <f>F132</f>
        <v>0</v>
      </c>
      <c r="K132" s="185">
        <f t="shared" ref="K132:L147" si="39">G132</f>
        <v>0</v>
      </c>
      <c r="L132" s="185">
        <f t="shared" si="39"/>
        <v>0</v>
      </c>
      <c r="M132" s="185">
        <f>SUMPRODUCT(J132:L132,C64:E64)</f>
        <v>0</v>
      </c>
      <c r="N132" s="570">
        <f>J132*C34*$B34</f>
        <v>0</v>
      </c>
      <c r="O132" s="570">
        <f>K132*D34*$B34</f>
        <v>0</v>
      </c>
      <c r="P132" s="570">
        <f>L132*E34*$B34</f>
        <v>0</v>
      </c>
      <c r="Q132" s="571">
        <f>SUM(N132:P132)</f>
        <v>0</v>
      </c>
      <c r="R132" s="496">
        <f>'Value-of-fuel-used-under-CT'!C4</f>
        <v>0</v>
      </c>
      <c r="S132" s="350">
        <f>1000*R132*$T$127/1000000</f>
        <v>0</v>
      </c>
      <c r="T132" s="24">
        <f>Q132+S132</f>
        <v>0</v>
      </c>
      <c r="U132" s="24">
        <f>S132*$D$124</f>
        <v>0</v>
      </c>
      <c r="V132" s="24">
        <f t="shared" ref="V132:V155" si="40">Q132*$D$124</f>
        <v>0</v>
      </c>
      <c r="W132" s="38">
        <f>T132*$D$124</f>
        <v>0</v>
      </c>
      <c r="X132" s="9">
        <v>0</v>
      </c>
      <c r="Y132" s="9">
        <v>0</v>
      </c>
      <c r="Z132" s="38">
        <f t="shared" ref="Z132:Z156" si="41">B132+W132+X132+Y132</f>
        <v>0</v>
      </c>
    </row>
    <row r="133" spans="1:39" x14ac:dyDescent="0.25">
      <c r="A133" t="str">
        <f t="shared" ref="A133:A155" si="42">A98</f>
        <v>Ariana</v>
      </c>
      <c r="B133" s="4"/>
      <c r="C133" s="64"/>
      <c r="D133" s="64"/>
      <c r="E133" s="64"/>
      <c r="F133" s="185">
        <f>'Percent-Soil-Carbon-Content'!C5*'Soil-errosion2'!C5</f>
        <v>0</v>
      </c>
      <c r="G133" s="185">
        <f>'Percent-Soil-Carbon-Content'!N5*'Soil-errosion2'!O5</f>
        <v>0</v>
      </c>
      <c r="H133" s="185">
        <f>'Percent-Soil-Carbon-Content'!Y5*'Soil-errosion2'!AA5</f>
        <v>0</v>
      </c>
      <c r="I133" s="95">
        <f t="shared" ref="I133:I155" si="43">SUMPRODUCT(F133:H133,$C$34:$E$34)</f>
        <v>0</v>
      </c>
      <c r="J133" s="185">
        <f t="shared" ref="J133:L155" si="44">F133</f>
        <v>0</v>
      </c>
      <c r="K133" s="185">
        <f t="shared" si="39"/>
        <v>0</v>
      </c>
      <c r="L133" s="185">
        <f t="shared" si="39"/>
        <v>0</v>
      </c>
      <c r="M133" s="185">
        <f t="shared" ref="M133:M155" si="45">SUMPRODUCT(J133:L133,C65:E65)</f>
        <v>0</v>
      </c>
      <c r="N133" s="570">
        <f t="shared" ref="N133:P148" si="46">J133*C35*$B35</f>
        <v>0</v>
      </c>
      <c r="O133" s="570">
        <f t="shared" si="46"/>
        <v>0</v>
      </c>
      <c r="P133" s="570">
        <f t="shared" si="46"/>
        <v>0</v>
      </c>
      <c r="Q133" s="571">
        <f t="shared" ref="Q133:Q155" si="47">SUM(N133:P133)</f>
        <v>0</v>
      </c>
      <c r="R133" s="496">
        <f>'Value-of-fuel-used-under-CT'!C5</f>
        <v>0</v>
      </c>
      <c r="S133" s="350">
        <f t="shared" ref="S133:S155" si="48">1000*R133*$T$127/1000000</f>
        <v>0</v>
      </c>
      <c r="T133" s="24">
        <f t="shared" ref="T133:T155" si="49">Q133+S133</f>
        <v>0</v>
      </c>
      <c r="U133" s="24">
        <f t="shared" ref="U133:U155" si="50">S133*$D$124</f>
        <v>0</v>
      </c>
      <c r="V133" s="24">
        <f t="shared" si="40"/>
        <v>0</v>
      </c>
      <c r="W133" s="38">
        <f t="shared" ref="W133:W155" si="51">T133*$D$124</f>
        <v>0</v>
      </c>
      <c r="X133" s="9">
        <v>0</v>
      </c>
      <c r="Y133" s="9">
        <v>0</v>
      </c>
      <c r="Z133" s="38">
        <f t="shared" si="41"/>
        <v>0</v>
      </c>
    </row>
    <row r="134" spans="1:39" x14ac:dyDescent="0.25">
      <c r="A134" t="str">
        <f t="shared" si="42"/>
        <v>La Manouba</v>
      </c>
      <c r="B134" s="4"/>
      <c r="C134" s="64"/>
      <c r="D134" s="64"/>
      <c r="E134" s="64"/>
      <c r="F134" s="185">
        <f>'Percent-Soil-Carbon-Content'!C6*'Soil-errosion2'!C6</f>
        <v>0</v>
      </c>
      <c r="G134" s="185">
        <f>'Percent-Soil-Carbon-Content'!N6*'Soil-errosion2'!O6</f>
        <v>0</v>
      </c>
      <c r="H134" s="185">
        <f>'Percent-Soil-Carbon-Content'!Y6*'Soil-errosion2'!AA6</f>
        <v>0</v>
      </c>
      <c r="I134" s="95">
        <f t="shared" si="43"/>
        <v>0</v>
      </c>
      <c r="J134" s="185">
        <f t="shared" si="44"/>
        <v>0</v>
      </c>
      <c r="K134" s="185">
        <f t="shared" si="39"/>
        <v>0</v>
      </c>
      <c r="L134" s="185">
        <f t="shared" si="39"/>
        <v>0</v>
      </c>
      <c r="M134" s="185">
        <f t="shared" si="45"/>
        <v>0</v>
      </c>
      <c r="N134" s="570">
        <f t="shared" si="46"/>
        <v>0</v>
      </c>
      <c r="O134" s="570">
        <f t="shared" si="46"/>
        <v>0</v>
      </c>
      <c r="P134" s="570">
        <f t="shared" si="46"/>
        <v>0</v>
      </c>
      <c r="Q134" s="571">
        <f t="shared" si="47"/>
        <v>0</v>
      </c>
      <c r="R134" s="496">
        <f>'Value-of-fuel-used-under-CT'!C6</f>
        <v>0</v>
      </c>
      <c r="S134" s="350">
        <f t="shared" si="48"/>
        <v>0</v>
      </c>
      <c r="T134" s="24">
        <f t="shared" si="49"/>
        <v>0</v>
      </c>
      <c r="U134" s="24">
        <f t="shared" si="50"/>
        <v>0</v>
      </c>
      <c r="V134" s="24">
        <f t="shared" si="40"/>
        <v>0</v>
      </c>
      <c r="W134" s="38">
        <f t="shared" si="51"/>
        <v>0</v>
      </c>
      <c r="X134" s="9">
        <v>0</v>
      </c>
      <c r="Y134" s="9">
        <v>0</v>
      </c>
      <c r="Z134" s="38">
        <f t="shared" si="41"/>
        <v>0</v>
      </c>
    </row>
    <row r="135" spans="1:39" x14ac:dyDescent="0.25">
      <c r="A135" t="str">
        <f t="shared" si="42"/>
        <v>Ben Arous</v>
      </c>
      <c r="B135" s="4"/>
      <c r="C135" s="64"/>
      <c r="D135" s="64"/>
      <c r="E135" s="64"/>
      <c r="F135" s="185">
        <f>'Percent-Soil-Carbon-Content'!C7*'Soil-errosion2'!C7</f>
        <v>0</v>
      </c>
      <c r="G135" s="185">
        <f>'Percent-Soil-Carbon-Content'!N7*'Soil-errosion2'!O7</f>
        <v>0</v>
      </c>
      <c r="H135" s="185">
        <f>'Percent-Soil-Carbon-Content'!Y7*'Soil-errosion2'!AA7</f>
        <v>0</v>
      </c>
      <c r="I135" s="95">
        <f t="shared" si="43"/>
        <v>0</v>
      </c>
      <c r="J135" s="185">
        <f t="shared" si="44"/>
        <v>0</v>
      </c>
      <c r="K135" s="185">
        <f t="shared" si="39"/>
        <v>0</v>
      </c>
      <c r="L135" s="185">
        <f t="shared" si="39"/>
        <v>0</v>
      </c>
      <c r="M135" s="185">
        <f t="shared" si="45"/>
        <v>0</v>
      </c>
      <c r="N135" s="570">
        <f t="shared" si="46"/>
        <v>0</v>
      </c>
      <c r="O135" s="570">
        <f t="shared" si="46"/>
        <v>0</v>
      </c>
      <c r="P135" s="570">
        <f t="shared" si="46"/>
        <v>0</v>
      </c>
      <c r="Q135" s="571">
        <f t="shared" si="47"/>
        <v>0</v>
      </c>
      <c r="R135" s="496">
        <f>'Value-of-fuel-used-under-CT'!C7</f>
        <v>0</v>
      </c>
      <c r="S135" s="350">
        <f t="shared" si="48"/>
        <v>0</v>
      </c>
      <c r="T135" s="24">
        <f t="shared" si="49"/>
        <v>0</v>
      </c>
      <c r="U135" s="24">
        <f t="shared" si="50"/>
        <v>0</v>
      </c>
      <c r="V135" s="24">
        <f t="shared" si="40"/>
        <v>0</v>
      </c>
      <c r="W135" s="38">
        <f t="shared" si="51"/>
        <v>0</v>
      </c>
      <c r="X135" s="9">
        <v>0</v>
      </c>
      <c r="Y135" s="9">
        <v>0</v>
      </c>
      <c r="Z135" s="38">
        <f t="shared" si="41"/>
        <v>0</v>
      </c>
    </row>
    <row r="136" spans="1:39" x14ac:dyDescent="0.25">
      <c r="A136" t="str">
        <f t="shared" si="42"/>
        <v>Nabeul</v>
      </c>
      <c r="B136" s="4"/>
      <c r="C136" s="64"/>
      <c r="D136" s="64"/>
      <c r="E136" s="64"/>
      <c r="F136" s="185">
        <f>'Percent-Soil-Carbon-Content'!C8*'Soil-errosion2'!C8</f>
        <v>0</v>
      </c>
      <c r="G136" s="185">
        <f>'Percent-Soil-Carbon-Content'!N8*'Soil-errosion2'!O8</f>
        <v>0</v>
      </c>
      <c r="H136" s="185">
        <f>'Percent-Soil-Carbon-Content'!Y8*'Soil-errosion2'!AA8</f>
        <v>0</v>
      </c>
      <c r="I136" s="95">
        <f t="shared" si="43"/>
        <v>0</v>
      </c>
      <c r="J136" s="185">
        <f t="shared" si="44"/>
        <v>0</v>
      </c>
      <c r="K136" s="185">
        <f t="shared" si="39"/>
        <v>0</v>
      </c>
      <c r="L136" s="185">
        <f t="shared" si="39"/>
        <v>0</v>
      </c>
      <c r="M136" s="185">
        <f t="shared" si="45"/>
        <v>0</v>
      </c>
      <c r="N136" s="570">
        <f t="shared" si="46"/>
        <v>0</v>
      </c>
      <c r="O136" s="570">
        <f t="shared" si="46"/>
        <v>0</v>
      </c>
      <c r="P136" s="570">
        <f t="shared" si="46"/>
        <v>0</v>
      </c>
      <c r="Q136" s="571">
        <f t="shared" si="47"/>
        <v>0</v>
      </c>
      <c r="R136" s="496">
        <f>'Value-of-fuel-used-under-CT'!C8</f>
        <v>0</v>
      </c>
      <c r="S136" s="350">
        <f t="shared" si="48"/>
        <v>0</v>
      </c>
      <c r="T136" s="24">
        <f t="shared" si="49"/>
        <v>0</v>
      </c>
      <c r="U136" s="24">
        <f t="shared" si="50"/>
        <v>0</v>
      </c>
      <c r="V136" s="24">
        <f t="shared" si="40"/>
        <v>0</v>
      </c>
      <c r="W136" s="38">
        <f t="shared" si="51"/>
        <v>0</v>
      </c>
      <c r="X136" s="9">
        <v>0</v>
      </c>
      <c r="Y136" s="9">
        <v>0</v>
      </c>
      <c r="Z136" s="38">
        <f t="shared" si="41"/>
        <v>0</v>
      </c>
    </row>
    <row r="137" spans="1:39" x14ac:dyDescent="0.25">
      <c r="A137" t="str">
        <f t="shared" si="42"/>
        <v>Bizerte</v>
      </c>
      <c r="B137" s="4"/>
      <c r="C137" s="64"/>
      <c r="D137" s="64"/>
      <c r="E137" s="64"/>
      <c r="F137" s="185">
        <f>'Percent-Soil-Carbon-Content'!C9*'Soil-errosion2'!C9</f>
        <v>0</v>
      </c>
      <c r="G137" s="185">
        <f>'Percent-Soil-Carbon-Content'!N9*'Soil-errosion2'!O9</f>
        <v>0</v>
      </c>
      <c r="H137" s="185">
        <f>'Percent-Soil-Carbon-Content'!Y9*'Soil-errosion2'!AA9</f>
        <v>0</v>
      </c>
      <c r="I137" s="95">
        <f t="shared" si="43"/>
        <v>0</v>
      </c>
      <c r="J137" s="185">
        <f t="shared" si="44"/>
        <v>0</v>
      </c>
      <c r="K137" s="185">
        <f t="shared" si="39"/>
        <v>0</v>
      </c>
      <c r="L137" s="185">
        <f t="shared" si="39"/>
        <v>0</v>
      </c>
      <c r="M137" s="185">
        <f t="shared" si="45"/>
        <v>0</v>
      </c>
      <c r="N137" s="570">
        <f t="shared" si="46"/>
        <v>0</v>
      </c>
      <c r="O137" s="570">
        <f t="shared" si="46"/>
        <v>0</v>
      </c>
      <c r="P137" s="570">
        <f t="shared" si="46"/>
        <v>0</v>
      </c>
      <c r="Q137" s="571">
        <f t="shared" si="47"/>
        <v>0</v>
      </c>
      <c r="R137" s="496">
        <f>'Value-of-fuel-used-under-CT'!C9</f>
        <v>0</v>
      </c>
      <c r="S137" s="350">
        <f t="shared" si="48"/>
        <v>0</v>
      </c>
      <c r="T137" s="24">
        <f t="shared" si="49"/>
        <v>0</v>
      </c>
      <c r="U137" s="24">
        <f t="shared" si="50"/>
        <v>0</v>
      </c>
      <c r="V137" s="24">
        <f t="shared" si="40"/>
        <v>0</v>
      </c>
      <c r="W137" s="38">
        <f t="shared" si="51"/>
        <v>0</v>
      </c>
      <c r="X137" s="9">
        <v>0</v>
      </c>
      <c r="Y137" s="9">
        <v>0</v>
      </c>
      <c r="Z137" s="38">
        <f t="shared" si="41"/>
        <v>0</v>
      </c>
    </row>
    <row r="138" spans="1:39" x14ac:dyDescent="0.25">
      <c r="A138" t="str">
        <f t="shared" si="42"/>
        <v>Zaghouan</v>
      </c>
      <c r="B138" s="4"/>
      <c r="C138" s="64"/>
      <c r="D138" s="64"/>
      <c r="E138" s="64"/>
      <c r="F138" s="185">
        <f>'Percent-Soil-Carbon-Content'!C10*'Soil-errosion2'!C10</f>
        <v>0</v>
      </c>
      <c r="G138" s="185">
        <f>'Percent-Soil-Carbon-Content'!N10*'Soil-errosion2'!O10</f>
        <v>0</v>
      </c>
      <c r="H138" s="185">
        <f>'Percent-Soil-Carbon-Content'!Y10*'Soil-errosion2'!AA10</f>
        <v>0</v>
      </c>
      <c r="I138" s="95">
        <f t="shared" si="43"/>
        <v>0</v>
      </c>
      <c r="J138" s="185">
        <f t="shared" si="44"/>
        <v>0</v>
      </c>
      <c r="K138" s="185">
        <f t="shared" si="39"/>
        <v>0</v>
      </c>
      <c r="L138" s="185">
        <f t="shared" si="39"/>
        <v>0</v>
      </c>
      <c r="M138" s="185">
        <f t="shared" si="45"/>
        <v>0</v>
      </c>
      <c r="N138" s="570">
        <f t="shared" si="46"/>
        <v>0</v>
      </c>
      <c r="O138" s="570">
        <f t="shared" si="46"/>
        <v>0</v>
      </c>
      <c r="P138" s="570">
        <f t="shared" si="46"/>
        <v>0</v>
      </c>
      <c r="Q138" s="571">
        <f t="shared" si="47"/>
        <v>0</v>
      </c>
      <c r="R138" s="496">
        <f>'Value-of-fuel-used-under-CT'!C10</f>
        <v>0</v>
      </c>
      <c r="S138" s="350">
        <f t="shared" si="48"/>
        <v>0</v>
      </c>
      <c r="T138" s="24">
        <f t="shared" si="49"/>
        <v>0</v>
      </c>
      <c r="U138" s="24">
        <f t="shared" si="50"/>
        <v>0</v>
      </c>
      <c r="V138" s="24">
        <f t="shared" si="40"/>
        <v>0</v>
      </c>
      <c r="W138" s="38">
        <f t="shared" si="51"/>
        <v>0</v>
      </c>
      <c r="X138" s="9">
        <v>0</v>
      </c>
      <c r="Y138" s="9">
        <v>0</v>
      </c>
      <c r="Z138" s="38">
        <f t="shared" si="41"/>
        <v>0</v>
      </c>
    </row>
    <row r="139" spans="1:39" x14ac:dyDescent="0.25">
      <c r="A139" t="str">
        <f t="shared" si="42"/>
        <v>Béja</v>
      </c>
      <c r="B139" s="4"/>
      <c r="C139" s="64"/>
      <c r="D139" s="64"/>
      <c r="E139" s="64"/>
      <c r="F139" s="185">
        <f>'Percent-Soil-Carbon-Content'!C11*'Soil-errosion2'!C11</f>
        <v>0</v>
      </c>
      <c r="G139" s="185">
        <f>'Percent-Soil-Carbon-Content'!N11*'Soil-errosion2'!O11</f>
        <v>0</v>
      </c>
      <c r="H139" s="185">
        <f>'Percent-Soil-Carbon-Content'!Y11*'Soil-errosion2'!AA11</f>
        <v>0</v>
      </c>
      <c r="I139" s="95">
        <f t="shared" si="43"/>
        <v>0</v>
      </c>
      <c r="J139" s="185">
        <f t="shared" si="44"/>
        <v>0</v>
      </c>
      <c r="K139" s="185">
        <f t="shared" si="39"/>
        <v>0</v>
      </c>
      <c r="L139" s="185">
        <f t="shared" si="39"/>
        <v>0</v>
      </c>
      <c r="M139" s="185">
        <f t="shared" si="45"/>
        <v>0</v>
      </c>
      <c r="N139" s="570">
        <f t="shared" si="46"/>
        <v>0</v>
      </c>
      <c r="O139" s="570">
        <f t="shared" si="46"/>
        <v>0</v>
      </c>
      <c r="P139" s="570">
        <f t="shared" si="46"/>
        <v>0</v>
      </c>
      <c r="Q139" s="571">
        <f t="shared" si="47"/>
        <v>0</v>
      </c>
      <c r="R139" s="496">
        <f>'Value-of-fuel-used-under-CT'!C11</f>
        <v>0</v>
      </c>
      <c r="S139" s="350">
        <f t="shared" si="48"/>
        <v>0</v>
      </c>
      <c r="T139" s="24">
        <f t="shared" si="49"/>
        <v>0</v>
      </c>
      <c r="U139" s="24">
        <f t="shared" si="50"/>
        <v>0</v>
      </c>
      <c r="V139" s="24">
        <f t="shared" si="40"/>
        <v>0</v>
      </c>
      <c r="W139" s="38">
        <f t="shared" si="51"/>
        <v>0</v>
      </c>
      <c r="X139" s="9">
        <v>0</v>
      </c>
      <c r="Y139" s="9">
        <v>0</v>
      </c>
      <c r="Z139" s="38">
        <f t="shared" si="41"/>
        <v>0</v>
      </c>
    </row>
    <row r="140" spans="1:39" x14ac:dyDescent="0.25">
      <c r="A140" t="str">
        <f t="shared" si="42"/>
        <v>Jendouba</v>
      </c>
      <c r="B140" s="4"/>
      <c r="C140" s="64"/>
      <c r="D140" s="64"/>
      <c r="E140" s="64"/>
      <c r="F140" s="185">
        <f>'Percent-Soil-Carbon-Content'!C12*'Soil-errosion2'!C12</f>
        <v>0</v>
      </c>
      <c r="G140" s="185">
        <f>'Percent-Soil-Carbon-Content'!N12*'Soil-errosion2'!O12</f>
        <v>0</v>
      </c>
      <c r="H140" s="185">
        <f>'Percent-Soil-Carbon-Content'!Y12*'Soil-errosion2'!AA12</f>
        <v>0</v>
      </c>
      <c r="I140" s="95">
        <f t="shared" si="43"/>
        <v>0</v>
      </c>
      <c r="J140" s="185">
        <f t="shared" si="44"/>
        <v>0</v>
      </c>
      <c r="K140" s="185">
        <f t="shared" si="39"/>
        <v>0</v>
      </c>
      <c r="L140" s="185">
        <f t="shared" si="39"/>
        <v>0</v>
      </c>
      <c r="M140" s="185">
        <f t="shared" si="45"/>
        <v>0</v>
      </c>
      <c r="N140" s="570">
        <f t="shared" si="46"/>
        <v>0</v>
      </c>
      <c r="O140" s="570">
        <f t="shared" si="46"/>
        <v>0</v>
      </c>
      <c r="P140" s="570">
        <f t="shared" si="46"/>
        <v>0</v>
      </c>
      <c r="Q140" s="571">
        <f t="shared" si="47"/>
        <v>0</v>
      </c>
      <c r="R140" s="496">
        <f>'Value-of-fuel-used-under-CT'!C12</f>
        <v>0</v>
      </c>
      <c r="S140" s="350">
        <f t="shared" si="48"/>
        <v>0</v>
      </c>
      <c r="T140" s="24">
        <f t="shared" si="49"/>
        <v>0</v>
      </c>
      <c r="U140" s="24">
        <f t="shared" si="50"/>
        <v>0</v>
      </c>
      <c r="V140" s="24">
        <f t="shared" si="40"/>
        <v>0</v>
      </c>
      <c r="W140" s="38">
        <f t="shared" si="51"/>
        <v>0</v>
      </c>
      <c r="X140" s="9">
        <v>0</v>
      </c>
      <c r="Y140" s="9">
        <v>0</v>
      </c>
      <c r="Z140" s="38">
        <f t="shared" si="41"/>
        <v>0</v>
      </c>
    </row>
    <row r="141" spans="1:39" x14ac:dyDescent="0.25">
      <c r="A141" t="str">
        <f t="shared" si="42"/>
        <v>Le Kef</v>
      </c>
      <c r="B141" s="4"/>
      <c r="C141" s="64"/>
      <c r="D141" s="64"/>
      <c r="E141" s="64"/>
      <c r="F141" s="185">
        <f>'Percent-Soil-Carbon-Content'!C13*'Soil-errosion2'!C13</f>
        <v>0</v>
      </c>
      <c r="G141" s="185">
        <f>'Percent-Soil-Carbon-Content'!N13*'Soil-errosion2'!O13</f>
        <v>0</v>
      </c>
      <c r="H141" s="185">
        <f>'Percent-Soil-Carbon-Content'!Y13*'Soil-errosion2'!AA13</f>
        <v>0</v>
      </c>
      <c r="I141" s="95">
        <f t="shared" si="43"/>
        <v>0</v>
      </c>
      <c r="J141" s="185">
        <f t="shared" si="44"/>
        <v>0</v>
      </c>
      <c r="K141" s="185">
        <f t="shared" si="39"/>
        <v>0</v>
      </c>
      <c r="L141" s="185">
        <f t="shared" si="39"/>
        <v>0</v>
      </c>
      <c r="M141" s="185">
        <f t="shared" si="45"/>
        <v>0</v>
      </c>
      <c r="N141" s="570">
        <f t="shared" si="46"/>
        <v>0</v>
      </c>
      <c r="O141" s="570">
        <f t="shared" si="46"/>
        <v>0</v>
      </c>
      <c r="P141" s="570">
        <f t="shared" si="46"/>
        <v>0</v>
      </c>
      <c r="Q141" s="571">
        <f t="shared" si="47"/>
        <v>0</v>
      </c>
      <c r="R141" s="496">
        <f>'Value-of-fuel-used-under-CT'!C13</f>
        <v>0</v>
      </c>
      <c r="S141" s="350">
        <f t="shared" si="48"/>
        <v>0</v>
      </c>
      <c r="T141" s="24">
        <f t="shared" si="49"/>
        <v>0</v>
      </c>
      <c r="U141" s="24">
        <f t="shared" si="50"/>
        <v>0</v>
      </c>
      <c r="V141" s="24">
        <f t="shared" si="40"/>
        <v>0</v>
      </c>
      <c r="W141" s="38">
        <f t="shared" si="51"/>
        <v>0</v>
      </c>
      <c r="X141" s="9">
        <v>0</v>
      </c>
      <c r="Y141" s="9">
        <v>0</v>
      </c>
      <c r="Z141" s="38">
        <f t="shared" si="41"/>
        <v>0</v>
      </c>
    </row>
    <row r="142" spans="1:39" x14ac:dyDescent="0.25">
      <c r="A142" t="str">
        <f t="shared" si="42"/>
        <v>Siliana</v>
      </c>
      <c r="B142" s="4"/>
      <c r="C142" s="64"/>
      <c r="D142" s="64"/>
      <c r="E142" s="64"/>
      <c r="F142" s="185">
        <f>'Percent-Soil-Carbon-Content'!C14*'Soil-errosion2'!C14</f>
        <v>0</v>
      </c>
      <c r="G142" s="185">
        <f>'Percent-Soil-Carbon-Content'!N14*'Soil-errosion2'!O14</f>
        <v>0</v>
      </c>
      <c r="H142" s="185">
        <f>'Percent-Soil-Carbon-Content'!Y14*'Soil-errosion2'!AA14</f>
        <v>0</v>
      </c>
      <c r="I142" s="95">
        <f t="shared" si="43"/>
        <v>0</v>
      </c>
      <c r="J142" s="185">
        <f t="shared" si="44"/>
        <v>0</v>
      </c>
      <c r="K142" s="185">
        <f t="shared" si="39"/>
        <v>0</v>
      </c>
      <c r="L142" s="185">
        <f t="shared" si="39"/>
        <v>0</v>
      </c>
      <c r="M142" s="185">
        <f t="shared" si="45"/>
        <v>0</v>
      </c>
      <c r="N142" s="570">
        <f t="shared" si="46"/>
        <v>0</v>
      </c>
      <c r="O142" s="570">
        <f t="shared" si="46"/>
        <v>0</v>
      </c>
      <c r="P142" s="570">
        <f t="shared" si="46"/>
        <v>0</v>
      </c>
      <c r="Q142" s="571">
        <f t="shared" si="47"/>
        <v>0</v>
      </c>
      <c r="R142" s="496">
        <f>'Value-of-fuel-used-under-CT'!C14</f>
        <v>0</v>
      </c>
      <c r="S142" s="350">
        <f t="shared" si="48"/>
        <v>0</v>
      </c>
      <c r="T142" s="24">
        <f t="shared" si="49"/>
        <v>0</v>
      </c>
      <c r="U142" s="24">
        <f t="shared" si="50"/>
        <v>0</v>
      </c>
      <c r="V142" s="24">
        <f t="shared" si="40"/>
        <v>0</v>
      </c>
      <c r="W142" s="38">
        <f t="shared" si="51"/>
        <v>0</v>
      </c>
      <c r="X142" s="9">
        <v>0</v>
      </c>
      <c r="Y142" s="9">
        <v>0</v>
      </c>
      <c r="Z142" s="38">
        <f t="shared" si="41"/>
        <v>0</v>
      </c>
    </row>
    <row r="143" spans="1:39" x14ac:dyDescent="0.25">
      <c r="A143" t="str">
        <f t="shared" si="42"/>
        <v>Sousse</v>
      </c>
      <c r="B143" s="4"/>
      <c r="C143" s="64"/>
      <c r="D143" s="64"/>
      <c r="E143" s="64"/>
      <c r="F143" s="185">
        <f>'Percent-Soil-Carbon-Content'!C15*'Soil-errosion2'!C15</f>
        <v>0</v>
      </c>
      <c r="G143" s="185">
        <f>'Percent-Soil-Carbon-Content'!N15*'Soil-errosion2'!O15</f>
        <v>0</v>
      </c>
      <c r="H143" s="185">
        <f>'Percent-Soil-Carbon-Content'!Y15*'Soil-errosion2'!AA15</f>
        <v>0</v>
      </c>
      <c r="I143" s="95">
        <f t="shared" si="43"/>
        <v>0</v>
      </c>
      <c r="J143" s="185">
        <f t="shared" si="44"/>
        <v>0</v>
      </c>
      <c r="K143" s="185">
        <f t="shared" si="39"/>
        <v>0</v>
      </c>
      <c r="L143" s="185">
        <f t="shared" si="39"/>
        <v>0</v>
      </c>
      <c r="M143" s="185">
        <f t="shared" si="45"/>
        <v>0</v>
      </c>
      <c r="N143" s="570">
        <f t="shared" si="46"/>
        <v>0</v>
      </c>
      <c r="O143" s="570">
        <f t="shared" si="46"/>
        <v>0</v>
      </c>
      <c r="P143" s="570">
        <f t="shared" si="46"/>
        <v>0</v>
      </c>
      <c r="Q143" s="571">
        <f t="shared" si="47"/>
        <v>0</v>
      </c>
      <c r="R143" s="496">
        <f>'Value-of-fuel-used-under-CT'!C15</f>
        <v>0</v>
      </c>
      <c r="S143" s="350">
        <f t="shared" si="48"/>
        <v>0</v>
      </c>
      <c r="T143" s="24">
        <f t="shared" si="49"/>
        <v>0</v>
      </c>
      <c r="U143" s="24">
        <f t="shared" si="50"/>
        <v>0</v>
      </c>
      <c r="V143" s="24">
        <f t="shared" si="40"/>
        <v>0</v>
      </c>
      <c r="W143" s="38">
        <f t="shared" si="51"/>
        <v>0</v>
      </c>
      <c r="X143" s="9">
        <v>0</v>
      </c>
      <c r="Y143" s="9">
        <v>0</v>
      </c>
      <c r="Z143" s="38">
        <f t="shared" si="41"/>
        <v>0</v>
      </c>
    </row>
    <row r="144" spans="1:39" x14ac:dyDescent="0.25">
      <c r="A144" t="str">
        <f t="shared" si="42"/>
        <v>Monastir</v>
      </c>
      <c r="B144" s="4"/>
      <c r="C144" s="64"/>
      <c r="D144" s="64"/>
      <c r="E144" s="64"/>
      <c r="F144" s="185">
        <f>'Percent-Soil-Carbon-Content'!C16*'Soil-errosion2'!C16</f>
        <v>0</v>
      </c>
      <c r="G144" s="185">
        <f>'Percent-Soil-Carbon-Content'!N16*'Soil-errosion2'!O16</f>
        <v>0</v>
      </c>
      <c r="H144" s="185">
        <f>'Percent-Soil-Carbon-Content'!Y16*'Soil-errosion2'!AA16</f>
        <v>0</v>
      </c>
      <c r="I144" s="95">
        <f t="shared" si="43"/>
        <v>0</v>
      </c>
      <c r="J144" s="185">
        <f t="shared" si="44"/>
        <v>0</v>
      </c>
      <c r="K144" s="185">
        <f t="shared" si="39"/>
        <v>0</v>
      </c>
      <c r="L144" s="185">
        <f t="shared" si="39"/>
        <v>0</v>
      </c>
      <c r="M144" s="185">
        <f t="shared" si="45"/>
        <v>0</v>
      </c>
      <c r="N144" s="570">
        <f t="shared" si="46"/>
        <v>0</v>
      </c>
      <c r="O144" s="570">
        <f t="shared" si="46"/>
        <v>0</v>
      </c>
      <c r="P144" s="570">
        <f t="shared" si="46"/>
        <v>0</v>
      </c>
      <c r="Q144" s="571">
        <f t="shared" si="47"/>
        <v>0</v>
      </c>
      <c r="R144" s="496">
        <f>'Value-of-fuel-used-under-CT'!C16</f>
        <v>0</v>
      </c>
      <c r="S144" s="350">
        <f t="shared" si="48"/>
        <v>0</v>
      </c>
      <c r="T144" s="24">
        <f t="shared" si="49"/>
        <v>0</v>
      </c>
      <c r="U144" s="24">
        <f t="shared" si="50"/>
        <v>0</v>
      </c>
      <c r="V144" s="24">
        <f t="shared" si="40"/>
        <v>0</v>
      </c>
      <c r="W144" s="38">
        <f t="shared" si="51"/>
        <v>0</v>
      </c>
      <c r="X144" s="9">
        <v>0</v>
      </c>
      <c r="Y144" s="9">
        <v>0</v>
      </c>
      <c r="Z144" s="38">
        <f t="shared" si="41"/>
        <v>0</v>
      </c>
    </row>
    <row r="145" spans="1:27" x14ac:dyDescent="0.25">
      <c r="A145" t="str">
        <f t="shared" si="42"/>
        <v>Mahdia</v>
      </c>
      <c r="B145" s="4"/>
      <c r="C145" s="64"/>
      <c r="D145" s="64"/>
      <c r="E145" s="64"/>
      <c r="F145" s="185">
        <f>'Percent-Soil-Carbon-Content'!C17*'Soil-errosion2'!C17</f>
        <v>0</v>
      </c>
      <c r="G145" s="185">
        <f>'Percent-Soil-Carbon-Content'!N17*'Soil-errosion2'!O17</f>
        <v>0</v>
      </c>
      <c r="H145" s="185">
        <f>'Percent-Soil-Carbon-Content'!Y17*'Soil-errosion2'!AA17</f>
        <v>0</v>
      </c>
      <c r="I145" s="95">
        <f t="shared" si="43"/>
        <v>0</v>
      </c>
      <c r="J145" s="185">
        <f t="shared" si="44"/>
        <v>0</v>
      </c>
      <c r="K145" s="185">
        <f t="shared" si="39"/>
        <v>0</v>
      </c>
      <c r="L145" s="185">
        <f t="shared" si="39"/>
        <v>0</v>
      </c>
      <c r="M145" s="185">
        <f t="shared" si="45"/>
        <v>0</v>
      </c>
      <c r="N145" s="570">
        <f t="shared" si="46"/>
        <v>0</v>
      </c>
      <c r="O145" s="570">
        <f t="shared" si="46"/>
        <v>0</v>
      </c>
      <c r="P145" s="570">
        <f t="shared" si="46"/>
        <v>0</v>
      </c>
      <c r="Q145" s="571">
        <f t="shared" si="47"/>
        <v>0</v>
      </c>
      <c r="R145" s="496">
        <f>'Value-of-fuel-used-under-CT'!C17</f>
        <v>0</v>
      </c>
      <c r="S145" s="350">
        <f t="shared" si="48"/>
        <v>0</v>
      </c>
      <c r="T145" s="24">
        <f t="shared" si="49"/>
        <v>0</v>
      </c>
      <c r="U145" s="24">
        <f t="shared" si="50"/>
        <v>0</v>
      </c>
      <c r="V145" s="24">
        <f t="shared" si="40"/>
        <v>0</v>
      </c>
      <c r="W145" s="38">
        <f t="shared" si="51"/>
        <v>0</v>
      </c>
      <c r="X145" s="9">
        <v>0</v>
      </c>
      <c r="Y145" s="9">
        <v>0</v>
      </c>
      <c r="Z145" s="38">
        <f t="shared" si="41"/>
        <v>0</v>
      </c>
    </row>
    <row r="146" spans="1:27" x14ac:dyDescent="0.25">
      <c r="A146" t="str">
        <f t="shared" si="42"/>
        <v>Sfax</v>
      </c>
      <c r="B146" s="4"/>
      <c r="C146" s="64"/>
      <c r="D146" s="64"/>
      <c r="E146" s="64"/>
      <c r="F146" s="185">
        <f>'Percent-Soil-Carbon-Content'!C18*'Soil-errosion2'!C18</f>
        <v>0</v>
      </c>
      <c r="G146" s="185">
        <f>'Percent-Soil-Carbon-Content'!N18*'Soil-errosion2'!O18</f>
        <v>0</v>
      </c>
      <c r="H146" s="185">
        <f>'Percent-Soil-Carbon-Content'!Y18*'Soil-errosion2'!AA18</f>
        <v>0</v>
      </c>
      <c r="I146" s="95">
        <f t="shared" si="43"/>
        <v>0</v>
      </c>
      <c r="J146" s="185">
        <f t="shared" si="44"/>
        <v>0</v>
      </c>
      <c r="K146" s="185">
        <f t="shared" si="39"/>
        <v>0</v>
      </c>
      <c r="L146" s="185">
        <f t="shared" si="39"/>
        <v>0</v>
      </c>
      <c r="M146" s="185">
        <f t="shared" si="45"/>
        <v>0</v>
      </c>
      <c r="N146" s="570">
        <f t="shared" si="46"/>
        <v>0</v>
      </c>
      <c r="O146" s="570">
        <f t="shared" si="46"/>
        <v>0</v>
      </c>
      <c r="P146" s="570">
        <f t="shared" si="46"/>
        <v>0</v>
      </c>
      <c r="Q146" s="571">
        <f t="shared" si="47"/>
        <v>0</v>
      </c>
      <c r="R146" s="496">
        <f>'Value-of-fuel-used-under-CT'!C18</f>
        <v>0</v>
      </c>
      <c r="S146" s="350">
        <f t="shared" si="48"/>
        <v>0</v>
      </c>
      <c r="T146" s="24">
        <f t="shared" si="49"/>
        <v>0</v>
      </c>
      <c r="U146" s="24">
        <f t="shared" si="50"/>
        <v>0</v>
      </c>
      <c r="V146" s="24">
        <f t="shared" si="40"/>
        <v>0</v>
      </c>
      <c r="W146" s="38">
        <f t="shared" si="51"/>
        <v>0</v>
      </c>
      <c r="X146" s="9">
        <v>0</v>
      </c>
      <c r="Y146" s="9">
        <v>0</v>
      </c>
      <c r="Z146" s="38">
        <f t="shared" si="41"/>
        <v>0</v>
      </c>
    </row>
    <row r="147" spans="1:27" x14ac:dyDescent="0.25">
      <c r="A147" t="str">
        <f t="shared" si="42"/>
        <v>Kairouan</v>
      </c>
      <c r="B147" s="4"/>
      <c r="C147" s="64"/>
      <c r="D147" s="64"/>
      <c r="E147" s="64"/>
      <c r="F147" s="185">
        <f>'Percent-Soil-Carbon-Content'!C19*'Soil-errosion2'!C19</f>
        <v>0</v>
      </c>
      <c r="G147" s="185">
        <f>'Percent-Soil-Carbon-Content'!N19*'Soil-errosion2'!O19</f>
        <v>0</v>
      </c>
      <c r="H147" s="185">
        <f>'Percent-Soil-Carbon-Content'!Y19*'Soil-errosion2'!AA19</f>
        <v>0</v>
      </c>
      <c r="I147" s="95">
        <f t="shared" si="43"/>
        <v>0</v>
      </c>
      <c r="J147" s="185">
        <f t="shared" si="44"/>
        <v>0</v>
      </c>
      <c r="K147" s="185">
        <f t="shared" si="39"/>
        <v>0</v>
      </c>
      <c r="L147" s="185">
        <f t="shared" si="39"/>
        <v>0</v>
      </c>
      <c r="M147" s="185">
        <f t="shared" si="45"/>
        <v>0</v>
      </c>
      <c r="N147" s="570">
        <f t="shared" si="46"/>
        <v>0</v>
      </c>
      <c r="O147" s="570">
        <f t="shared" si="46"/>
        <v>0</v>
      </c>
      <c r="P147" s="570">
        <f t="shared" si="46"/>
        <v>0</v>
      </c>
      <c r="Q147" s="571">
        <f t="shared" si="47"/>
        <v>0</v>
      </c>
      <c r="R147" s="496">
        <f>'Value-of-fuel-used-under-CT'!C19</f>
        <v>0</v>
      </c>
      <c r="S147" s="350">
        <f t="shared" si="48"/>
        <v>0</v>
      </c>
      <c r="T147" s="24">
        <f t="shared" si="49"/>
        <v>0</v>
      </c>
      <c r="U147" s="24">
        <f t="shared" si="50"/>
        <v>0</v>
      </c>
      <c r="V147" s="24">
        <f t="shared" si="40"/>
        <v>0</v>
      </c>
      <c r="W147" s="38">
        <f t="shared" si="51"/>
        <v>0</v>
      </c>
      <c r="X147" s="9">
        <v>0</v>
      </c>
      <c r="Y147" s="9">
        <v>0</v>
      </c>
      <c r="Z147" s="38">
        <f t="shared" si="41"/>
        <v>0</v>
      </c>
    </row>
    <row r="148" spans="1:27" x14ac:dyDescent="0.25">
      <c r="A148" t="str">
        <f t="shared" si="42"/>
        <v>Kasserine</v>
      </c>
      <c r="B148" s="4"/>
      <c r="C148" s="64"/>
      <c r="D148" s="64"/>
      <c r="E148" s="64"/>
      <c r="F148" s="185">
        <f>'Percent-Soil-Carbon-Content'!C20*'Soil-errosion2'!C20</f>
        <v>0</v>
      </c>
      <c r="G148" s="185">
        <f>'Percent-Soil-Carbon-Content'!N20*'Soil-errosion2'!O20</f>
        <v>0</v>
      </c>
      <c r="H148" s="185">
        <f>'Percent-Soil-Carbon-Content'!Y20*'Soil-errosion2'!AA20</f>
        <v>0</v>
      </c>
      <c r="I148" s="95">
        <f t="shared" si="43"/>
        <v>0</v>
      </c>
      <c r="J148" s="185">
        <f t="shared" si="44"/>
        <v>0</v>
      </c>
      <c r="K148" s="185">
        <f t="shared" si="44"/>
        <v>0</v>
      </c>
      <c r="L148" s="185">
        <f t="shared" si="44"/>
        <v>0</v>
      </c>
      <c r="M148" s="185">
        <f t="shared" si="45"/>
        <v>0</v>
      </c>
      <c r="N148" s="570">
        <f t="shared" si="46"/>
        <v>0</v>
      </c>
      <c r="O148" s="570">
        <f t="shared" si="46"/>
        <v>0</v>
      </c>
      <c r="P148" s="570">
        <f t="shared" si="46"/>
        <v>0</v>
      </c>
      <c r="Q148" s="571">
        <f t="shared" si="47"/>
        <v>0</v>
      </c>
      <c r="R148" s="496">
        <f>'Value-of-fuel-used-under-CT'!C20</f>
        <v>0</v>
      </c>
      <c r="S148" s="350">
        <f t="shared" si="48"/>
        <v>0</v>
      </c>
      <c r="T148" s="24">
        <f t="shared" si="49"/>
        <v>0</v>
      </c>
      <c r="U148" s="24">
        <f t="shared" si="50"/>
        <v>0</v>
      </c>
      <c r="V148" s="24">
        <f t="shared" si="40"/>
        <v>0</v>
      </c>
      <c r="W148" s="38">
        <f t="shared" si="51"/>
        <v>0</v>
      </c>
      <c r="X148" s="9">
        <v>0</v>
      </c>
      <c r="Y148" s="9">
        <v>0</v>
      </c>
      <c r="Z148" s="38">
        <f t="shared" si="41"/>
        <v>0</v>
      </c>
    </row>
    <row r="149" spans="1:27" x14ac:dyDescent="0.25">
      <c r="A149" t="str">
        <f t="shared" si="42"/>
        <v>Sidi Bouzid</v>
      </c>
      <c r="B149" s="4"/>
      <c r="C149" s="64"/>
      <c r="D149" s="64"/>
      <c r="E149" s="64"/>
      <c r="F149" s="185">
        <f>'Percent-Soil-Carbon-Content'!C21*'Soil-errosion2'!C21</f>
        <v>0</v>
      </c>
      <c r="G149" s="185">
        <f>'Percent-Soil-Carbon-Content'!N21*'Soil-errosion2'!O21</f>
        <v>0</v>
      </c>
      <c r="H149" s="185">
        <f>'Percent-Soil-Carbon-Content'!Y21*'Soil-errosion2'!AA21</f>
        <v>0</v>
      </c>
      <c r="I149" s="95">
        <f t="shared" si="43"/>
        <v>0</v>
      </c>
      <c r="J149" s="185">
        <f t="shared" si="44"/>
        <v>0</v>
      </c>
      <c r="K149" s="185">
        <f t="shared" si="44"/>
        <v>0</v>
      </c>
      <c r="L149" s="185">
        <f t="shared" si="44"/>
        <v>0</v>
      </c>
      <c r="M149" s="185">
        <f t="shared" si="45"/>
        <v>0</v>
      </c>
      <c r="N149" s="570">
        <f t="shared" ref="N149:P155" si="52">J149*C51*$B51</f>
        <v>0</v>
      </c>
      <c r="O149" s="570">
        <f t="shared" si="52"/>
        <v>0</v>
      </c>
      <c r="P149" s="570">
        <f t="shared" si="52"/>
        <v>0</v>
      </c>
      <c r="Q149" s="571">
        <f t="shared" si="47"/>
        <v>0</v>
      </c>
      <c r="R149" s="496">
        <f>'Value-of-fuel-used-under-CT'!C21</f>
        <v>0</v>
      </c>
      <c r="S149" s="350">
        <f t="shared" si="48"/>
        <v>0</v>
      </c>
      <c r="T149" s="24">
        <f t="shared" si="49"/>
        <v>0</v>
      </c>
      <c r="U149" s="24">
        <f t="shared" si="50"/>
        <v>0</v>
      </c>
      <c r="V149" s="24">
        <f t="shared" si="40"/>
        <v>0</v>
      </c>
      <c r="W149" s="38">
        <f t="shared" si="51"/>
        <v>0</v>
      </c>
      <c r="X149" s="9">
        <v>0</v>
      </c>
      <c r="Y149" s="9">
        <v>0</v>
      </c>
      <c r="Z149" s="38">
        <f t="shared" si="41"/>
        <v>0</v>
      </c>
    </row>
    <row r="150" spans="1:27" x14ac:dyDescent="0.25">
      <c r="A150" t="str">
        <f t="shared" si="42"/>
        <v>Gafsa</v>
      </c>
      <c r="B150" s="4"/>
      <c r="C150" s="64"/>
      <c r="D150" s="64"/>
      <c r="E150" s="64"/>
      <c r="F150" s="185">
        <f>'Percent-Soil-Carbon-Content'!C22*'Soil-errosion2'!C22</f>
        <v>0</v>
      </c>
      <c r="G150" s="185">
        <f>'Percent-Soil-Carbon-Content'!N22*'Soil-errosion2'!O22</f>
        <v>0</v>
      </c>
      <c r="H150" s="185">
        <f>'Percent-Soil-Carbon-Content'!Y22*'Soil-errosion2'!AA22</f>
        <v>0</v>
      </c>
      <c r="I150" s="95">
        <f t="shared" si="43"/>
        <v>0</v>
      </c>
      <c r="J150" s="185">
        <f t="shared" si="44"/>
        <v>0</v>
      </c>
      <c r="K150" s="185">
        <f t="shared" si="44"/>
        <v>0</v>
      </c>
      <c r="L150" s="185">
        <f t="shared" si="44"/>
        <v>0</v>
      </c>
      <c r="M150" s="185">
        <f t="shared" si="45"/>
        <v>0</v>
      </c>
      <c r="N150" s="570">
        <f t="shared" si="52"/>
        <v>0</v>
      </c>
      <c r="O150" s="570">
        <f t="shared" si="52"/>
        <v>0</v>
      </c>
      <c r="P150" s="570">
        <f t="shared" si="52"/>
        <v>0</v>
      </c>
      <c r="Q150" s="571">
        <f t="shared" si="47"/>
        <v>0</v>
      </c>
      <c r="R150" s="496">
        <f>'Value-of-fuel-used-under-CT'!C22</f>
        <v>0</v>
      </c>
      <c r="S150" s="350">
        <f t="shared" si="48"/>
        <v>0</v>
      </c>
      <c r="T150" s="24">
        <f t="shared" si="49"/>
        <v>0</v>
      </c>
      <c r="U150" s="24">
        <f t="shared" si="50"/>
        <v>0</v>
      </c>
      <c r="V150" s="24">
        <f t="shared" si="40"/>
        <v>0</v>
      </c>
      <c r="W150" s="38">
        <f t="shared" si="51"/>
        <v>0</v>
      </c>
      <c r="X150" s="9">
        <v>0</v>
      </c>
      <c r="Y150" s="9">
        <v>0</v>
      </c>
      <c r="Z150" s="38">
        <f t="shared" si="41"/>
        <v>0</v>
      </c>
    </row>
    <row r="151" spans="1:27" x14ac:dyDescent="0.25">
      <c r="A151" t="str">
        <f t="shared" si="42"/>
        <v>Gabès</v>
      </c>
      <c r="B151" s="4"/>
      <c r="C151" s="64"/>
      <c r="D151" s="64"/>
      <c r="E151" s="64"/>
      <c r="F151" s="185">
        <f>'Percent-Soil-Carbon-Content'!C23*'Soil-errosion2'!C23</f>
        <v>0</v>
      </c>
      <c r="G151" s="185">
        <f>'Percent-Soil-Carbon-Content'!N23*'Soil-errosion2'!O23</f>
        <v>0</v>
      </c>
      <c r="H151" s="185">
        <f>'Percent-Soil-Carbon-Content'!Y23*'Soil-errosion2'!AA23</f>
        <v>0</v>
      </c>
      <c r="I151" s="95">
        <f t="shared" si="43"/>
        <v>0</v>
      </c>
      <c r="J151" s="185">
        <f t="shared" si="44"/>
        <v>0</v>
      </c>
      <c r="K151" s="185">
        <f t="shared" si="44"/>
        <v>0</v>
      </c>
      <c r="L151" s="185">
        <f t="shared" si="44"/>
        <v>0</v>
      </c>
      <c r="M151" s="185">
        <f t="shared" si="45"/>
        <v>0</v>
      </c>
      <c r="N151" s="570">
        <f t="shared" si="52"/>
        <v>0</v>
      </c>
      <c r="O151" s="570">
        <f t="shared" si="52"/>
        <v>0</v>
      </c>
      <c r="P151" s="570">
        <f t="shared" si="52"/>
        <v>0</v>
      </c>
      <c r="Q151" s="571">
        <f t="shared" si="47"/>
        <v>0</v>
      </c>
      <c r="R151" s="496">
        <f>'Value-of-fuel-used-under-CT'!C23</f>
        <v>0</v>
      </c>
      <c r="S151" s="350">
        <f t="shared" si="48"/>
        <v>0</v>
      </c>
      <c r="T151" s="24">
        <f t="shared" si="49"/>
        <v>0</v>
      </c>
      <c r="U151" s="24">
        <f t="shared" si="50"/>
        <v>0</v>
      </c>
      <c r="V151" s="24">
        <f t="shared" si="40"/>
        <v>0</v>
      </c>
      <c r="W151" s="38">
        <f t="shared" si="51"/>
        <v>0</v>
      </c>
      <c r="X151" s="9">
        <v>0</v>
      </c>
      <c r="Y151" s="9">
        <v>0</v>
      </c>
      <c r="Z151" s="38">
        <f t="shared" si="41"/>
        <v>0</v>
      </c>
    </row>
    <row r="152" spans="1:27" x14ac:dyDescent="0.25">
      <c r="A152" t="str">
        <f t="shared" si="42"/>
        <v>Médenine</v>
      </c>
      <c r="B152" s="4"/>
      <c r="C152" s="64"/>
      <c r="D152" s="64"/>
      <c r="E152" s="64"/>
      <c r="F152" s="185">
        <f>'Percent-Soil-Carbon-Content'!C24*'Soil-errosion2'!C24</f>
        <v>0</v>
      </c>
      <c r="G152" s="185">
        <f>'Percent-Soil-Carbon-Content'!N24*'Soil-errosion2'!O24</f>
        <v>0</v>
      </c>
      <c r="H152" s="185">
        <f>'Percent-Soil-Carbon-Content'!Y24*'Soil-errosion2'!AA24</f>
        <v>0</v>
      </c>
      <c r="I152" s="95">
        <f t="shared" si="43"/>
        <v>0</v>
      </c>
      <c r="J152" s="185">
        <f t="shared" si="44"/>
        <v>0</v>
      </c>
      <c r="K152" s="185">
        <f t="shared" si="44"/>
        <v>0</v>
      </c>
      <c r="L152" s="185">
        <f t="shared" si="44"/>
        <v>0</v>
      </c>
      <c r="M152" s="185">
        <f t="shared" si="45"/>
        <v>0</v>
      </c>
      <c r="N152" s="570">
        <f t="shared" si="52"/>
        <v>0</v>
      </c>
      <c r="O152" s="570">
        <f t="shared" si="52"/>
        <v>0</v>
      </c>
      <c r="P152" s="570">
        <f t="shared" si="52"/>
        <v>0</v>
      </c>
      <c r="Q152" s="571">
        <f t="shared" si="47"/>
        <v>0</v>
      </c>
      <c r="R152" s="496">
        <f>'Value-of-fuel-used-under-CT'!C24</f>
        <v>0</v>
      </c>
      <c r="S152" s="350">
        <f t="shared" si="48"/>
        <v>0</v>
      </c>
      <c r="T152" s="24">
        <f t="shared" si="49"/>
        <v>0</v>
      </c>
      <c r="U152" s="24">
        <f t="shared" si="50"/>
        <v>0</v>
      </c>
      <c r="V152" s="24">
        <f t="shared" si="40"/>
        <v>0</v>
      </c>
      <c r="W152" s="38">
        <f t="shared" si="51"/>
        <v>0</v>
      </c>
      <c r="X152" s="9">
        <v>0</v>
      </c>
      <c r="Y152" s="9">
        <v>0</v>
      </c>
      <c r="Z152" s="38">
        <f t="shared" si="41"/>
        <v>0</v>
      </c>
    </row>
    <row r="153" spans="1:27" x14ac:dyDescent="0.25">
      <c r="A153" t="str">
        <f t="shared" si="42"/>
        <v>Tataouine</v>
      </c>
      <c r="B153" s="4"/>
      <c r="C153" s="64"/>
      <c r="D153" s="64"/>
      <c r="E153" s="64"/>
      <c r="F153" s="185">
        <f>'Percent-Soil-Carbon-Content'!C25*'Soil-errosion2'!C25</f>
        <v>0</v>
      </c>
      <c r="G153" s="185">
        <f>'Percent-Soil-Carbon-Content'!N25*'Soil-errosion2'!O25</f>
        <v>0</v>
      </c>
      <c r="H153" s="185">
        <f>'Percent-Soil-Carbon-Content'!Y25*'Soil-errosion2'!AA25</f>
        <v>0</v>
      </c>
      <c r="I153" s="95">
        <f t="shared" si="43"/>
        <v>0</v>
      </c>
      <c r="J153" s="185">
        <f t="shared" si="44"/>
        <v>0</v>
      </c>
      <c r="K153" s="185">
        <f t="shared" si="44"/>
        <v>0</v>
      </c>
      <c r="L153" s="185">
        <f t="shared" si="44"/>
        <v>0</v>
      </c>
      <c r="M153" s="185">
        <f t="shared" si="45"/>
        <v>0</v>
      </c>
      <c r="N153" s="570">
        <f t="shared" si="52"/>
        <v>0</v>
      </c>
      <c r="O153" s="570">
        <f t="shared" si="52"/>
        <v>0</v>
      </c>
      <c r="P153" s="570">
        <f t="shared" si="52"/>
        <v>0</v>
      </c>
      <c r="Q153" s="571">
        <f t="shared" si="47"/>
        <v>0</v>
      </c>
      <c r="R153" s="496">
        <f>'Value-of-fuel-used-under-CT'!C25</f>
        <v>0</v>
      </c>
      <c r="S153" s="350">
        <f t="shared" si="48"/>
        <v>0</v>
      </c>
      <c r="T153" s="24">
        <f t="shared" si="49"/>
        <v>0</v>
      </c>
      <c r="U153" s="24">
        <f t="shared" si="50"/>
        <v>0</v>
      </c>
      <c r="V153" s="24">
        <f t="shared" si="40"/>
        <v>0</v>
      </c>
      <c r="W153" s="38">
        <f t="shared" si="51"/>
        <v>0</v>
      </c>
      <c r="X153" s="9">
        <v>0</v>
      </c>
      <c r="Y153" s="9">
        <v>0</v>
      </c>
      <c r="Z153" s="38">
        <f t="shared" si="41"/>
        <v>0</v>
      </c>
    </row>
    <row r="154" spans="1:27" x14ac:dyDescent="0.25">
      <c r="A154" t="str">
        <f t="shared" si="42"/>
        <v>Tozeur</v>
      </c>
      <c r="B154" s="4"/>
      <c r="C154" s="64"/>
      <c r="D154" s="64"/>
      <c r="E154" s="64"/>
      <c r="F154" s="185">
        <f>'Percent-Soil-Carbon-Content'!C26*'Soil-errosion2'!C26</f>
        <v>0</v>
      </c>
      <c r="G154" s="185">
        <f>'Percent-Soil-Carbon-Content'!N26*'Soil-errosion2'!O26</f>
        <v>0</v>
      </c>
      <c r="H154" s="185">
        <f>'Percent-Soil-Carbon-Content'!Y26*'Soil-errosion2'!AA26</f>
        <v>0</v>
      </c>
      <c r="I154" s="95">
        <f t="shared" si="43"/>
        <v>0</v>
      </c>
      <c r="J154" s="185">
        <f t="shared" si="44"/>
        <v>0</v>
      </c>
      <c r="K154" s="185">
        <f t="shared" si="44"/>
        <v>0</v>
      </c>
      <c r="L154" s="185">
        <f t="shared" si="44"/>
        <v>0</v>
      </c>
      <c r="M154" s="185">
        <f t="shared" si="45"/>
        <v>0</v>
      </c>
      <c r="N154" s="570">
        <f t="shared" si="52"/>
        <v>0</v>
      </c>
      <c r="O154" s="570">
        <f t="shared" si="52"/>
        <v>0</v>
      </c>
      <c r="P154" s="570">
        <f t="shared" si="52"/>
        <v>0</v>
      </c>
      <c r="Q154" s="571">
        <f t="shared" si="47"/>
        <v>0</v>
      </c>
      <c r="R154" s="496">
        <f>'Value-of-fuel-used-under-CT'!C26</f>
        <v>0</v>
      </c>
      <c r="S154" s="350">
        <f t="shared" si="48"/>
        <v>0</v>
      </c>
      <c r="T154" s="24">
        <f t="shared" si="49"/>
        <v>0</v>
      </c>
      <c r="U154" s="24">
        <f t="shared" si="50"/>
        <v>0</v>
      </c>
      <c r="V154" s="24">
        <f t="shared" si="40"/>
        <v>0</v>
      </c>
      <c r="W154" s="38">
        <f t="shared" si="51"/>
        <v>0</v>
      </c>
      <c r="X154" s="9">
        <v>0</v>
      </c>
      <c r="Y154" s="9">
        <v>0</v>
      </c>
      <c r="Z154" s="38">
        <f t="shared" si="41"/>
        <v>0</v>
      </c>
    </row>
    <row r="155" spans="1:27" x14ac:dyDescent="0.25">
      <c r="A155" t="str">
        <f t="shared" si="42"/>
        <v>Kébili</v>
      </c>
      <c r="B155" s="4"/>
      <c r="C155" s="64"/>
      <c r="D155" s="64"/>
      <c r="E155" s="64"/>
      <c r="F155" s="185">
        <f>'Percent-Soil-Carbon-Content'!C27*'Soil-errosion2'!C27</f>
        <v>0</v>
      </c>
      <c r="G155" s="185">
        <f>'Percent-Soil-Carbon-Content'!N27*'Soil-errosion2'!O27</f>
        <v>0</v>
      </c>
      <c r="H155" s="185">
        <f>'Percent-Soil-Carbon-Content'!Y27*'Soil-errosion2'!AA27</f>
        <v>0</v>
      </c>
      <c r="I155" s="95">
        <f t="shared" si="43"/>
        <v>0</v>
      </c>
      <c r="J155" s="185">
        <f t="shared" si="44"/>
        <v>0</v>
      </c>
      <c r="K155" s="185">
        <f t="shared" si="44"/>
        <v>0</v>
      </c>
      <c r="L155" s="185">
        <f t="shared" si="44"/>
        <v>0</v>
      </c>
      <c r="M155" s="185">
        <f t="shared" si="45"/>
        <v>0</v>
      </c>
      <c r="N155" s="570">
        <f t="shared" si="52"/>
        <v>0</v>
      </c>
      <c r="O155" s="570">
        <f t="shared" si="52"/>
        <v>0</v>
      </c>
      <c r="P155" s="570">
        <f t="shared" si="52"/>
        <v>0</v>
      </c>
      <c r="Q155" s="571">
        <f t="shared" si="47"/>
        <v>0</v>
      </c>
      <c r="R155" s="496">
        <f>'Value-of-fuel-used-under-CT'!C27</f>
        <v>0</v>
      </c>
      <c r="S155" s="350">
        <f t="shared" si="48"/>
        <v>0</v>
      </c>
      <c r="T155" s="24">
        <f t="shared" si="49"/>
        <v>0</v>
      </c>
      <c r="U155" s="24">
        <f t="shared" si="50"/>
        <v>0</v>
      </c>
      <c r="V155" s="24">
        <f t="shared" si="40"/>
        <v>0</v>
      </c>
      <c r="W155" s="38">
        <f t="shared" si="51"/>
        <v>0</v>
      </c>
      <c r="X155" s="9">
        <v>0</v>
      </c>
      <c r="Y155" s="9">
        <v>0</v>
      </c>
      <c r="Z155" s="38">
        <f t="shared" si="41"/>
        <v>0</v>
      </c>
    </row>
    <row r="156" spans="1:27" x14ac:dyDescent="0.25">
      <c r="A156" s="1" t="s">
        <v>163</v>
      </c>
      <c r="B156" s="9">
        <f>SUM(B132:B155)</f>
        <v>0</v>
      </c>
      <c r="C156" s="65" t="e">
        <f t="shared" ref="C156:M156" si="53">SUMPRODUCT(C132:C155,$B$64:$B$87)/$B$88</f>
        <v>#DIV/0!</v>
      </c>
      <c r="D156" s="65" t="e">
        <f t="shared" si="53"/>
        <v>#DIV/0!</v>
      </c>
      <c r="E156" s="65" t="e">
        <f t="shared" si="53"/>
        <v>#DIV/0!</v>
      </c>
      <c r="F156" s="65" t="e">
        <f t="shared" si="53"/>
        <v>#DIV/0!</v>
      </c>
      <c r="G156" s="65" t="e">
        <f t="shared" si="53"/>
        <v>#DIV/0!</v>
      </c>
      <c r="H156" s="65" t="e">
        <f t="shared" si="53"/>
        <v>#DIV/0!</v>
      </c>
      <c r="I156" s="65" t="e">
        <f t="shared" si="53"/>
        <v>#DIV/0!</v>
      </c>
      <c r="J156" s="315" t="e">
        <f t="shared" si="53"/>
        <v>#DIV/0!</v>
      </c>
      <c r="K156" s="315" t="e">
        <f t="shared" si="53"/>
        <v>#DIV/0!</v>
      </c>
      <c r="L156" s="315" t="e">
        <f t="shared" si="53"/>
        <v>#DIV/0!</v>
      </c>
      <c r="M156" s="315" t="e">
        <f t="shared" si="53"/>
        <v>#DIV/0!</v>
      </c>
      <c r="N156" s="570">
        <f>SUM(N132:N155)</f>
        <v>0</v>
      </c>
      <c r="O156" s="570">
        <f>SUM(O132:O155)</f>
        <v>0</v>
      </c>
      <c r="P156" s="570">
        <f>SUM(P132:P155)</f>
        <v>0</v>
      </c>
      <c r="Q156" s="571">
        <f>SUM(N156:P156)</f>
        <v>0</v>
      </c>
      <c r="R156" s="351">
        <f>SUM(R132:R155)</f>
        <v>0</v>
      </c>
      <c r="S156" s="351">
        <f>SUM(S132:S155)</f>
        <v>0</v>
      </c>
      <c r="T156" s="24">
        <f>Q156+S156</f>
        <v>0</v>
      </c>
      <c r="U156" s="24">
        <f>SUM(U132:U155)</f>
        <v>0</v>
      </c>
      <c r="V156" s="24">
        <f>SUM(V132:V155)</f>
        <v>0</v>
      </c>
      <c r="W156" s="38">
        <f>T156*$D$124</f>
        <v>0</v>
      </c>
      <c r="X156" s="9">
        <f t="shared" ref="X156:Y156" si="54">SUM(X132:X155)</f>
        <v>0</v>
      </c>
      <c r="Y156" s="9">
        <f t="shared" si="54"/>
        <v>0</v>
      </c>
      <c r="Z156" s="38">
        <f t="shared" si="41"/>
        <v>0</v>
      </c>
      <c r="AA156" s="68">
        <f>Z156/'Summary-all-crops'!C3</f>
        <v>0</v>
      </c>
    </row>
    <row r="157" spans="1:27" x14ac:dyDescent="0.25">
      <c r="A157" s="1"/>
      <c r="Q157" s="314" t="b">
        <f>ABS(SUM(Q132:Q155)-Q156)&lt;0.1</f>
        <v>1</v>
      </c>
      <c r="R157" s="70"/>
    </row>
    <row r="158" spans="1:27" x14ac:dyDescent="0.25">
      <c r="A158" s="1"/>
      <c r="F158" s="2"/>
    </row>
    <row r="159" spans="1:27" x14ac:dyDescent="0.25">
      <c r="A159" s="1" t="s">
        <v>369</v>
      </c>
    </row>
    <row r="161" spans="1:6" x14ac:dyDescent="0.25">
      <c r="A161" s="838" t="s">
        <v>101</v>
      </c>
      <c r="B161" s="839" t="s">
        <v>370</v>
      </c>
      <c r="C161" s="839"/>
      <c r="D161" s="839"/>
      <c r="E161" s="839"/>
    </row>
    <row r="162" spans="1:6" x14ac:dyDescent="0.25">
      <c r="A162" s="838"/>
      <c r="F162" s="11"/>
    </row>
    <row r="163" spans="1:6" x14ac:dyDescent="0.25">
      <c r="A163" s="838"/>
      <c r="B163" s="1" t="s">
        <v>136</v>
      </c>
      <c r="C163" s="1" t="s">
        <v>137</v>
      </c>
      <c r="D163" s="1" t="s">
        <v>289</v>
      </c>
      <c r="E163" s="1" t="s">
        <v>120</v>
      </c>
      <c r="F163" s="11"/>
    </row>
    <row r="164" spans="1:6" x14ac:dyDescent="0.25">
      <c r="A164" t="str">
        <f>A132</f>
        <v>Tunis</v>
      </c>
      <c r="B164" s="45" t="e">
        <f>$D$23*(K34)+$E$23*(K64)</f>
        <v>#DIV/0!</v>
      </c>
      <c r="C164" s="45" t="e">
        <f>$D$23*(L34)+$E$23*(L64)</f>
        <v>#DIV/0!</v>
      </c>
      <c r="D164" s="45" t="e">
        <f>$D$23*(M34)+$E$23*(M64)</f>
        <v>#DIV/0!</v>
      </c>
      <c r="E164" s="23" t="e">
        <f>SUM(B164:D164)</f>
        <v>#DIV/0!</v>
      </c>
    </row>
    <row r="165" spans="1:6" x14ac:dyDescent="0.25">
      <c r="A165" t="str">
        <f t="shared" ref="A165:A187" si="55">A133</f>
        <v>Ariana</v>
      </c>
      <c r="B165" s="45" t="e">
        <f t="shared" ref="B165:D180" si="56">$D$23*(K35)+$E$23*(K65)</f>
        <v>#DIV/0!</v>
      </c>
      <c r="C165" s="45" t="e">
        <f t="shared" si="56"/>
        <v>#DIV/0!</v>
      </c>
      <c r="D165" s="45" t="e">
        <f t="shared" si="56"/>
        <v>#DIV/0!</v>
      </c>
      <c r="E165" s="23" t="e">
        <f t="shared" ref="E165:E187" si="57">SUM(B165:D165)</f>
        <v>#DIV/0!</v>
      </c>
    </row>
    <row r="166" spans="1:6" x14ac:dyDescent="0.25">
      <c r="A166" t="str">
        <f t="shared" si="55"/>
        <v>La Manouba</v>
      </c>
      <c r="B166" s="45" t="e">
        <f t="shared" si="56"/>
        <v>#DIV/0!</v>
      </c>
      <c r="C166" s="45" t="e">
        <f t="shared" si="56"/>
        <v>#DIV/0!</v>
      </c>
      <c r="D166" s="45" t="e">
        <f t="shared" si="56"/>
        <v>#DIV/0!</v>
      </c>
      <c r="E166" s="23" t="e">
        <f t="shared" si="57"/>
        <v>#DIV/0!</v>
      </c>
    </row>
    <row r="167" spans="1:6" x14ac:dyDescent="0.25">
      <c r="A167" t="str">
        <f t="shared" si="55"/>
        <v>Ben Arous</v>
      </c>
      <c r="B167" s="45" t="e">
        <f t="shared" si="56"/>
        <v>#DIV/0!</v>
      </c>
      <c r="C167" s="45" t="e">
        <f t="shared" si="56"/>
        <v>#DIV/0!</v>
      </c>
      <c r="D167" s="45" t="e">
        <f t="shared" si="56"/>
        <v>#DIV/0!</v>
      </c>
      <c r="E167" s="23" t="e">
        <f t="shared" si="57"/>
        <v>#DIV/0!</v>
      </c>
    </row>
    <row r="168" spans="1:6" x14ac:dyDescent="0.25">
      <c r="A168" t="str">
        <f t="shared" si="55"/>
        <v>Nabeul</v>
      </c>
      <c r="B168" s="45" t="e">
        <f t="shared" si="56"/>
        <v>#DIV/0!</v>
      </c>
      <c r="C168" s="45" t="e">
        <f t="shared" si="56"/>
        <v>#DIV/0!</v>
      </c>
      <c r="D168" s="45" t="e">
        <f t="shared" si="56"/>
        <v>#DIV/0!</v>
      </c>
      <c r="E168" s="23" t="e">
        <f t="shared" si="57"/>
        <v>#DIV/0!</v>
      </c>
    </row>
    <row r="169" spans="1:6" x14ac:dyDescent="0.25">
      <c r="A169" t="str">
        <f t="shared" si="55"/>
        <v>Bizerte</v>
      </c>
      <c r="B169" s="45" t="e">
        <f t="shared" si="56"/>
        <v>#DIV/0!</v>
      </c>
      <c r="C169" s="45" t="e">
        <f t="shared" si="56"/>
        <v>#DIV/0!</v>
      </c>
      <c r="D169" s="45" t="e">
        <f t="shared" si="56"/>
        <v>#DIV/0!</v>
      </c>
      <c r="E169" s="23" t="e">
        <f t="shared" si="57"/>
        <v>#DIV/0!</v>
      </c>
    </row>
    <row r="170" spans="1:6" x14ac:dyDescent="0.25">
      <c r="A170" t="str">
        <f t="shared" si="55"/>
        <v>Zaghouan</v>
      </c>
      <c r="B170" s="45" t="e">
        <f t="shared" si="56"/>
        <v>#DIV/0!</v>
      </c>
      <c r="C170" s="45" t="e">
        <f t="shared" si="56"/>
        <v>#DIV/0!</v>
      </c>
      <c r="D170" s="45" t="e">
        <f t="shared" si="56"/>
        <v>#DIV/0!</v>
      </c>
      <c r="E170" s="23" t="e">
        <f t="shared" si="57"/>
        <v>#DIV/0!</v>
      </c>
    </row>
    <row r="171" spans="1:6" x14ac:dyDescent="0.25">
      <c r="A171" t="str">
        <f t="shared" si="55"/>
        <v>Béja</v>
      </c>
      <c r="B171" s="45" t="e">
        <f t="shared" si="56"/>
        <v>#DIV/0!</v>
      </c>
      <c r="C171" s="45" t="e">
        <f t="shared" si="56"/>
        <v>#DIV/0!</v>
      </c>
      <c r="D171" s="45" t="e">
        <f t="shared" si="56"/>
        <v>#DIV/0!</v>
      </c>
      <c r="E171" s="23" t="e">
        <f t="shared" si="57"/>
        <v>#DIV/0!</v>
      </c>
    </row>
    <row r="172" spans="1:6" x14ac:dyDescent="0.25">
      <c r="A172" t="str">
        <f t="shared" si="55"/>
        <v>Jendouba</v>
      </c>
      <c r="B172" s="45" t="e">
        <f t="shared" si="56"/>
        <v>#DIV/0!</v>
      </c>
      <c r="C172" s="45" t="e">
        <f t="shared" si="56"/>
        <v>#DIV/0!</v>
      </c>
      <c r="D172" s="45" t="e">
        <f t="shared" si="56"/>
        <v>#DIV/0!</v>
      </c>
      <c r="E172" s="23" t="e">
        <f t="shared" si="57"/>
        <v>#DIV/0!</v>
      </c>
    </row>
    <row r="173" spans="1:6" x14ac:dyDescent="0.25">
      <c r="A173" t="str">
        <f t="shared" si="55"/>
        <v>Le Kef</v>
      </c>
      <c r="B173" s="45" t="e">
        <f t="shared" si="56"/>
        <v>#DIV/0!</v>
      </c>
      <c r="C173" s="45" t="e">
        <f t="shared" si="56"/>
        <v>#DIV/0!</v>
      </c>
      <c r="D173" s="45" t="e">
        <f t="shared" si="56"/>
        <v>#DIV/0!</v>
      </c>
      <c r="E173" s="23" t="e">
        <f t="shared" si="57"/>
        <v>#DIV/0!</v>
      </c>
    </row>
    <row r="174" spans="1:6" x14ac:dyDescent="0.25">
      <c r="A174" t="str">
        <f t="shared" si="55"/>
        <v>Siliana</v>
      </c>
      <c r="B174" s="45" t="e">
        <f t="shared" si="56"/>
        <v>#DIV/0!</v>
      </c>
      <c r="C174" s="45" t="e">
        <f t="shared" si="56"/>
        <v>#DIV/0!</v>
      </c>
      <c r="D174" s="45" t="e">
        <f t="shared" si="56"/>
        <v>#DIV/0!</v>
      </c>
      <c r="E174" s="23" t="e">
        <f t="shared" si="57"/>
        <v>#DIV/0!</v>
      </c>
    </row>
    <row r="175" spans="1:6" x14ac:dyDescent="0.25">
      <c r="A175" t="str">
        <f t="shared" si="55"/>
        <v>Sousse</v>
      </c>
      <c r="B175" s="45" t="e">
        <f t="shared" si="56"/>
        <v>#DIV/0!</v>
      </c>
      <c r="C175" s="45" t="e">
        <f t="shared" si="56"/>
        <v>#DIV/0!</v>
      </c>
      <c r="D175" s="45" t="e">
        <f t="shared" si="56"/>
        <v>#DIV/0!</v>
      </c>
      <c r="E175" s="23" t="e">
        <f t="shared" si="57"/>
        <v>#DIV/0!</v>
      </c>
    </row>
    <row r="176" spans="1:6" x14ac:dyDescent="0.25">
      <c r="A176" t="str">
        <f t="shared" si="55"/>
        <v>Monastir</v>
      </c>
      <c r="B176" s="45" t="e">
        <f t="shared" si="56"/>
        <v>#DIV/0!</v>
      </c>
      <c r="C176" s="45" t="e">
        <f t="shared" si="56"/>
        <v>#DIV/0!</v>
      </c>
      <c r="D176" s="45" t="e">
        <f t="shared" si="56"/>
        <v>#DIV/0!</v>
      </c>
      <c r="E176" s="23" t="e">
        <f t="shared" si="57"/>
        <v>#DIV/0!</v>
      </c>
    </row>
    <row r="177" spans="1:8" x14ac:dyDescent="0.25">
      <c r="A177" t="str">
        <f t="shared" si="55"/>
        <v>Mahdia</v>
      </c>
      <c r="B177" s="45" t="e">
        <f t="shared" si="56"/>
        <v>#DIV/0!</v>
      </c>
      <c r="C177" s="45" t="e">
        <f t="shared" si="56"/>
        <v>#DIV/0!</v>
      </c>
      <c r="D177" s="45" t="e">
        <f t="shared" si="56"/>
        <v>#DIV/0!</v>
      </c>
      <c r="E177" s="23" t="e">
        <f t="shared" si="57"/>
        <v>#DIV/0!</v>
      </c>
    </row>
    <row r="178" spans="1:8" x14ac:dyDescent="0.25">
      <c r="A178" t="str">
        <f t="shared" si="55"/>
        <v>Sfax</v>
      </c>
      <c r="B178" s="45" t="e">
        <f t="shared" si="56"/>
        <v>#DIV/0!</v>
      </c>
      <c r="C178" s="45" t="e">
        <f t="shared" si="56"/>
        <v>#DIV/0!</v>
      </c>
      <c r="D178" s="45" t="e">
        <f t="shared" si="56"/>
        <v>#DIV/0!</v>
      </c>
      <c r="E178" s="23" t="e">
        <f t="shared" si="57"/>
        <v>#DIV/0!</v>
      </c>
    </row>
    <row r="179" spans="1:8" x14ac:dyDescent="0.25">
      <c r="A179" t="str">
        <f t="shared" si="55"/>
        <v>Kairouan</v>
      </c>
      <c r="B179" s="45" t="e">
        <f t="shared" si="56"/>
        <v>#DIV/0!</v>
      </c>
      <c r="C179" s="45" t="e">
        <f t="shared" si="56"/>
        <v>#DIV/0!</v>
      </c>
      <c r="D179" s="45" t="e">
        <f t="shared" si="56"/>
        <v>#DIV/0!</v>
      </c>
      <c r="E179" s="23" t="e">
        <f t="shared" si="57"/>
        <v>#DIV/0!</v>
      </c>
    </row>
    <row r="180" spans="1:8" x14ac:dyDescent="0.25">
      <c r="A180" t="str">
        <f t="shared" si="55"/>
        <v>Kasserine</v>
      </c>
      <c r="B180" s="45" t="e">
        <f t="shared" si="56"/>
        <v>#DIV/0!</v>
      </c>
      <c r="C180" s="45" t="e">
        <f t="shared" si="56"/>
        <v>#DIV/0!</v>
      </c>
      <c r="D180" s="45" t="e">
        <f t="shared" si="56"/>
        <v>#DIV/0!</v>
      </c>
      <c r="E180" s="23" t="e">
        <f t="shared" si="57"/>
        <v>#DIV/0!</v>
      </c>
    </row>
    <row r="181" spans="1:8" x14ac:dyDescent="0.25">
      <c r="A181" t="str">
        <f t="shared" si="55"/>
        <v>Sidi Bouzid</v>
      </c>
      <c r="B181" s="45" t="e">
        <f t="shared" ref="B181:D187" si="58">$D$23*(K51)+$E$23*(K81)</f>
        <v>#DIV/0!</v>
      </c>
      <c r="C181" s="45" t="e">
        <f t="shared" si="58"/>
        <v>#DIV/0!</v>
      </c>
      <c r="D181" s="45" t="e">
        <f t="shared" si="58"/>
        <v>#DIV/0!</v>
      </c>
      <c r="E181" s="23" t="e">
        <f t="shared" si="57"/>
        <v>#DIV/0!</v>
      </c>
    </row>
    <row r="182" spans="1:8" x14ac:dyDescent="0.25">
      <c r="A182" t="str">
        <f t="shared" si="55"/>
        <v>Gafsa</v>
      </c>
      <c r="B182" s="45" t="e">
        <f t="shared" si="58"/>
        <v>#DIV/0!</v>
      </c>
      <c r="C182" s="45" t="e">
        <f t="shared" si="58"/>
        <v>#DIV/0!</v>
      </c>
      <c r="D182" s="45" t="e">
        <f t="shared" si="58"/>
        <v>#DIV/0!</v>
      </c>
      <c r="E182" s="23" t="e">
        <f t="shared" si="57"/>
        <v>#DIV/0!</v>
      </c>
    </row>
    <row r="183" spans="1:8" x14ac:dyDescent="0.25">
      <c r="A183" t="str">
        <f t="shared" si="55"/>
        <v>Gabès</v>
      </c>
      <c r="B183" s="45" t="e">
        <f t="shared" si="58"/>
        <v>#DIV/0!</v>
      </c>
      <c r="C183" s="45" t="e">
        <f t="shared" si="58"/>
        <v>#DIV/0!</v>
      </c>
      <c r="D183" s="45" t="e">
        <f t="shared" si="58"/>
        <v>#DIV/0!</v>
      </c>
      <c r="E183" s="23" t="e">
        <f t="shared" si="57"/>
        <v>#DIV/0!</v>
      </c>
    </row>
    <row r="184" spans="1:8" x14ac:dyDescent="0.25">
      <c r="A184" t="str">
        <f t="shared" si="55"/>
        <v>Médenine</v>
      </c>
      <c r="B184" s="45" t="e">
        <f t="shared" si="58"/>
        <v>#DIV/0!</v>
      </c>
      <c r="C184" s="45" t="e">
        <f t="shared" si="58"/>
        <v>#DIV/0!</v>
      </c>
      <c r="D184" s="45" t="e">
        <f t="shared" si="58"/>
        <v>#DIV/0!</v>
      </c>
      <c r="E184" s="23" t="e">
        <f t="shared" si="57"/>
        <v>#DIV/0!</v>
      </c>
    </row>
    <row r="185" spans="1:8" x14ac:dyDescent="0.25">
      <c r="A185" t="str">
        <f t="shared" si="55"/>
        <v>Tataouine</v>
      </c>
      <c r="B185" s="45" t="e">
        <f t="shared" si="58"/>
        <v>#DIV/0!</v>
      </c>
      <c r="C185" s="45" t="e">
        <f t="shared" si="58"/>
        <v>#DIV/0!</v>
      </c>
      <c r="D185" s="45" t="e">
        <f t="shared" si="58"/>
        <v>#DIV/0!</v>
      </c>
      <c r="E185" s="23" t="e">
        <f t="shared" si="57"/>
        <v>#DIV/0!</v>
      </c>
    </row>
    <row r="186" spans="1:8" x14ac:dyDescent="0.25">
      <c r="A186" t="str">
        <f t="shared" si="55"/>
        <v>Tozeur</v>
      </c>
      <c r="B186" s="45" t="e">
        <f t="shared" si="58"/>
        <v>#DIV/0!</v>
      </c>
      <c r="C186" s="45" t="e">
        <f t="shared" si="58"/>
        <v>#DIV/0!</v>
      </c>
      <c r="D186" s="45" t="e">
        <f t="shared" si="58"/>
        <v>#DIV/0!</v>
      </c>
      <c r="E186" s="23" t="e">
        <f t="shared" si="57"/>
        <v>#DIV/0!</v>
      </c>
    </row>
    <row r="187" spans="1:8" x14ac:dyDescent="0.25">
      <c r="A187" t="str">
        <f t="shared" si="55"/>
        <v>Kébili</v>
      </c>
      <c r="B187" s="45" t="e">
        <f t="shared" si="58"/>
        <v>#DIV/0!</v>
      </c>
      <c r="C187" s="45" t="e">
        <f t="shared" si="58"/>
        <v>#DIV/0!</v>
      </c>
      <c r="D187" s="45" t="e">
        <f t="shared" si="58"/>
        <v>#DIV/0!</v>
      </c>
      <c r="E187" s="23" t="e">
        <f t="shared" si="57"/>
        <v>#DIV/0!</v>
      </c>
    </row>
    <row r="188" spans="1:8" x14ac:dyDescent="0.25">
      <c r="A188" s="1" t="s">
        <v>163</v>
      </c>
      <c r="B188" s="23" t="e">
        <f>SUM(B164:B187)</f>
        <v>#DIV/0!</v>
      </c>
      <c r="C188" s="23" t="e">
        <f t="shared" ref="C188:E188" si="59">SUM(C164:C187)</f>
        <v>#DIV/0!</v>
      </c>
      <c r="D188" s="23" t="e">
        <f t="shared" si="59"/>
        <v>#DIV/0!</v>
      </c>
      <c r="E188" s="23" t="e">
        <f t="shared" si="59"/>
        <v>#DIV/0!</v>
      </c>
      <c r="G188" s="1"/>
      <c r="H188" s="1"/>
    </row>
    <row r="189" spans="1:8" x14ac:dyDescent="0.25">
      <c r="G189" s="1"/>
      <c r="H189" s="1"/>
    </row>
    <row r="190" spans="1:8" ht="18.75" x14ac:dyDescent="0.3">
      <c r="A190" s="12" t="s">
        <v>371</v>
      </c>
    </row>
    <row r="191" spans="1:8" x14ac:dyDescent="0.25">
      <c r="A191" t="s">
        <v>372</v>
      </c>
      <c r="C191" s="24">
        <f>K2</f>
        <v>134280440000</v>
      </c>
    </row>
    <row r="192" spans="1:8" ht="15.75" thickBot="1" x14ac:dyDescent="0.3">
      <c r="A192" t="s">
        <v>373</v>
      </c>
      <c r="C192" s="23">
        <f>K3</f>
        <v>46690000000</v>
      </c>
    </row>
    <row r="193" spans="1:8" x14ac:dyDescent="0.25">
      <c r="A193" s="846"/>
      <c r="B193" s="798" t="s">
        <v>374</v>
      </c>
      <c r="C193" s="848"/>
      <c r="D193" s="848"/>
      <c r="E193" s="848"/>
      <c r="F193" s="849"/>
      <c r="G193" s="850" t="s">
        <v>367</v>
      </c>
      <c r="H193" s="22"/>
    </row>
    <row r="194" spans="1:8" x14ac:dyDescent="0.25">
      <c r="A194" s="847"/>
      <c r="B194" s="15" t="s">
        <v>375</v>
      </c>
      <c r="C194" s="16" t="s">
        <v>376</v>
      </c>
      <c r="D194" s="16" t="s">
        <v>377</v>
      </c>
      <c r="E194" s="16" t="s">
        <v>378</v>
      </c>
      <c r="F194" s="16" t="s">
        <v>379</v>
      </c>
      <c r="G194" s="851"/>
      <c r="H194" s="22"/>
    </row>
    <row r="195" spans="1:8" x14ac:dyDescent="0.25">
      <c r="A195" s="143" t="str">
        <f>A164</f>
        <v>Tunis</v>
      </c>
      <c r="B195" s="242" t="e">
        <f>R34+R64</f>
        <v>#DIV/0!</v>
      </c>
      <c r="C195" s="242">
        <f>N97</f>
        <v>0</v>
      </c>
      <c r="D195" s="242">
        <f>Z132</f>
        <v>0</v>
      </c>
      <c r="E195" s="242" t="e">
        <f>E164</f>
        <v>#DIV/0!</v>
      </c>
      <c r="F195" s="214" t="e">
        <f>SUM(B195:E195)</f>
        <v>#DIV/0!</v>
      </c>
      <c r="G195" s="150" t="e">
        <f>F195/$C$192</f>
        <v>#DIV/0!</v>
      </c>
      <c r="H195" s="61"/>
    </row>
    <row r="196" spans="1:8" x14ac:dyDescent="0.25">
      <c r="A196" s="143" t="str">
        <f t="shared" ref="A196:A218" si="60">A165</f>
        <v>Ariana</v>
      </c>
      <c r="B196" s="242" t="e">
        <f t="shared" ref="B196:B218" si="61">R35+R65</f>
        <v>#DIV/0!</v>
      </c>
      <c r="C196" s="242">
        <f t="shared" ref="C196:C218" si="62">N98</f>
        <v>0</v>
      </c>
      <c r="D196" s="242">
        <f t="shared" ref="D196:D218" si="63">Z133</f>
        <v>0</v>
      </c>
      <c r="E196" s="242" t="e">
        <f t="shared" ref="E196:E218" si="64">E165</f>
        <v>#DIV/0!</v>
      </c>
      <c r="F196" s="214" t="e">
        <f t="shared" ref="F196:F218" si="65">SUM(B196:E196)</f>
        <v>#DIV/0!</v>
      </c>
      <c r="G196" s="150" t="e">
        <f t="shared" ref="G196:G219" si="66">F196/$C$192</f>
        <v>#DIV/0!</v>
      </c>
      <c r="H196" s="61"/>
    </row>
    <row r="197" spans="1:8" x14ac:dyDescent="0.25">
      <c r="A197" s="143" t="str">
        <f t="shared" si="60"/>
        <v>La Manouba</v>
      </c>
      <c r="B197" s="242" t="e">
        <f t="shared" si="61"/>
        <v>#DIV/0!</v>
      </c>
      <c r="C197" s="242">
        <f t="shared" si="62"/>
        <v>0</v>
      </c>
      <c r="D197" s="242">
        <f t="shared" si="63"/>
        <v>0</v>
      </c>
      <c r="E197" s="242" t="e">
        <f t="shared" si="64"/>
        <v>#DIV/0!</v>
      </c>
      <c r="F197" s="214" t="e">
        <f t="shared" si="65"/>
        <v>#DIV/0!</v>
      </c>
      <c r="G197" s="150" t="e">
        <f t="shared" si="66"/>
        <v>#DIV/0!</v>
      </c>
      <c r="H197" s="61"/>
    </row>
    <row r="198" spans="1:8" x14ac:dyDescent="0.25">
      <c r="A198" s="143" t="str">
        <f t="shared" si="60"/>
        <v>Ben Arous</v>
      </c>
      <c r="B198" s="242" t="e">
        <f t="shared" si="61"/>
        <v>#DIV/0!</v>
      </c>
      <c r="C198" s="242">
        <f t="shared" si="62"/>
        <v>0</v>
      </c>
      <c r="D198" s="242">
        <f t="shared" si="63"/>
        <v>0</v>
      </c>
      <c r="E198" s="242" t="e">
        <f t="shared" si="64"/>
        <v>#DIV/0!</v>
      </c>
      <c r="F198" s="214" t="e">
        <f t="shared" si="65"/>
        <v>#DIV/0!</v>
      </c>
      <c r="G198" s="150" t="e">
        <f t="shared" si="66"/>
        <v>#DIV/0!</v>
      </c>
      <c r="H198" s="61"/>
    </row>
    <row r="199" spans="1:8" x14ac:dyDescent="0.25">
      <c r="A199" s="143" t="str">
        <f t="shared" si="60"/>
        <v>Nabeul</v>
      </c>
      <c r="B199" s="242" t="e">
        <f t="shared" si="61"/>
        <v>#DIV/0!</v>
      </c>
      <c r="C199" s="242">
        <f t="shared" si="62"/>
        <v>0</v>
      </c>
      <c r="D199" s="242">
        <f t="shared" si="63"/>
        <v>0</v>
      </c>
      <c r="E199" s="242" t="e">
        <f t="shared" si="64"/>
        <v>#DIV/0!</v>
      </c>
      <c r="F199" s="214" t="e">
        <f t="shared" si="65"/>
        <v>#DIV/0!</v>
      </c>
      <c r="G199" s="150" t="e">
        <f t="shared" si="66"/>
        <v>#DIV/0!</v>
      </c>
      <c r="H199" s="61"/>
    </row>
    <row r="200" spans="1:8" x14ac:dyDescent="0.25">
      <c r="A200" s="143" t="str">
        <f t="shared" si="60"/>
        <v>Bizerte</v>
      </c>
      <c r="B200" s="242" t="e">
        <f t="shared" si="61"/>
        <v>#DIV/0!</v>
      </c>
      <c r="C200" s="242">
        <f t="shared" si="62"/>
        <v>0</v>
      </c>
      <c r="D200" s="242">
        <f t="shared" si="63"/>
        <v>0</v>
      </c>
      <c r="E200" s="242" t="e">
        <f t="shared" si="64"/>
        <v>#DIV/0!</v>
      </c>
      <c r="F200" s="214" t="e">
        <f t="shared" si="65"/>
        <v>#DIV/0!</v>
      </c>
      <c r="G200" s="150" t="e">
        <f t="shared" si="66"/>
        <v>#DIV/0!</v>
      </c>
      <c r="H200" s="61"/>
    </row>
    <row r="201" spans="1:8" x14ac:dyDescent="0.25">
      <c r="A201" s="143" t="str">
        <f t="shared" si="60"/>
        <v>Zaghouan</v>
      </c>
      <c r="B201" s="242" t="e">
        <f t="shared" si="61"/>
        <v>#DIV/0!</v>
      </c>
      <c r="C201" s="242">
        <f t="shared" si="62"/>
        <v>0</v>
      </c>
      <c r="D201" s="242">
        <f t="shared" si="63"/>
        <v>0</v>
      </c>
      <c r="E201" s="242" t="e">
        <f t="shared" si="64"/>
        <v>#DIV/0!</v>
      </c>
      <c r="F201" s="214" t="e">
        <f t="shared" si="65"/>
        <v>#DIV/0!</v>
      </c>
      <c r="G201" s="150" t="e">
        <f t="shared" si="66"/>
        <v>#DIV/0!</v>
      </c>
      <c r="H201" s="61"/>
    </row>
    <row r="202" spans="1:8" x14ac:dyDescent="0.25">
      <c r="A202" s="143" t="str">
        <f t="shared" si="60"/>
        <v>Béja</v>
      </c>
      <c r="B202" s="242" t="e">
        <f t="shared" si="61"/>
        <v>#DIV/0!</v>
      </c>
      <c r="C202" s="242">
        <f t="shared" si="62"/>
        <v>0</v>
      </c>
      <c r="D202" s="242">
        <f t="shared" si="63"/>
        <v>0</v>
      </c>
      <c r="E202" s="242" t="e">
        <f t="shared" si="64"/>
        <v>#DIV/0!</v>
      </c>
      <c r="F202" s="214" t="e">
        <f t="shared" si="65"/>
        <v>#DIV/0!</v>
      </c>
      <c r="G202" s="150" t="e">
        <f t="shared" si="66"/>
        <v>#DIV/0!</v>
      </c>
      <c r="H202" s="61"/>
    </row>
    <row r="203" spans="1:8" x14ac:dyDescent="0.25">
      <c r="A203" s="143" t="str">
        <f t="shared" si="60"/>
        <v>Jendouba</v>
      </c>
      <c r="B203" s="242" t="e">
        <f t="shared" si="61"/>
        <v>#DIV/0!</v>
      </c>
      <c r="C203" s="242">
        <f t="shared" si="62"/>
        <v>0</v>
      </c>
      <c r="D203" s="242">
        <f t="shared" si="63"/>
        <v>0</v>
      </c>
      <c r="E203" s="242" t="e">
        <f t="shared" si="64"/>
        <v>#DIV/0!</v>
      </c>
      <c r="F203" s="214" t="e">
        <f t="shared" si="65"/>
        <v>#DIV/0!</v>
      </c>
      <c r="G203" s="150" t="e">
        <f t="shared" si="66"/>
        <v>#DIV/0!</v>
      </c>
      <c r="H203" s="61"/>
    </row>
    <row r="204" spans="1:8" x14ac:dyDescent="0.25">
      <c r="A204" s="143" t="str">
        <f t="shared" si="60"/>
        <v>Le Kef</v>
      </c>
      <c r="B204" s="242" t="e">
        <f t="shared" si="61"/>
        <v>#DIV/0!</v>
      </c>
      <c r="C204" s="242">
        <f t="shared" si="62"/>
        <v>0</v>
      </c>
      <c r="D204" s="242">
        <f t="shared" si="63"/>
        <v>0</v>
      </c>
      <c r="E204" s="242" t="e">
        <f t="shared" si="64"/>
        <v>#DIV/0!</v>
      </c>
      <c r="F204" s="214" t="e">
        <f t="shared" si="65"/>
        <v>#DIV/0!</v>
      </c>
      <c r="G204" s="150" t="e">
        <f t="shared" si="66"/>
        <v>#DIV/0!</v>
      </c>
      <c r="H204" s="61"/>
    </row>
    <row r="205" spans="1:8" x14ac:dyDescent="0.25">
      <c r="A205" s="143" t="str">
        <f t="shared" si="60"/>
        <v>Siliana</v>
      </c>
      <c r="B205" s="242" t="e">
        <f t="shared" si="61"/>
        <v>#DIV/0!</v>
      </c>
      <c r="C205" s="242">
        <f t="shared" si="62"/>
        <v>0</v>
      </c>
      <c r="D205" s="242">
        <f t="shared" si="63"/>
        <v>0</v>
      </c>
      <c r="E205" s="242" t="e">
        <f t="shared" si="64"/>
        <v>#DIV/0!</v>
      </c>
      <c r="F205" s="214" t="e">
        <f t="shared" si="65"/>
        <v>#DIV/0!</v>
      </c>
      <c r="G205" s="150" t="e">
        <f t="shared" si="66"/>
        <v>#DIV/0!</v>
      </c>
      <c r="H205" s="61"/>
    </row>
    <row r="206" spans="1:8" x14ac:dyDescent="0.25">
      <c r="A206" s="143" t="str">
        <f t="shared" si="60"/>
        <v>Sousse</v>
      </c>
      <c r="B206" s="242" t="e">
        <f t="shared" si="61"/>
        <v>#DIV/0!</v>
      </c>
      <c r="C206" s="242">
        <f t="shared" si="62"/>
        <v>0</v>
      </c>
      <c r="D206" s="242">
        <f t="shared" si="63"/>
        <v>0</v>
      </c>
      <c r="E206" s="242" t="e">
        <f t="shared" si="64"/>
        <v>#DIV/0!</v>
      </c>
      <c r="F206" s="214" t="e">
        <f t="shared" si="65"/>
        <v>#DIV/0!</v>
      </c>
      <c r="G206" s="150" t="e">
        <f t="shared" si="66"/>
        <v>#DIV/0!</v>
      </c>
      <c r="H206" s="61"/>
    </row>
    <row r="207" spans="1:8" x14ac:dyDescent="0.25">
      <c r="A207" s="143" t="str">
        <f t="shared" si="60"/>
        <v>Monastir</v>
      </c>
      <c r="B207" s="242" t="e">
        <f t="shared" si="61"/>
        <v>#DIV/0!</v>
      </c>
      <c r="C207" s="242">
        <f t="shared" si="62"/>
        <v>0</v>
      </c>
      <c r="D207" s="242">
        <f t="shared" si="63"/>
        <v>0</v>
      </c>
      <c r="E207" s="242" t="e">
        <f t="shared" si="64"/>
        <v>#DIV/0!</v>
      </c>
      <c r="F207" s="214" t="e">
        <f t="shared" si="65"/>
        <v>#DIV/0!</v>
      </c>
      <c r="G207" s="150" t="e">
        <f t="shared" si="66"/>
        <v>#DIV/0!</v>
      </c>
      <c r="H207" s="61"/>
    </row>
    <row r="208" spans="1:8" x14ac:dyDescent="0.25">
      <c r="A208" s="143" t="str">
        <f t="shared" si="60"/>
        <v>Mahdia</v>
      </c>
      <c r="B208" s="242" t="e">
        <f t="shared" si="61"/>
        <v>#DIV/0!</v>
      </c>
      <c r="C208" s="242">
        <f t="shared" si="62"/>
        <v>0</v>
      </c>
      <c r="D208" s="242">
        <f t="shared" si="63"/>
        <v>0</v>
      </c>
      <c r="E208" s="242" t="e">
        <f t="shared" si="64"/>
        <v>#DIV/0!</v>
      </c>
      <c r="F208" s="214" t="e">
        <f t="shared" si="65"/>
        <v>#DIV/0!</v>
      </c>
      <c r="G208" s="150" t="e">
        <f t="shared" si="66"/>
        <v>#DIV/0!</v>
      </c>
      <c r="H208" s="61"/>
    </row>
    <row r="209" spans="1:17" x14ac:dyDescent="0.25">
      <c r="A209" s="143" t="str">
        <f t="shared" si="60"/>
        <v>Sfax</v>
      </c>
      <c r="B209" s="242" t="e">
        <f t="shared" si="61"/>
        <v>#DIV/0!</v>
      </c>
      <c r="C209" s="242">
        <f t="shared" si="62"/>
        <v>0</v>
      </c>
      <c r="D209" s="242">
        <f t="shared" si="63"/>
        <v>0</v>
      </c>
      <c r="E209" s="242" t="e">
        <f t="shared" si="64"/>
        <v>#DIV/0!</v>
      </c>
      <c r="F209" s="214" t="e">
        <f t="shared" si="65"/>
        <v>#DIV/0!</v>
      </c>
      <c r="G209" s="150" t="e">
        <f t="shared" si="66"/>
        <v>#DIV/0!</v>
      </c>
      <c r="H209" s="61"/>
    </row>
    <row r="210" spans="1:17" x14ac:dyDescent="0.25">
      <c r="A210" s="143" t="str">
        <f t="shared" si="60"/>
        <v>Kairouan</v>
      </c>
      <c r="B210" s="242" t="e">
        <f t="shared" si="61"/>
        <v>#DIV/0!</v>
      </c>
      <c r="C210" s="242">
        <f t="shared" si="62"/>
        <v>0</v>
      </c>
      <c r="D210" s="242">
        <f t="shared" si="63"/>
        <v>0</v>
      </c>
      <c r="E210" s="242" t="e">
        <f t="shared" si="64"/>
        <v>#DIV/0!</v>
      </c>
      <c r="F210" s="214" t="e">
        <f t="shared" si="65"/>
        <v>#DIV/0!</v>
      </c>
      <c r="G210" s="150" t="e">
        <f t="shared" si="66"/>
        <v>#DIV/0!</v>
      </c>
      <c r="H210" s="61"/>
      <c r="K210" s="1" t="s">
        <v>380</v>
      </c>
    </row>
    <row r="211" spans="1:17" x14ac:dyDescent="0.25">
      <c r="A211" s="143" t="str">
        <f t="shared" si="60"/>
        <v>Kasserine</v>
      </c>
      <c r="B211" s="242" t="e">
        <f t="shared" si="61"/>
        <v>#DIV/0!</v>
      </c>
      <c r="C211" s="242">
        <f t="shared" si="62"/>
        <v>0</v>
      </c>
      <c r="D211" s="242">
        <f t="shared" si="63"/>
        <v>0</v>
      </c>
      <c r="E211" s="242" t="e">
        <f t="shared" si="64"/>
        <v>#DIV/0!</v>
      </c>
      <c r="F211" s="214" t="e">
        <f t="shared" si="65"/>
        <v>#DIV/0!</v>
      </c>
      <c r="G211" s="150" t="e">
        <f t="shared" si="66"/>
        <v>#DIV/0!</v>
      </c>
      <c r="H211" s="61"/>
      <c r="K211" t="s">
        <v>381</v>
      </c>
      <c r="L211" t="s">
        <v>382</v>
      </c>
      <c r="M211" t="s">
        <v>383</v>
      </c>
      <c r="N211" t="s">
        <v>384</v>
      </c>
      <c r="O211" t="s">
        <v>385</v>
      </c>
      <c r="P211" t="s">
        <v>386</v>
      </c>
      <c r="Q211" t="s">
        <v>213</v>
      </c>
    </row>
    <row r="212" spans="1:17" x14ac:dyDescent="0.25">
      <c r="A212" s="143" t="str">
        <f t="shared" si="60"/>
        <v>Sidi Bouzid</v>
      </c>
      <c r="B212" s="242" t="e">
        <f t="shared" si="61"/>
        <v>#DIV/0!</v>
      </c>
      <c r="C212" s="242">
        <f t="shared" si="62"/>
        <v>0</v>
      </c>
      <c r="D212" s="242">
        <f t="shared" si="63"/>
        <v>0</v>
      </c>
      <c r="E212" s="242" t="e">
        <f t="shared" si="64"/>
        <v>#DIV/0!</v>
      </c>
      <c r="F212" s="214" t="e">
        <f t="shared" si="65"/>
        <v>#DIV/0!</v>
      </c>
      <c r="G212" s="150" t="e">
        <f t="shared" si="66"/>
        <v>#DIV/0!</v>
      </c>
      <c r="H212" s="61"/>
      <c r="J212" t="s">
        <v>387</v>
      </c>
      <c r="K212" s="186">
        <v>425</v>
      </c>
      <c r="L212" s="186">
        <v>395</v>
      </c>
      <c r="M212" s="186">
        <v>478</v>
      </c>
      <c r="N212" s="186">
        <v>460</v>
      </c>
      <c r="O212" s="186">
        <v>405</v>
      </c>
      <c r="P212" s="186">
        <v>539</v>
      </c>
      <c r="Q212" s="187">
        <f>SUMPRODUCT(K212:P212,K213:P213)/Q213</f>
        <v>450.92541087231353</v>
      </c>
    </row>
    <row r="213" spans="1:17" x14ac:dyDescent="0.25">
      <c r="A213" s="143" t="str">
        <f t="shared" si="60"/>
        <v>Gafsa</v>
      </c>
      <c r="B213" s="242" t="e">
        <f t="shared" si="61"/>
        <v>#DIV/0!</v>
      </c>
      <c r="C213" s="242">
        <f t="shared" si="62"/>
        <v>0</v>
      </c>
      <c r="D213" s="242">
        <f t="shared" si="63"/>
        <v>0</v>
      </c>
      <c r="E213" s="242" t="e">
        <f t="shared" si="64"/>
        <v>#DIV/0!</v>
      </c>
      <c r="F213" s="214" t="e">
        <f t="shared" si="65"/>
        <v>#DIV/0!</v>
      </c>
      <c r="G213" s="150" t="e">
        <f t="shared" si="66"/>
        <v>#DIV/0!</v>
      </c>
      <c r="H213" s="61"/>
      <c r="J213" t="s">
        <v>388</v>
      </c>
      <c r="K213">
        <v>11.7</v>
      </c>
      <c r="L213">
        <v>12.3</v>
      </c>
      <c r="M213">
        <v>22.8</v>
      </c>
      <c r="N213">
        <v>45</v>
      </c>
      <c r="O213">
        <v>43.9</v>
      </c>
      <c r="P213">
        <v>22.5</v>
      </c>
      <c r="Q213" s="9">
        <f>SUM(K213:P213)</f>
        <v>158.19999999999999</v>
      </c>
    </row>
    <row r="214" spans="1:17" x14ac:dyDescent="0.25">
      <c r="A214" s="143" t="str">
        <f t="shared" si="60"/>
        <v>Gabès</v>
      </c>
      <c r="B214" s="242" t="e">
        <f t="shared" si="61"/>
        <v>#DIV/0!</v>
      </c>
      <c r="C214" s="242">
        <f t="shared" si="62"/>
        <v>0</v>
      </c>
      <c r="D214" s="242">
        <f t="shared" si="63"/>
        <v>0</v>
      </c>
      <c r="E214" s="242" t="e">
        <f t="shared" si="64"/>
        <v>#DIV/0!</v>
      </c>
      <c r="F214" s="214" t="e">
        <f t="shared" si="65"/>
        <v>#DIV/0!</v>
      </c>
      <c r="G214" s="150" t="e">
        <f t="shared" si="66"/>
        <v>#DIV/0!</v>
      </c>
      <c r="H214" s="61"/>
    </row>
    <row r="215" spans="1:17" x14ac:dyDescent="0.25">
      <c r="A215" s="143" t="str">
        <f t="shared" si="60"/>
        <v>Médenine</v>
      </c>
      <c r="B215" s="242" t="e">
        <f t="shared" si="61"/>
        <v>#DIV/0!</v>
      </c>
      <c r="C215" s="242">
        <f t="shared" si="62"/>
        <v>0</v>
      </c>
      <c r="D215" s="242">
        <f t="shared" si="63"/>
        <v>0</v>
      </c>
      <c r="E215" s="242" t="e">
        <f t="shared" si="64"/>
        <v>#DIV/0!</v>
      </c>
      <c r="F215" s="214" t="e">
        <f t="shared" si="65"/>
        <v>#DIV/0!</v>
      </c>
      <c r="G215" s="150" t="e">
        <f t="shared" si="66"/>
        <v>#DIV/0!</v>
      </c>
      <c r="H215" s="61"/>
      <c r="J215" t="s">
        <v>82</v>
      </c>
      <c r="K215" s="20" t="s">
        <v>389</v>
      </c>
      <c r="O215" s="20" t="s">
        <v>390</v>
      </c>
    </row>
    <row r="216" spans="1:17" x14ac:dyDescent="0.25">
      <c r="A216" s="143" t="str">
        <f t="shared" si="60"/>
        <v>Tataouine</v>
      </c>
      <c r="B216" s="242" t="e">
        <f t="shared" si="61"/>
        <v>#DIV/0!</v>
      </c>
      <c r="C216" s="242">
        <f t="shared" si="62"/>
        <v>0</v>
      </c>
      <c r="D216" s="242">
        <f t="shared" si="63"/>
        <v>0</v>
      </c>
      <c r="E216" s="242" t="e">
        <f t="shared" si="64"/>
        <v>#DIV/0!</v>
      </c>
      <c r="F216" s="214" t="e">
        <f t="shared" si="65"/>
        <v>#DIV/0!</v>
      </c>
      <c r="G216" s="150" t="e">
        <f t="shared" si="66"/>
        <v>#DIV/0!</v>
      </c>
      <c r="H216" s="61"/>
      <c r="J216" s="838" t="s">
        <v>391</v>
      </c>
      <c r="K216" s="838"/>
      <c r="L216" s="838"/>
    </row>
    <row r="217" spans="1:17" x14ac:dyDescent="0.25">
      <c r="A217" s="143" t="str">
        <f t="shared" si="60"/>
        <v>Tozeur</v>
      </c>
      <c r="B217" s="242" t="e">
        <f t="shared" si="61"/>
        <v>#DIV/0!</v>
      </c>
      <c r="C217" s="242">
        <f t="shared" si="62"/>
        <v>0</v>
      </c>
      <c r="D217" s="242">
        <f t="shared" si="63"/>
        <v>0</v>
      </c>
      <c r="E217" s="242" t="e">
        <f t="shared" si="64"/>
        <v>#DIV/0!</v>
      </c>
      <c r="F217" s="214" t="e">
        <f t="shared" si="65"/>
        <v>#DIV/0!</v>
      </c>
      <c r="G217" s="150" t="e">
        <f t="shared" si="66"/>
        <v>#DIV/0!</v>
      </c>
      <c r="H217" s="61"/>
      <c r="L217" t="s">
        <v>392</v>
      </c>
    </row>
    <row r="218" spans="1:17" x14ac:dyDescent="0.25">
      <c r="A218" s="143" t="str">
        <f t="shared" si="60"/>
        <v>Kébili</v>
      </c>
      <c r="B218" s="242" t="e">
        <f t="shared" si="61"/>
        <v>#DIV/0!</v>
      </c>
      <c r="C218" s="242">
        <f t="shared" si="62"/>
        <v>0</v>
      </c>
      <c r="D218" s="242">
        <f t="shared" si="63"/>
        <v>0</v>
      </c>
      <c r="E218" s="242" t="e">
        <f t="shared" si="64"/>
        <v>#DIV/0!</v>
      </c>
      <c r="F218" s="214" t="e">
        <f t="shared" si="65"/>
        <v>#DIV/0!</v>
      </c>
      <c r="G218" s="150" t="e">
        <f t="shared" si="66"/>
        <v>#DIV/0!</v>
      </c>
      <c r="H218" s="61"/>
      <c r="L218" s="188">
        <f>Q212</f>
        <v>450.92541087231353</v>
      </c>
    </row>
    <row r="219" spans="1:17" x14ac:dyDescent="0.25">
      <c r="A219" s="144" t="s">
        <v>163</v>
      </c>
      <c r="B219" s="214" t="e">
        <f>SUM(B195:B218)</f>
        <v>#DIV/0!</v>
      </c>
      <c r="C219" s="214">
        <f t="shared" ref="C219:E219" si="67">SUM(C195:C218)</f>
        <v>0</v>
      </c>
      <c r="D219" s="214">
        <f t="shared" si="67"/>
        <v>0</v>
      </c>
      <c r="E219" s="214" t="e">
        <f t="shared" si="67"/>
        <v>#DIV/0!</v>
      </c>
      <c r="F219" s="214" t="e">
        <f>SUM(B219:E219)</f>
        <v>#DIV/0!</v>
      </c>
      <c r="G219" s="150" t="e">
        <f t="shared" si="66"/>
        <v>#DIV/0!</v>
      </c>
      <c r="H219" s="61"/>
    </row>
    <row r="220" spans="1:17" ht="15.75" thickBot="1" x14ac:dyDescent="0.3">
      <c r="A220" s="145" t="s">
        <v>393</v>
      </c>
      <c r="B220" s="165" t="e">
        <f>B219/'Summary-all-crops'!$C$3</f>
        <v>#DIV/0!</v>
      </c>
      <c r="C220" s="165">
        <f>C219/'Summary-all-crops'!$C$3</f>
        <v>0</v>
      </c>
      <c r="D220" s="165">
        <f>D219/'Summary-all-crops'!$C$3</f>
        <v>0</v>
      </c>
      <c r="E220" s="165" t="e">
        <f>E219/'Summary-all-crops'!$C$3</f>
        <v>#DIV/0!</v>
      </c>
      <c r="F220" s="165" t="e">
        <f>F219/'Summary-all-crops'!$C$3</f>
        <v>#DIV/0!</v>
      </c>
      <c r="G220" s="497" t="e">
        <f>F220=G219</f>
        <v>#DIV/0!</v>
      </c>
    </row>
    <row r="221" spans="1:17" x14ac:dyDescent="0.25">
      <c r="F221" s="92" t="e">
        <f>F219*K1</f>
        <v>#DIV/0!</v>
      </c>
      <c r="G221" s="498" t="e">
        <f>SUM(F195:F218)=F219</f>
        <v>#DIV/0!</v>
      </c>
    </row>
    <row r="223" spans="1:17" x14ac:dyDescent="0.25">
      <c r="A223" s="845" t="s">
        <v>394</v>
      </c>
      <c r="B223" s="845"/>
      <c r="C223" s="845"/>
      <c r="D223" s="845"/>
      <c r="E223" s="845"/>
      <c r="F223" s="845"/>
      <c r="G223" s="845"/>
      <c r="H223" s="845"/>
      <c r="I223" s="845"/>
      <c r="J223" s="845"/>
      <c r="K223" s="845"/>
      <c r="L223" s="845"/>
      <c r="M223" s="845"/>
      <c r="N223" s="845"/>
      <c r="O223" s="845"/>
      <c r="P223" s="845"/>
      <c r="Q223" s="845"/>
    </row>
    <row r="224" spans="1:17" x14ac:dyDescent="0.25">
      <c r="A224" s="24">
        <f>N58</f>
        <v>0</v>
      </c>
      <c r="B224" s="62" t="s">
        <v>395</v>
      </c>
      <c r="C224" s="6"/>
      <c r="D224" s="6"/>
      <c r="E224" s="6"/>
      <c r="F224" s="6"/>
      <c r="G224" s="6"/>
      <c r="H224" s="6"/>
      <c r="I224" s="6"/>
      <c r="J224" s="6"/>
      <c r="K224" s="6"/>
      <c r="L224" s="6"/>
      <c r="M224" s="6"/>
      <c r="N224" s="6"/>
      <c r="O224" s="6"/>
      <c r="P224" s="6"/>
      <c r="Q224" s="6"/>
    </row>
    <row r="225" spans="1:17" x14ac:dyDescent="0.25">
      <c r="A225" s="24" t="e">
        <f>N88</f>
        <v>#DIV/0!</v>
      </c>
      <c r="B225" s="62" t="s">
        <v>396</v>
      </c>
      <c r="C225" s="6"/>
      <c r="D225" s="6"/>
      <c r="E225" s="6"/>
      <c r="F225" s="6"/>
      <c r="G225" s="6"/>
      <c r="H225" s="6"/>
      <c r="I225" s="6"/>
      <c r="J225" s="6"/>
      <c r="K225" s="6"/>
      <c r="L225" s="6"/>
      <c r="M225" s="6"/>
      <c r="N225" s="6"/>
      <c r="O225" s="6"/>
      <c r="P225" s="6"/>
      <c r="Q225" s="6"/>
    </row>
    <row r="226" spans="1:17" x14ac:dyDescent="0.25">
      <c r="A226" s="24" t="e">
        <f>F219</f>
        <v>#DIV/0!</v>
      </c>
      <c r="B226" s="6" t="s">
        <v>397</v>
      </c>
      <c r="C226" s="24" t="e">
        <f>A226*K1</f>
        <v>#DIV/0!</v>
      </c>
      <c r="D226" s="6" t="s">
        <v>398</v>
      </c>
      <c r="E226" s="6"/>
      <c r="F226" s="176" t="e">
        <f>G219</f>
        <v>#DIV/0!</v>
      </c>
      <c r="G226" s="6" t="s">
        <v>399</v>
      </c>
      <c r="H226" s="6"/>
      <c r="I226" s="6"/>
      <c r="J226" s="6"/>
      <c r="K226" s="6"/>
      <c r="L226" s="6"/>
      <c r="M226" s="6"/>
      <c r="N226" s="6"/>
      <c r="O226" s="6"/>
      <c r="P226" s="6"/>
      <c r="Q226" s="6"/>
    </row>
  </sheetData>
  <mergeCells count="44">
    <mergeCell ref="AC14:AG16"/>
    <mergeCell ref="A223:Q223"/>
    <mergeCell ref="J216:L216"/>
    <mergeCell ref="A161:A163"/>
    <mergeCell ref="B161:E161"/>
    <mergeCell ref="A193:A194"/>
    <mergeCell ref="B193:F193"/>
    <mergeCell ref="G193:G194"/>
    <mergeCell ref="B32:B33"/>
    <mergeCell ref="C32:F32"/>
    <mergeCell ref="G32:J32"/>
    <mergeCell ref="K32:N32"/>
    <mergeCell ref="O32:R32"/>
    <mergeCell ref="C89:E89"/>
    <mergeCell ref="T130:T131"/>
    <mergeCell ref="U130:U131"/>
    <mergeCell ref="A1:E1"/>
    <mergeCell ref="B62:B63"/>
    <mergeCell ref="C62:F62"/>
    <mergeCell ref="C59:E59"/>
    <mergeCell ref="A18:B18"/>
    <mergeCell ref="A26:D26"/>
    <mergeCell ref="A27:B27"/>
    <mergeCell ref="D17:E17"/>
    <mergeCell ref="V130:V131"/>
    <mergeCell ref="G62:J62"/>
    <mergeCell ref="K62:N62"/>
    <mergeCell ref="O62:R62"/>
    <mergeCell ref="AB130:AG130"/>
    <mergeCell ref="Z130:Z131"/>
    <mergeCell ref="W130:W131"/>
    <mergeCell ref="R130:R131"/>
    <mergeCell ref="S130:S131"/>
    <mergeCell ref="A95:A96"/>
    <mergeCell ref="B95:B96"/>
    <mergeCell ref="C95:F95"/>
    <mergeCell ref="G95:J95"/>
    <mergeCell ref="K95:N95"/>
    <mergeCell ref="A129:A130"/>
    <mergeCell ref="B129:F129"/>
    <mergeCell ref="C130:E130"/>
    <mergeCell ref="F130:I130"/>
    <mergeCell ref="N130:Q130"/>
    <mergeCell ref="J130:M130"/>
  </mergeCells>
  <phoneticPr fontId="50" type="noConversion"/>
  <hyperlinks>
    <hyperlink ref="O61" r:id="rId1" display="https://www.semanticscholar.org/paper/Differences-in-grain%2Fstraw-ratio%2C-protein-content-Konvalina-Stehno/c8920241b02879926ffb06363c1fe2306dde4d96/figure/4" xr:uid="{7A7AD933-020A-4A2B-8E3A-7E01BFA58646}"/>
    <hyperlink ref="H61" r:id="rId2" xr:uid="{1B712F51-CE15-4722-AEDF-A3C537444693}"/>
    <hyperlink ref="I128" r:id="rId3" xr:uid="{6455FCC0-0C8C-4875-9888-FE43F0553907}"/>
    <hyperlink ref="X61" r:id="rId4" xr:uid="{2DDDA93B-E514-483D-87B7-6F0265FA20A7}"/>
    <hyperlink ref="K215" r:id="rId5" xr:uid="{E504E5BD-CEC8-4C47-9904-6E8968631876}"/>
    <hyperlink ref="O215" r:id="rId6" xr:uid="{45233C6B-9478-4EA5-8598-8696DA5677BE}"/>
    <hyperlink ref="H123" r:id="rId7" xr:uid="{159732F1-0042-44F5-BFB8-F3E006B7CABA}"/>
    <hyperlink ref="H125" r:id="rId8" location=":~:text=The%20study%2C%20published%20today%20in,estimate%20of%20%2451%20per%20ton. " xr:uid="{FF2B42BC-A775-47DE-92E9-7225AA0B6FB6}"/>
  </hyperlinks>
  <pageMargins left="0.7" right="0.7" top="0.75" bottom="0.75" header="0.3" footer="0.3"/>
  <pageSetup orientation="portrait" r:id="rId9"/>
  <legacyDrawing r:id="rId1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FB355-FFAC-425E-9429-D26F1FC82CBD}">
  <dimension ref="A1:AO229"/>
  <sheetViews>
    <sheetView topLeftCell="A215" workbookViewId="0">
      <selection activeCell="AC13" sqref="AC13:AH16"/>
    </sheetView>
  </sheetViews>
  <sheetFormatPr defaultRowHeight="15" x14ac:dyDescent="0.25"/>
  <cols>
    <col min="1" max="1" width="14.5703125" bestFit="1" customWidth="1"/>
    <col min="2" max="2" width="25.5703125" customWidth="1"/>
    <col min="3" max="3" width="24.5703125" customWidth="1"/>
    <col min="4" max="4" width="18.85546875" customWidth="1"/>
    <col min="5" max="5" width="23.140625" customWidth="1"/>
    <col min="6" max="6" width="22" customWidth="1"/>
    <col min="7" max="7" width="19" customWidth="1"/>
    <col min="8" max="8" width="13.5703125" customWidth="1"/>
    <col min="9" max="9" width="12.140625" customWidth="1"/>
    <col min="10" max="10" width="20.140625" customWidth="1"/>
    <col min="11" max="11" width="16.425781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13.5703125" customWidth="1"/>
    <col min="23" max="23" width="14.140625" bestFit="1" customWidth="1"/>
    <col min="24" max="24" width="22.42578125" customWidth="1"/>
    <col min="25" max="25" width="25.42578125" bestFit="1" customWidth="1"/>
    <col min="26" max="26" width="13.85546875" customWidth="1"/>
    <col min="27" max="27" width="16.5703125" bestFit="1" customWidth="1"/>
    <col min="28" max="29" width="20.5703125" bestFit="1" customWidth="1"/>
    <col min="30" max="30" width="15.85546875" bestFit="1" customWidth="1"/>
    <col min="31" max="31" width="12.42578125" bestFit="1" customWidth="1"/>
    <col min="32" max="32" width="16.85546875" customWidth="1"/>
    <col min="33" max="33" width="21.85546875" customWidth="1"/>
    <col min="34" max="34" width="16.28515625" bestFit="1" customWidth="1"/>
    <col min="36" max="36" width="13.5703125" customWidth="1"/>
    <col min="37" max="37" width="10.5703125" customWidth="1"/>
    <col min="38" max="38" width="10.5703125" bestFit="1" customWidth="1"/>
  </cols>
  <sheetData>
    <row r="1" spans="1:34" ht="18.75" x14ac:dyDescent="0.3">
      <c r="A1" s="841" t="s">
        <v>255</v>
      </c>
      <c r="B1" s="841"/>
      <c r="C1" s="841"/>
      <c r="D1" s="841"/>
      <c r="E1" s="841"/>
      <c r="F1" s="12"/>
      <c r="G1" s="12"/>
      <c r="H1" s="58"/>
      <c r="J1" s="1" t="s">
        <v>400</v>
      </c>
      <c r="K1" s="445">
        <f>'Prices,exch.rates,harvest index'!M2</f>
        <v>2.8759999999999999</v>
      </c>
      <c r="L1" s="1" t="s">
        <v>257</v>
      </c>
      <c r="M1" s="1"/>
      <c r="N1" s="1"/>
      <c r="O1" s="1"/>
    </row>
    <row r="2" spans="1:34" x14ac:dyDescent="0.25">
      <c r="A2" s="3" t="s">
        <v>260</v>
      </c>
      <c r="B2" s="8" t="s">
        <v>261</v>
      </c>
      <c r="C2" s="8"/>
      <c r="D2" s="8"/>
      <c r="E2" s="4"/>
      <c r="G2" s="3"/>
      <c r="H2" s="3"/>
    </row>
    <row r="3" spans="1:34" x14ac:dyDescent="0.25">
      <c r="A3" s="3"/>
      <c r="B3" s="10" t="s">
        <v>263</v>
      </c>
      <c r="C3" s="10"/>
      <c r="D3" s="10"/>
      <c r="E3" s="10"/>
      <c r="F3" s="1"/>
      <c r="G3" s="1"/>
      <c r="H3" s="1"/>
      <c r="I3" s="1"/>
      <c r="J3" s="1"/>
      <c r="K3" s="1"/>
      <c r="L3" s="1"/>
      <c r="M3" s="1"/>
      <c r="N3" s="1"/>
      <c r="O3" s="1"/>
      <c r="P3" s="1"/>
      <c r="Q3" s="1"/>
    </row>
    <row r="4" spans="1:34" x14ac:dyDescent="0.25">
      <c r="A4" s="3"/>
      <c r="B4" s="7" t="s">
        <v>265</v>
      </c>
      <c r="C4" s="62"/>
      <c r="D4" s="62"/>
      <c r="E4" s="62"/>
      <c r="F4" s="1"/>
      <c r="G4" s="1"/>
      <c r="H4" s="1"/>
      <c r="I4" s="1"/>
      <c r="J4" s="1"/>
      <c r="K4" s="1"/>
      <c r="L4" s="1"/>
      <c r="M4" s="1"/>
      <c r="N4" s="1"/>
      <c r="O4" s="1"/>
      <c r="P4" s="1"/>
      <c r="Q4" s="1"/>
    </row>
    <row r="5" spans="1:34" x14ac:dyDescent="0.25">
      <c r="A5" s="3"/>
      <c r="B5" s="183" t="s">
        <v>266</v>
      </c>
      <c r="C5" s="136"/>
      <c r="D5" s="136"/>
      <c r="E5" s="136"/>
      <c r="F5" s="1"/>
      <c r="G5" s="1"/>
      <c r="H5" s="1"/>
      <c r="I5" s="1"/>
      <c r="J5" s="1" t="s">
        <v>267</v>
      </c>
      <c r="K5" s="445">
        <f>'Prices,exch.rates,harvest index'!N2</f>
        <v>1.43</v>
      </c>
      <c r="L5" s="1" t="s">
        <v>257</v>
      </c>
      <c r="M5" s="1"/>
      <c r="N5" s="1"/>
      <c r="O5" s="1"/>
      <c r="P5" s="1"/>
      <c r="Q5" s="1"/>
    </row>
    <row r="6" spans="1:34" x14ac:dyDescent="0.25">
      <c r="A6" s="3"/>
      <c r="B6" s="293" t="s">
        <v>268</v>
      </c>
      <c r="C6" s="294"/>
      <c r="D6" s="294"/>
      <c r="E6" s="294"/>
      <c r="F6" s="1"/>
      <c r="G6" s="1"/>
      <c r="H6" s="1"/>
      <c r="I6" s="1"/>
      <c r="J6" s="1"/>
      <c r="K6" s="1"/>
      <c r="L6" s="1"/>
      <c r="M6" s="1"/>
      <c r="N6" s="1"/>
      <c r="O6" s="1"/>
      <c r="P6" s="1"/>
      <c r="Q6" s="1"/>
    </row>
    <row r="7" spans="1:34" x14ac:dyDescent="0.25">
      <c r="A7" s="7" t="s">
        <v>269</v>
      </c>
      <c r="B7" s="7"/>
      <c r="C7" s="7"/>
      <c r="D7" s="7"/>
      <c r="E7" s="7"/>
      <c r="F7" s="7"/>
      <c r="G7" s="7"/>
      <c r="H7" s="7"/>
      <c r="I7" s="6"/>
      <c r="J7" s="6"/>
      <c r="K7" s="6"/>
      <c r="L7" s="6"/>
      <c r="M7" s="6"/>
      <c r="N7" s="6"/>
      <c r="O7" s="6"/>
      <c r="P7" s="6"/>
      <c r="Q7" s="6"/>
      <c r="R7" s="6"/>
      <c r="S7" s="6"/>
      <c r="T7" s="6"/>
    </row>
    <row r="8" spans="1:34" ht="14.45" customHeight="1" x14ac:dyDescent="0.25">
      <c r="A8" s="7" t="s">
        <v>270</v>
      </c>
      <c r="B8" s="7"/>
      <c r="C8" s="7"/>
      <c r="D8" s="7"/>
      <c r="E8" s="7"/>
      <c r="F8" s="7"/>
      <c r="G8" s="7"/>
      <c r="H8" s="7"/>
      <c r="I8" s="7"/>
      <c r="J8" s="7"/>
      <c r="K8" s="7"/>
      <c r="L8" s="7"/>
      <c r="M8" s="7"/>
      <c r="N8" s="7"/>
      <c r="O8" s="7"/>
      <c r="P8" s="7"/>
      <c r="Q8" s="7"/>
      <c r="R8" s="7"/>
      <c r="S8" s="7"/>
      <c r="T8" s="7"/>
    </row>
    <row r="9" spans="1:34" ht="14.45" customHeight="1" x14ac:dyDescent="0.25">
      <c r="A9" s="7"/>
      <c r="B9" s="7"/>
      <c r="C9" s="7"/>
      <c r="D9" s="7"/>
      <c r="E9" s="7"/>
      <c r="F9" s="7"/>
      <c r="G9" s="7"/>
      <c r="H9" s="7"/>
      <c r="I9" s="7"/>
      <c r="J9" s="7"/>
      <c r="K9" s="7"/>
      <c r="L9" s="7"/>
      <c r="M9" s="7"/>
      <c r="N9" s="7"/>
      <c r="O9" s="7"/>
      <c r="P9" s="7"/>
      <c r="Q9" s="7"/>
      <c r="R9" s="7"/>
      <c r="S9" s="7"/>
      <c r="T9" s="7"/>
    </row>
    <row r="10" spans="1:34" ht="14.45" customHeight="1" x14ac:dyDescent="0.25">
      <c r="A10" s="7"/>
      <c r="B10" s="7"/>
      <c r="C10" s="7"/>
      <c r="D10" s="7"/>
      <c r="E10" s="7"/>
      <c r="F10" s="7"/>
      <c r="G10" s="7"/>
      <c r="H10" s="7"/>
      <c r="I10" s="7"/>
      <c r="J10" s="7"/>
      <c r="K10" s="7"/>
      <c r="L10" s="7"/>
      <c r="M10" s="7"/>
      <c r="N10" s="7"/>
      <c r="O10" s="7"/>
      <c r="P10" s="7"/>
      <c r="Q10" s="7"/>
      <c r="R10" s="7"/>
      <c r="S10" s="7"/>
      <c r="T10" s="7"/>
    </row>
    <row r="11" spans="1:34" ht="14.45" customHeight="1" x14ac:dyDescent="0.25">
      <c r="A11" s="3"/>
      <c r="B11" s="3"/>
      <c r="C11" s="3"/>
      <c r="D11" s="3"/>
      <c r="E11" s="3"/>
      <c r="F11" s="3"/>
      <c r="G11" s="3"/>
      <c r="H11" s="3"/>
      <c r="I11" s="3"/>
      <c r="J11" s="3"/>
      <c r="K11" s="3"/>
      <c r="L11" s="3"/>
      <c r="M11" s="3"/>
      <c r="N11" s="3"/>
      <c r="O11" s="3"/>
      <c r="P11" s="3"/>
      <c r="Q11" s="3"/>
      <c r="R11" s="3"/>
      <c r="S11" s="3"/>
      <c r="T11" s="3"/>
    </row>
    <row r="12" spans="1:34" ht="27" customHeight="1" x14ac:dyDescent="0.25">
      <c r="A12" s="194" t="s">
        <v>401</v>
      </c>
      <c r="B12" s="15" t="s">
        <v>103</v>
      </c>
      <c r="C12" s="15" t="s">
        <v>276</v>
      </c>
      <c r="D12" s="195" t="s">
        <v>277</v>
      </c>
      <c r="E12" s="195" t="s">
        <v>278</v>
      </c>
      <c r="F12" s="194" t="s">
        <v>279</v>
      </c>
      <c r="G12" s="194" t="s">
        <v>280</v>
      </c>
      <c r="H12" s="3"/>
      <c r="I12" s="3"/>
      <c r="J12" s="3"/>
      <c r="K12" s="3"/>
      <c r="L12" s="3"/>
      <c r="M12" s="3"/>
      <c r="N12" s="3"/>
      <c r="O12" s="3"/>
      <c r="P12" s="3"/>
      <c r="Q12" s="3"/>
      <c r="R12" s="3"/>
      <c r="S12" s="3"/>
      <c r="T12" s="3"/>
      <c r="U12" s="3"/>
      <c r="V12" s="3" t="s">
        <v>281</v>
      </c>
    </row>
    <row r="13" spans="1:34" ht="14.45" customHeight="1" x14ac:dyDescent="0.25">
      <c r="A13" s="199" t="s">
        <v>25</v>
      </c>
      <c r="B13" s="242">
        <f>'Prices,exch.rates,harvest index'!I9</f>
        <v>0</v>
      </c>
      <c r="C13" s="242">
        <v>40932</v>
      </c>
      <c r="D13" s="242">
        <f>'Prices,exch.rates,harvest index'!E9</f>
        <v>0</v>
      </c>
      <c r="E13" s="242">
        <f>'Prices,exch.rates,harvest index'!E42</f>
        <v>0</v>
      </c>
      <c r="F13" s="242">
        <f>'Prices,exch.rates,harvest index'!F9</f>
        <v>0</v>
      </c>
      <c r="G13" s="242">
        <f>'Prices,exch.rates,harvest index'!F42</f>
        <v>0</v>
      </c>
      <c r="H13" s="3"/>
      <c r="I13" s="3"/>
      <c r="J13" s="3"/>
      <c r="K13" s="3"/>
      <c r="L13" s="3"/>
      <c r="M13" s="3"/>
      <c r="N13" s="3"/>
      <c r="O13" s="3"/>
      <c r="P13" s="3"/>
      <c r="Q13" s="3"/>
      <c r="R13" s="3"/>
      <c r="S13" s="3"/>
      <c r="T13" s="3"/>
      <c r="U13" s="3"/>
      <c r="V13" s="3" t="s">
        <v>282</v>
      </c>
      <c r="Z13" s="705">
        <v>0.1</v>
      </c>
      <c r="AC13" s="852" t="s">
        <v>1258</v>
      </c>
      <c r="AD13" s="852"/>
      <c r="AE13" s="852"/>
      <c r="AF13" s="852"/>
      <c r="AG13" s="852"/>
      <c r="AH13" s="852"/>
    </row>
    <row r="14" spans="1:34" ht="14.45" customHeight="1" x14ac:dyDescent="0.25">
      <c r="A14" s="199" t="s">
        <v>402</v>
      </c>
      <c r="B14" s="242">
        <f>'Prices,exch.rates,harvest index'!I10</f>
        <v>0</v>
      </c>
      <c r="C14" s="242">
        <v>319015</v>
      </c>
      <c r="D14" s="242">
        <f>'Prices,exch.rates,harvest index'!E10</f>
        <v>0</v>
      </c>
      <c r="E14" s="242">
        <f>'Prices,exch.rates,harvest index'!E41</f>
        <v>0</v>
      </c>
      <c r="F14" s="242">
        <f>'Prices,exch.rates,harvest index'!F10</f>
        <v>0</v>
      </c>
      <c r="G14" s="242">
        <f>'Prices,exch.rates,harvest index'!F41</f>
        <v>0</v>
      </c>
      <c r="H14" s="3"/>
      <c r="I14" s="3"/>
      <c r="J14" s="3"/>
      <c r="K14" s="3"/>
      <c r="L14" s="3"/>
      <c r="M14" s="3"/>
      <c r="N14" s="3"/>
      <c r="O14" s="3"/>
      <c r="P14" s="3"/>
      <c r="Q14" s="3"/>
      <c r="R14" s="3"/>
      <c r="S14" s="3"/>
      <c r="T14" s="3"/>
      <c r="U14" s="3"/>
      <c r="V14" s="3" t="s">
        <v>283</v>
      </c>
      <c r="Z14" s="705">
        <v>0.1</v>
      </c>
      <c r="AC14" s="852"/>
      <c r="AD14" s="852"/>
      <c r="AE14" s="852"/>
      <c r="AF14" s="852"/>
      <c r="AG14" s="852"/>
      <c r="AH14" s="852"/>
    </row>
    <row r="15" spans="1:34" ht="14.45" customHeight="1" x14ac:dyDescent="0.25">
      <c r="A15" s="199" t="s">
        <v>403</v>
      </c>
      <c r="B15" s="242">
        <f>'Prices,exch.rates,harvest index'!I11</f>
        <v>0</v>
      </c>
      <c r="C15" s="242">
        <v>1203.9000000000001</v>
      </c>
      <c r="D15" s="242">
        <f>'Prices,exch.rates,harvest index'!E11</f>
        <v>0</v>
      </c>
      <c r="E15" s="242">
        <f>'Prices,exch.rates,harvest index'!E41</f>
        <v>0</v>
      </c>
      <c r="F15" s="242">
        <f>'Prices,exch.rates,harvest index'!F11</f>
        <v>0</v>
      </c>
      <c r="G15" s="242">
        <f>'Prices,exch.rates,harvest index'!F41</f>
        <v>0</v>
      </c>
      <c r="H15" s="3"/>
      <c r="I15" s="3"/>
      <c r="J15" s="3"/>
      <c r="K15" s="3"/>
      <c r="L15" s="3"/>
      <c r="M15" s="3"/>
      <c r="N15" s="3"/>
      <c r="O15" s="3"/>
      <c r="P15" s="3"/>
      <c r="Q15" s="3"/>
      <c r="R15" s="3"/>
      <c r="S15" s="3"/>
      <c r="T15" s="3"/>
      <c r="U15" s="3"/>
      <c r="AC15" s="852"/>
      <c r="AD15" s="852"/>
      <c r="AE15" s="852"/>
      <c r="AF15" s="852"/>
      <c r="AG15" s="852"/>
      <c r="AH15" s="852"/>
    </row>
    <row r="16" spans="1:34" ht="14.45" customHeight="1" x14ac:dyDescent="0.25">
      <c r="A16" s="199" t="s">
        <v>404</v>
      </c>
      <c r="B16" s="242"/>
      <c r="C16" s="242"/>
      <c r="D16" s="242">
        <f>'Prices,exch.rates,harvest index'!E12</f>
        <v>0</v>
      </c>
      <c r="E16" s="242"/>
      <c r="F16" s="242">
        <f>'Prices,exch.rates,harvest index'!F12</f>
        <v>0</v>
      </c>
      <c r="G16" s="242"/>
      <c r="H16" s="3"/>
      <c r="I16" s="3"/>
      <c r="J16" s="3"/>
      <c r="K16" s="3"/>
      <c r="L16" s="3"/>
      <c r="M16" s="3"/>
      <c r="N16" s="3"/>
      <c r="O16" s="3"/>
      <c r="P16" s="3"/>
      <c r="Q16" s="3"/>
      <c r="R16" s="3"/>
      <c r="S16" s="3"/>
      <c r="T16" s="3"/>
      <c r="U16" s="3"/>
      <c r="X16" s="1" t="s">
        <v>405</v>
      </c>
      <c r="AC16" s="852"/>
      <c r="AD16" s="852"/>
      <c r="AE16" s="852"/>
      <c r="AF16" s="852"/>
      <c r="AG16" s="852"/>
      <c r="AH16" s="852"/>
    </row>
    <row r="17" spans="1:41" ht="14.45" customHeight="1" x14ac:dyDescent="0.25">
      <c r="A17" s="199" t="s">
        <v>406</v>
      </c>
      <c r="B17" s="242"/>
      <c r="C17" s="242"/>
      <c r="D17" s="242"/>
      <c r="E17" s="242"/>
      <c r="F17" s="242"/>
      <c r="G17" s="242"/>
      <c r="H17" s="3"/>
      <c r="I17" s="3"/>
      <c r="J17" s="3"/>
      <c r="K17" s="3"/>
      <c r="L17" s="3"/>
      <c r="M17" s="3"/>
      <c r="N17" s="3"/>
      <c r="O17" s="3"/>
      <c r="P17" s="3"/>
      <c r="Q17" s="3"/>
      <c r="R17" s="3"/>
      <c r="S17" s="3"/>
      <c r="T17" s="3"/>
      <c r="U17" s="3"/>
      <c r="W17" s="1" t="s">
        <v>136</v>
      </c>
      <c r="X17" s="1" t="s">
        <v>137</v>
      </c>
      <c r="Y17" s="1" t="s">
        <v>289</v>
      </c>
      <c r="Z17" s="22" t="s">
        <v>290</v>
      </c>
      <c r="AA17" s="1" t="s">
        <v>291</v>
      </c>
      <c r="AB17" s="15" t="s">
        <v>292</v>
      </c>
      <c r="AC17" s="15" t="s">
        <v>200</v>
      </c>
      <c r="AD17" s="1" t="s">
        <v>293</v>
      </c>
      <c r="AE17" s="1" t="s">
        <v>294</v>
      </c>
      <c r="AF17" s="1" t="s">
        <v>295</v>
      </c>
      <c r="AG17" s="1"/>
      <c r="AH17" s="1"/>
    </row>
    <row r="18" spans="1:41" ht="14.45" customHeight="1" x14ac:dyDescent="0.25">
      <c r="A18" s="199" t="s">
        <v>407</v>
      </c>
      <c r="B18" s="242"/>
      <c r="C18" s="242"/>
      <c r="D18" s="242"/>
      <c r="E18" s="242"/>
      <c r="F18" s="242"/>
      <c r="G18" s="242"/>
      <c r="H18" s="3"/>
      <c r="I18" s="3"/>
      <c r="J18" s="3"/>
      <c r="K18" s="3"/>
      <c r="L18" s="3"/>
      <c r="M18" s="3"/>
      <c r="N18" s="3"/>
      <c r="O18" s="3"/>
      <c r="P18" s="3"/>
      <c r="Q18" s="3"/>
      <c r="R18" s="3"/>
      <c r="S18" s="3"/>
      <c r="T18" s="3"/>
      <c r="U18" s="3"/>
      <c r="V18" s="13" t="s">
        <v>139</v>
      </c>
      <c r="W18" s="295">
        <v>0</v>
      </c>
      <c r="X18" s="295">
        <v>0</v>
      </c>
      <c r="Y18" s="295">
        <v>0</v>
      </c>
      <c r="Z18" s="95">
        <f>'Yield-data'!D5</f>
        <v>0</v>
      </c>
      <c r="AA18" s="9">
        <f>Z18*B37</f>
        <v>0</v>
      </c>
      <c r="AB18" s="206">
        <f>'Yield-penalty-by-LD-class'!D4</f>
        <v>0</v>
      </c>
      <c r="AC18" s="206">
        <f>'Yield-penalty-by-LD-class'!E4</f>
        <v>0</v>
      </c>
      <c r="AD18" s="95">
        <v>0</v>
      </c>
      <c r="AE18" s="9">
        <v>0</v>
      </c>
      <c r="AF18" s="95">
        <f>SUMPRODUCT(W18:Y18,C37:E37)-Z18</f>
        <v>0</v>
      </c>
    </row>
    <row r="19" spans="1:41" ht="31.5" customHeight="1" x14ac:dyDescent="0.25">
      <c r="A19" s="194" t="s">
        <v>120</v>
      </c>
      <c r="B19" s="307">
        <f>SUM(B13:B18)</f>
        <v>0</v>
      </c>
      <c r="C19" s="307">
        <f>SUM(C13:C18)</f>
        <v>361150.9</v>
      </c>
      <c r="D19" s="307">
        <f>SUMPRODUCT($C13:$C18,D13:D18)/$C19</f>
        <v>0</v>
      </c>
      <c r="E19" s="307">
        <f t="shared" ref="E19:G19" si="0">SUMPRODUCT($C13:$C18,E13:E18)/$C19</f>
        <v>0</v>
      </c>
      <c r="F19" s="307">
        <f t="shared" si="0"/>
        <v>0</v>
      </c>
      <c r="G19" s="307">
        <f t="shared" si="0"/>
        <v>0</v>
      </c>
      <c r="J19" s="22"/>
      <c r="K19" s="44"/>
      <c r="L19" s="44"/>
      <c r="M19" s="1"/>
      <c r="R19" s="18"/>
      <c r="S19" s="44"/>
      <c r="T19" s="265"/>
      <c r="V19" s="13" t="s">
        <v>140</v>
      </c>
      <c r="W19" s="295">
        <v>1.8282360571645579</v>
      </c>
      <c r="X19" s="295">
        <v>1.5235300476370772</v>
      </c>
      <c r="Y19" s="295">
        <v>1.1285411432677281</v>
      </c>
      <c r="Z19" s="95">
        <f>'Yield-data'!D6</f>
        <v>0</v>
      </c>
      <c r="AA19" s="9">
        <f t="shared" ref="AA19:AA42" si="1">Z19*B38</f>
        <v>0</v>
      </c>
      <c r="AB19" s="206">
        <f>'Yield-penalty-by-LD-class'!D5</f>
        <v>0</v>
      </c>
      <c r="AC19" s="206">
        <f>'Yield-penalty-by-LD-class'!E5</f>
        <v>0</v>
      </c>
      <c r="AD19" s="95">
        <f>IFERROR(((W19-X19)/X19)-AB19,"")</f>
        <v>0.20000000000004284</v>
      </c>
      <c r="AE19" s="9">
        <f>IFERROR(((X19-Y19)/Y19)-AC19,"")</f>
        <v>0.34999956069447824</v>
      </c>
      <c r="AF19" s="95">
        <f>SUMPRODUCT(W19:Y19,C38:E38)-Z19</f>
        <v>0</v>
      </c>
    </row>
    <row r="20" spans="1:41" ht="15.75" x14ac:dyDescent="0.25">
      <c r="A20" s="86"/>
      <c r="B20" s="201"/>
      <c r="C20" s="308"/>
      <c r="D20" s="814" t="s">
        <v>287</v>
      </c>
      <c r="E20" s="814"/>
      <c r="J20" s="22"/>
      <c r="K20" s="44"/>
      <c r="L20" s="1"/>
      <c r="M20" s="49"/>
      <c r="N20" s="1"/>
      <c r="O20" s="265"/>
      <c r="Q20" s="18"/>
      <c r="T20" s="2"/>
      <c r="V20" s="13" t="s">
        <v>141</v>
      </c>
      <c r="W20" s="295">
        <v>0.62487032017550281</v>
      </c>
      <c r="X20" s="295">
        <v>0.52072526681291875</v>
      </c>
      <c r="Y20" s="295">
        <v>0.38572263593161799</v>
      </c>
      <c r="Z20" s="95">
        <f>'Yield-data'!D7</f>
        <v>0</v>
      </c>
      <c r="AA20" s="9">
        <f t="shared" si="1"/>
        <v>0</v>
      </c>
      <c r="AB20" s="206">
        <f>'Yield-penalty-by-LD-class'!D6</f>
        <v>0</v>
      </c>
      <c r="AC20" s="206">
        <f>'Yield-penalty-by-LD-class'!E6</f>
        <v>0</v>
      </c>
      <c r="AD20" s="95">
        <f t="shared" ref="AD20:AD43" si="2">IFERROR(((W20-X20)/X20)-AB20,"")</f>
        <v>0.20000000000000059</v>
      </c>
      <c r="AE20" s="9">
        <f t="shared" ref="AE20:AE37" si="3">IFERROR(((X20-Y20)/Y20)-AC20,"")</f>
        <v>0.34999924377068298</v>
      </c>
      <c r="AF20" s="95">
        <f t="shared" ref="AF20:AF43" si="4">SUMPRODUCT(W20:Y20,C39:E39)-Z20</f>
        <v>0</v>
      </c>
    </row>
    <row r="21" spans="1:41" ht="28.5" customHeight="1" thickBot="1" x14ac:dyDescent="0.4">
      <c r="A21" s="843" t="s">
        <v>296</v>
      </c>
      <c r="B21" s="843"/>
      <c r="C21" s="18"/>
      <c r="D21" s="18">
        <v>2021</v>
      </c>
      <c r="E21" s="18">
        <v>2010</v>
      </c>
      <c r="F21" s="18">
        <v>2021</v>
      </c>
      <c r="G21" s="18">
        <v>2010</v>
      </c>
      <c r="K21" s="440"/>
      <c r="L21" s="441"/>
      <c r="P21" s="18"/>
      <c r="S21" s="443"/>
      <c r="T21" s="444"/>
      <c r="U21" s="196"/>
      <c r="V21" s="13" t="s">
        <v>142</v>
      </c>
      <c r="W21" s="295">
        <v>4.969866115465367E-2</v>
      </c>
      <c r="X21" s="295">
        <v>4.1415545552080622E-2</v>
      </c>
      <c r="Y21" s="295">
        <v>3.0678161090413769E-2</v>
      </c>
      <c r="Z21" s="95">
        <f>'Yield-data'!D8</f>
        <v>0</v>
      </c>
      <c r="AA21" s="9">
        <f t="shared" si="1"/>
        <v>0</v>
      </c>
      <c r="AB21" s="206">
        <f>'Yield-penalty-by-LD-class'!D7</f>
        <v>0</v>
      </c>
      <c r="AC21" s="206">
        <f>'Yield-penalty-by-LD-class'!E7</f>
        <v>0</v>
      </c>
      <c r="AD21" s="95">
        <f t="shared" si="2"/>
        <v>0.20000015675652311</v>
      </c>
      <c r="AE21" s="9">
        <f t="shared" si="3"/>
        <v>0.35000091530981764</v>
      </c>
      <c r="AF21" s="95">
        <f t="shared" si="4"/>
        <v>0</v>
      </c>
    </row>
    <row r="22" spans="1:41" ht="15.75" thickBot="1" x14ac:dyDescent="0.3">
      <c r="A22" s="1" t="s">
        <v>408</v>
      </c>
      <c r="B22" s="1"/>
      <c r="C22" s="1"/>
      <c r="D22" s="214">
        <f>D19/K1</f>
        <v>0</v>
      </c>
      <c r="E22" s="312">
        <f>F19/K5</f>
        <v>0</v>
      </c>
      <c r="F22" s="214">
        <f>D19</f>
        <v>0</v>
      </c>
      <c r="G22" s="312">
        <f>F19</f>
        <v>0</v>
      </c>
      <c r="K22" s="246"/>
      <c r="L22" s="441"/>
      <c r="S22" s="443"/>
      <c r="T22" s="444"/>
      <c r="U22" s="196"/>
      <c r="V22" s="13" t="s">
        <v>143</v>
      </c>
      <c r="W22" s="295">
        <v>1.1866717066965569</v>
      </c>
      <c r="X22" s="295">
        <v>0.98889309397128722</v>
      </c>
      <c r="Y22" s="295">
        <v>0.73251385600351959</v>
      </c>
      <c r="Z22" s="95">
        <f>'Yield-data'!D9</f>
        <v>0</v>
      </c>
      <c r="AA22" s="9">
        <f t="shared" si="1"/>
        <v>0</v>
      </c>
      <c r="AB22" s="206">
        <f>'Yield-penalty-by-LD-class'!D8</f>
        <v>0</v>
      </c>
      <c r="AC22" s="206">
        <f>'Yield-penalty-by-LD-class'!E8</f>
        <v>0</v>
      </c>
      <c r="AD22" s="95">
        <f t="shared" si="2"/>
        <v>0.19999999386284742</v>
      </c>
      <c r="AE22" s="9">
        <f t="shared" si="3"/>
        <v>0.34999916502130407</v>
      </c>
      <c r="AF22" s="95">
        <f t="shared" si="4"/>
        <v>0</v>
      </c>
    </row>
    <row r="23" spans="1:41" ht="15.75" thickBot="1" x14ac:dyDescent="0.3">
      <c r="A23" s="1" t="s">
        <v>409</v>
      </c>
      <c r="B23" s="1"/>
      <c r="C23" s="1"/>
      <c r="D23" s="214">
        <f>E19/K1</f>
        <v>0</v>
      </c>
      <c r="E23" s="312">
        <f>G19/K5</f>
        <v>0</v>
      </c>
      <c r="F23" s="214">
        <f>E19</f>
        <v>0</v>
      </c>
      <c r="G23" s="312">
        <f>G19</f>
        <v>0</v>
      </c>
      <c r="K23" s="246"/>
      <c r="L23" s="441"/>
      <c r="S23" s="443"/>
      <c r="T23" s="444"/>
      <c r="V23" s="13" t="s">
        <v>144</v>
      </c>
      <c r="W23" s="295">
        <v>1.5348486056920041</v>
      </c>
      <c r="X23" s="295">
        <v>1.2790405053954221</v>
      </c>
      <c r="Y23" s="295">
        <v>0.9474376389652901</v>
      </c>
      <c r="Z23" s="95">
        <f>'Yield-data'!D10</f>
        <v>0</v>
      </c>
      <c r="AA23" s="9">
        <f t="shared" si="1"/>
        <v>0</v>
      </c>
      <c r="AB23" s="206">
        <f>'Yield-penalty-by-LD-class'!D9</f>
        <v>0</v>
      </c>
      <c r="AC23" s="206">
        <f>'Yield-penalty-by-LD-class'!E9</f>
        <v>0</v>
      </c>
      <c r="AD23" s="95">
        <f t="shared" si="2"/>
        <v>0.19999999938821136</v>
      </c>
      <c r="AE23" s="9">
        <f t="shared" si="3"/>
        <v>0.34999967574887586</v>
      </c>
      <c r="AF23" s="95">
        <f t="shared" si="4"/>
        <v>0</v>
      </c>
    </row>
    <row r="24" spans="1:41" ht="15.75" thickBot="1" x14ac:dyDescent="0.3">
      <c r="A24" s="1"/>
      <c r="B24" s="1"/>
      <c r="C24" s="1"/>
      <c r="D24" s="80" t="s">
        <v>299</v>
      </c>
      <c r="E24" s="17" t="s">
        <v>300</v>
      </c>
      <c r="F24" s="126"/>
      <c r="K24" s="246"/>
      <c r="L24" s="441"/>
      <c r="S24" s="443"/>
      <c r="T24" s="444"/>
      <c r="V24" s="13" t="s">
        <v>145</v>
      </c>
      <c r="W24" s="295">
        <v>0.29641690204463989</v>
      </c>
      <c r="X24" s="295">
        <v>0.24701408507310349</v>
      </c>
      <c r="Y24" s="295">
        <v>0.18297342698828301</v>
      </c>
      <c r="Z24" s="95">
        <f>'Yield-data'!D11</f>
        <v>0</v>
      </c>
      <c r="AA24" s="9">
        <f t="shared" si="1"/>
        <v>0</v>
      </c>
      <c r="AB24" s="206">
        <f>'Yield-penalty-by-LD-class'!D10</f>
        <v>0</v>
      </c>
      <c r="AC24" s="206">
        <f>'Yield-penalty-by-LD-class'!E10</f>
        <v>0</v>
      </c>
      <c r="AD24" s="95">
        <f t="shared" si="2"/>
        <v>0.19999999982557956</v>
      </c>
      <c r="AE24" s="9">
        <f t="shared" si="3"/>
        <v>0.34999977395035309</v>
      </c>
      <c r="AF24" s="95">
        <f t="shared" si="4"/>
        <v>0</v>
      </c>
    </row>
    <row r="25" spans="1:41" ht="15.75" thickBot="1" x14ac:dyDescent="0.3">
      <c r="A25" s="1" t="s">
        <v>301</v>
      </c>
      <c r="B25" s="1"/>
      <c r="C25" s="1"/>
      <c r="D25" s="124">
        <f>(F22-G22)/($F$21-$G$21)/K1</f>
        <v>0</v>
      </c>
      <c r="E25" s="124">
        <f>(F23-G23)/(F21-G21)/K5</f>
        <v>0</v>
      </c>
      <c r="M25" s="44"/>
      <c r="N25" s="44"/>
      <c r="O25" s="44"/>
      <c r="P25" s="44"/>
      <c r="Q25" s="44"/>
      <c r="S25" s="443"/>
      <c r="T25" s="444"/>
      <c r="V25" s="13" t="s">
        <v>146</v>
      </c>
      <c r="W25" s="295">
        <v>1.1247806777538634</v>
      </c>
      <c r="X25" s="295">
        <v>0.93731723216119689</v>
      </c>
      <c r="Y25" s="295">
        <v>0.69430934646341713</v>
      </c>
      <c r="Z25" s="95">
        <f>'Yield-data'!D12</f>
        <v>0</v>
      </c>
      <c r="AA25" s="9">
        <f t="shared" si="1"/>
        <v>0</v>
      </c>
      <c r="AB25" s="206">
        <f>'Yield-penalty-by-LD-class'!D11</f>
        <v>0</v>
      </c>
      <c r="AC25" s="206">
        <f>'Yield-penalty-by-LD-class'!E11</f>
        <v>0</v>
      </c>
      <c r="AD25" s="95">
        <f t="shared" si="2"/>
        <v>0.19999999910428096</v>
      </c>
      <c r="AE25" s="9">
        <f t="shared" si="3"/>
        <v>0.34999944467920791</v>
      </c>
      <c r="AF25" s="95">
        <f t="shared" si="4"/>
        <v>0</v>
      </c>
    </row>
    <row r="26" spans="1:41" ht="15.75" thickBot="1" x14ac:dyDescent="0.3">
      <c r="A26" s="1" t="s">
        <v>302</v>
      </c>
      <c r="B26" s="1"/>
      <c r="C26" s="1"/>
      <c r="D26" s="124">
        <f>D25*$F$27</f>
        <v>0</v>
      </c>
      <c r="E26" s="124">
        <f>E25*$F$27</f>
        <v>0</v>
      </c>
      <c r="F26" s="1"/>
      <c r="M26" s="1"/>
      <c r="N26" s="1"/>
      <c r="O26" s="1"/>
      <c r="P26" s="1"/>
      <c r="Q26" s="1"/>
      <c r="S26" s="443"/>
      <c r="T26" s="444"/>
      <c r="V26" s="13" t="s">
        <v>147</v>
      </c>
      <c r="W26" s="295">
        <v>1.1427103428406382</v>
      </c>
      <c r="X26" s="295">
        <v>0.95225861956776314</v>
      </c>
      <c r="Y26" s="295">
        <v>0.70537704385527589</v>
      </c>
      <c r="Z26" s="95">
        <f>'Yield-data'!D13</f>
        <v>0</v>
      </c>
      <c r="AA26" s="9">
        <f t="shared" si="1"/>
        <v>0</v>
      </c>
      <c r="AB26" s="206">
        <f>'Yield-penalty-by-LD-class'!D12</f>
        <v>0</v>
      </c>
      <c r="AC26" s="206">
        <f>'Yield-penalty-by-LD-class'!E12</f>
        <v>0</v>
      </c>
      <c r="AD26" s="95">
        <f t="shared" si="2"/>
        <v>0.19999999932720214</v>
      </c>
      <c r="AE26" s="9">
        <f t="shared" si="3"/>
        <v>0.34999944761902491</v>
      </c>
      <c r="AF26" s="95">
        <f t="shared" si="4"/>
        <v>0</v>
      </c>
    </row>
    <row r="27" spans="1:41" ht="15.75" thickBot="1" x14ac:dyDescent="0.3">
      <c r="A27" s="1" t="s">
        <v>303</v>
      </c>
      <c r="B27" s="1"/>
      <c r="C27" s="176">
        <f>'Cereals-all-year'!C24</f>
        <v>6.0970000000000003E-2</v>
      </c>
      <c r="D27" s="1"/>
      <c r="E27" s="1" t="s">
        <v>304</v>
      </c>
      <c r="F27" s="78">
        <f>1/(1+C27)</f>
        <v>0.94253371914380235</v>
      </c>
      <c r="M27" s="33"/>
      <c r="N27" s="33"/>
      <c r="O27" s="33"/>
      <c r="P27" s="33"/>
      <c r="S27" s="443"/>
      <c r="T27" s="444"/>
      <c r="V27" s="13" t="s">
        <v>148</v>
      </c>
      <c r="W27" s="295">
        <v>0.71239499661127992</v>
      </c>
      <c r="X27" s="295">
        <v>0.56991599728902387</v>
      </c>
      <c r="Y27" s="295">
        <v>0.39304573912949636</v>
      </c>
      <c r="Z27" s="95">
        <f>'Yield-data'!D14</f>
        <v>0</v>
      </c>
      <c r="AA27" s="9">
        <f t="shared" si="1"/>
        <v>0</v>
      </c>
      <c r="AB27" s="206">
        <f>'Yield-penalty-by-LD-class'!D13</f>
        <v>0</v>
      </c>
      <c r="AC27" s="206">
        <f>'Yield-penalty-by-LD-class'!E13</f>
        <v>0</v>
      </c>
      <c r="AD27" s="95">
        <f t="shared" si="2"/>
        <v>0.25000000000000017</v>
      </c>
      <c r="AE27" s="9">
        <f t="shared" si="3"/>
        <v>0.44999917452674443</v>
      </c>
      <c r="AF27" s="95">
        <f t="shared" si="4"/>
        <v>0</v>
      </c>
    </row>
    <row r="28" spans="1:41" ht="28.5" customHeight="1" thickBot="1" x14ac:dyDescent="0.3">
      <c r="A28" s="1"/>
      <c r="B28" s="1"/>
      <c r="C28" s="1"/>
      <c r="D28" s="1"/>
      <c r="E28" s="1"/>
      <c r="M28" s="33"/>
      <c r="N28" s="33"/>
      <c r="O28" s="33"/>
      <c r="P28" s="33"/>
      <c r="S28" s="443"/>
      <c r="T28" s="444"/>
      <c r="V28" s="13" t="s">
        <v>149</v>
      </c>
      <c r="W28" s="295">
        <v>0.74628279436616585</v>
      </c>
      <c r="X28" s="295">
        <v>0.59702623553261236</v>
      </c>
      <c r="Y28" s="295">
        <v>0.41174232201016975</v>
      </c>
      <c r="Z28" s="95">
        <f>'Yield-data'!D15</f>
        <v>0</v>
      </c>
      <c r="AA28" s="9">
        <f t="shared" si="1"/>
        <v>0</v>
      </c>
      <c r="AB28" s="206">
        <f>'Yield-penalty-by-LD-class'!D14</f>
        <v>0</v>
      </c>
      <c r="AC28" s="206">
        <f>'Yield-penalty-by-LD-class'!E14</f>
        <v>0</v>
      </c>
      <c r="AD28" s="95">
        <f t="shared" ref="AD28" si="5">IFERROR(((W28-X28)/X28)-AB28,"")</f>
        <v>0.24999999991692223</v>
      </c>
      <c r="AE28" s="9">
        <f>IFERROR(((X28-Y28)/Y28)-AC28,"")</f>
        <v>0.44999968091175779</v>
      </c>
      <c r="AF28" s="95">
        <f t="shared" si="4"/>
        <v>0</v>
      </c>
    </row>
    <row r="29" spans="1:41" ht="28.5" customHeight="1" thickBot="1" x14ac:dyDescent="0.3">
      <c r="A29" s="844" t="s">
        <v>305</v>
      </c>
      <c r="B29" s="844"/>
      <c r="C29" s="844"/>
      <c r="D29" s="844"/>
      <c r="E29" s="18"/>
      <c r="M29" s="33"/>
      <c r="N29" s="33"/>
      <c r="O29" s="33"/>
      <c r="P29" s="33"/>
      <c r="S29" s="443"/>
      <c r="T29" s="444"/>
      <c r="V29" s="13" t="s">
        <v>150</v>
      </c>
      <c r="W29" s="295">
        <v>0</v>
      </c>
      <c r="X29" s="295">
        <v>0</v>
      </c>
      <c r="Y29" s="295">
        <v>0</v>
      </c>
      <c r="Z29" s="95">
        <f>'Yield-data'!D16</f>
        <v>0</v>
      </c>
      <c r="AA29" s="9">
        <f t="shared" si="1"/>
        <v>0</v>
      </c>
      <c r="AB29" s="206">
        <f>'Yield-penalty-by-LD-class'!D15</f>
        <v>0</v>
      </c>
      <c r="AC29" s="206">
        <f>'Yield-penalty-by-LD-class'!E15</f>
        <v>0</v>
      </c>
      <c r="AD29" s="95">
        <v>0</v>
      </c>
      <c r="AE29" s="9">
        <v>0</v>
      </c>
      <c r="AF29" s="95">
        <f t="shared" si="4"/>
        <v>0</v>
      </c>
    </row>
    <row r="30" spans="1:41" ht="15.75" thickBot="1" x14ac:dyDescent="0.3">
      <c r="A30" s="844" t="s">
        <v>306</v>
      </c>
      <c r="B30" s="844"/>
      <c r="C30" s="18"/>
      <c r="D30" s="18"/>
      <c r="E30" s="18"/>
      <c r="M30" s="33"/>
      <c r="N30" s="33"/>
      <c r="O30" s="33"/>
      <c r="P30" s="33"/>
      <c r="S30" s="443"/>
      <c r="T30" s="444"/>
      <c r="V30" s="13" t="s">
        <v>151</v>
      </c>
      <c r="W30" s="295">
        <v>0</v>
      </c>
      <c r="X30" s="295">
        <v>0</v>
      </c>
      <c r="Y30" s="295">
        <v>0</v>
      </c>
      <c r="Z30" s="95">
        <f>'Yield-data'!D17</f>
        <v>0</v>
      </c>
      <c r="AA30" s="9">
        <f t="shared" si="1"/>
        <v>0</v>
      </c>
      <c r="AB30" s="206">
        <f>'Yield-penalty-by-LD-class'!D16</f>
        <v>0</v>
      </c>
      <c r="AC30" s="206">
        <f>'Yield-penalty-by-LD-class'!E16</f>
        <v>0</v>
      </c>
      <c r="AD30" s="95" t="str">
        <f t="shared" si="2"/>
        <v/>
      </c>
      <c r="AE30" s="9" t="str">
        <f t="shared" si="3"/>
        <v/>
      </c>
      <c r="AF30" s="95">
        <f t="shared" si="4"/>
        <v>0</v>
      </c>
    </row>
    <row r="31" spans="1:41" ht="27.6" customHeight="1" x14ac:dyDescent="0.25">
      <c r="A31" s="3" t="s">
        <v>410</v>
      </c>
      <c r="B31" s="3"/>
      <c r="C31" s="3"/>
      <c r="D31" s="3"/>
      <c r="E31" s="3"/>
      <c r="M31" s="34"/>
      <c r="N31" s="34"/>
      <c r="O31" s="34"/>
      <c r="P31" s="34"/>
      <c r="Q31" s="35"/>
      <c r="V31" s="13" t="s">
        <v>152</v>
      </c>
      <c r="W31" s="295">
        <v>0.6265585175431031</v>
      </c>
      <c r="X31" s="295">
        <v>0.50124688366118442</v>
      </c>
      <c r="Y31" s="295">
        <v>0.34568750636559448</v>
      </c>
      <c r="Z31" s="95">
        <f>'Yield-data'!D18</f>
        <v>0</v>
      </c>
      <c r="AA31" s="9">
        <f t="shared" si="1"/>
        <v>0</v>
      </c>
      <c r="AB31" s="206">
        <f>'Yield-penalty-by-LD-class'!D17</f>
        <v>0</v>
      </c>
      <c r="AC31" s="206">
        <f>'Yield-penalty-by-LD-class'!E17</f>
        <v>0</v>
      </c>
      <c r="AD31" s="95">
        <f t="shared" si="2"/>
        <v>0.24999982636624735</v>
      </c>
      <c r="AE31" s="9">
        <f>IFERROR(((X31-Y31)/Y31)-AC31,"")</f>
        <v>0.44999999835421423</v>
      </c>
      <c r="AF31" s="95">
        <f t="shared" si="4"/>
        <v>0</v>
      </c>
      <c r="AL31" s="1"/>
      <c r="AM31" s="1"/>
      <c r="AN31" s="1"/>
      <c r="AO31" s="22"/>
    </row>
    <row r="32" spans="1:41" x14ac:dyDescent="0.25">
      <c r="A32" s="1" t="s">
        <v>308</v>
      </c>
      <c r="F32" s="1"/>
      <c r="V32" s="13" t="s">
        <v>153</v>
      </c>
      <c r="W32" s="295">
        <v>0</v>
      </c>
      <c r="X32" s="295">
        <v>0</v>
      </c>
      <c r="Y32" s="295">
        <v>0</v>
      </c>
      <c r="Z32" s="95">
        <f>'Yield-data'!D19</f>
        <v>0</v>
      </c>
      <c r="AA32" s="9">
        <f t="shared" si="1"/>
        <v>0</v>
      </c>
      <c r="AB32" s="206">
        <f>'Yield-penalty-by-LD-class'!D18</f>
        <v>0</v>
      </c>
      <c r="AC32" s="206">
        <f>'Yield-penalty-by-LD-class'!E18</f>
        <v>0</v>
      </c>
      <c r="AD32" s="95" t="str">
        <f t="shared" si="2"/>
        <v/>
      </c>
      <c r="AE32" s="9" t="str">
        <f t="shared" si="3"/>
        <v/>
      </c>
      <c r="AF32" s="95">
        <f t="shared" si="4"/>
        <v>0</v>
      </c>
      <c r="AH32" s="2"/>
      <c r="AL32" s="49"/>
      <c r="AM32" s="49"/>
      <c r="AN32" s="49"/>
      <c r="AO32" s="49"/>
    </row>
    <row r="33" spans="1:41" x14ac:dyDescent="0.25">
      <c r="V33" s="13" t="s">
        <v>154</v>
      </c>
      <c r="W33" s="295">
        <v>1.5348451329802355</v>
      </c>
      <c r="X33" s="295">
        <v>1.2278761059759826</v>
      </c>
      <c r="Y33" s="295">
        <v>0.84681113423220411</v>
      </c>
      <c r="Z33" s="95">
        <f>'Yield-data'!D20</f>
        <v>0</v>
      </c>
      <c r="AA33" s="9">
        <f t="shared" si="1"/>
        <v>0</v>
      </c>
      <c r="AB33" s="206">
        <f>'Yield-penalty-by-LD-class'!D19</f>
        <v>0</v>
      </c>
      <c r="AC33" s="206">
        <f>'Yield-penalty-by-LD-class'!E19</f>
        <v>0</v>
      </c>
      <c r="AD33" s="95">
        <f t="shared" si="2"/>
        <v>0.25000000041556086</v>
      </c>
      <c r="AE33" s="9">
        <f t="shared" si="3"/>
        <v>0.4499999543455302</v>
      </c>
      <c r="AF33" s="95">
        <f t="shared" si="4"/>
        <v>0</v>
      </c>
      <c r="AL33" s="83"/>
      <c r="AM33" s="83"/>
      <c r="AN33" s="83"/>
    </row>
    <row r="34" spans="1:41" ht="19.350000000000001" customHeight="1" x14ac:dyDescent="0.25">
      <c r="A34" s="1" t="s">
        <v>411</v>
      </c>
      <c r="D34" s="1"/>
      <c r="F34" s="1"/>
      <c r="G34" s="60"/>
      <c r="H34" s="60"/>
      <c r="J34" s="246"/>
      <c r="K34" s="246"/>
      <c r="L34" s="442"/>
      <c r="V34" s="13" t="s">
        <v>155</v>
      </c>
      <c r="W34" s="295">
        <v>0</v>
      </c>
      <c r="X34" s="295">
        <v>0</v>
      </c>
      <c r="Y34" s="295">
        <v>0</v>
      </c>
      <c r="Z34" s="95">
        <f>'Yield-data'!D21</f>
        <v>0</v>
      </c>
      <c r="AA34" s="9">
        <f t="shared" si="1"/>
        <v>0</v>
      </c>
      <c r="AB34" s="206">
        <f>'Yield-penalty-by-LD-class'!D20</f>
        <v>0</v>
      </c>
      <c r="AC34" s="206">
        <f>'Yield-penalty-by-LD-class'!E20</f>
        <v>0</v>
      </c>
      <c r="AD34" s="95">
        <v>0</v>
      </c>
      <c r="AE34" s="9">
        <v>0</v>
      </c>
      <c r="AF34" s="95">
        <f t="shared" si="4"/>
        <v>0</v>
      </c>
    </row>
    <row r="35" spans="1:41" ht="44.45" customHeight="1" x14ac:dyDescent="0.25">
      <c r="A35" s="1" t="s">
        <v>101</v>
      </c>
      <c r="B35" s="814" t="s">
        <v>412</v>
      </c>
      <c r="C35" s="814" t="s">
        <v>413</v>
      </c>
      <c r="D35" s="814"/>
      <c r="E35" s="814"/>
      <c r="F35" s="814"/>
      <c r="G35" s="814" t="s">
        <v>414</v>
      </c>
      <c r="H35" s="814"/>
      <c r="I35" s="814"/>
      <c r="J35" s="814"/>
      <c r="K35" s="814" t="s">
        <v>415</v>
      </c>
      <c r="L35" s="814"/>
      <c r="M35" s="814"/>
      <c r="N35" s="814"/>
      <c r="O35" s="814" t="s">
        <v>416</v>
      </c>
      <c r="P35" s="814"/>
      <c r="Q35" s="814"/>
      <c r="R35" s="814"/>
      <c r="S35" s="17" t="s">
        <v>120</v>
      </c>
      <c r="T35" s="44"/>
      <c r="V35" s="13" t="s">
        <v>156</v>
      </c>
      <c r="W35" s="295">
        <v>0</v>
      </c>
      <c r="X35" s="295">
        <v>0</v>
      </c>
      <c r="Y35" s="295">
        <v>0</v>
      </c>
      <c r="Z35" s="95">
        <f>'Yield-data'!D22</f>
        <v>0</v>
      </c>
      <c r="AA35" s="9">
        <f t="shared" si="1"/>
        <v>0</v>
      </c>
      <c r="AB35" s="206">
        <f>'Yield-penalty-by-LD-class'!D21</f>
        <v>0</v>
      </c>
      <c r="AC35" s="206">
        <f>'Yield-penalty-by-LD-class'!E21</f>
        <v>0</v>
      </c>
      <c r="AD35" s="95">
        <v>0</v>
      </c>
      <c r="AE35" s="9">
        <v>0</v>
      </c>
      <c r="AF35" s="95">
        <f t="shared" si="4"/>
        <v>0</v>
      </c>
      <c r="AM35" s="52"/>
      <c r="AN35" s="1"/>
      <c r="AO35" s="1"/>
    </row>
    <row r="36" spans="1:41" x14ac:dyDescent="0.25">
      <c r="A36" s="1"/>
      <c r="B36" s="814"/>
      <c r="C36" s="1" t="s">
        <v>136</v>
      </c>
      <c r="D36" s="1" t="s">
        <v>137</v>
      </c>
      <c r="E36" s="1" t="s">
        <v>138</v>
      </c>
      <c r="F36" s="1" t="s">
        <v>120</v>
      </c>
      <c r="G36" s="1" t="s">
        <v>136</v>
      </c>
      <c r="H36" s="1" t="s">
        <v>137</v>
      </c>
      <c r="I36" s="1" t="s">
        <v>289</v>
      </c>
      <c r="J36" s="1" t="s">
        <v>120</v>
      </c>
      <c r="K36" s="1" t="s">
        <v>136</v>
      </c>
      <c r="L36" s="1" t="s">
        <v>137</v>
      </c>
      <c r="M36" s="1" t="s">
        <v>289</v>
      </c>
      <c r="N36" s="1" t="s">
        <v>120</v>
      </c>
      <c r="O36" s="1" t="s">
        <v>136</v>
      </c>
      <c r="P36" s="1" t="s">
        <v>137</v>
      </c>
      <c r="Q36" s="1" t="s">
        <v>289</v>
      </c>
      <c r="R36" s="1" t="s">
        <v>120</v>
      </c>
      <c r="V36" s="13" t="s">
        <v>157</v>
      </c>
      <c r="W36" s="295">
        <v>0</v>
      </c>
      <c r="X36" s="295">
        <v>0</v>
      </c>
      <c r="Y36" s="295">
        <v>0</v>
      </c>
      <c r="Z36" s="95">
        <f>'Yield-data'!D23</f>
        <v>0</v>
      </c>
      <c r="AA36" s="9">
        <f t="shared" si="1"/>
        <v>0</v>
      </c>
      <c r="AB36" s="206">
        <f>'Yield-penalty-by-LD-class'!D22</f>
        <v>0</v>
      </c>
      <c r="AC36" s="206">
        <f>'Yield-penalty-by-LD-class'!E22</f>
        <v>0</v>
      </c>
      <c r="AD36" s="95">
        <v>0</v>
      </c>
      <c r="AE36" s="9">
        <v>0</v>
      </c>
      <c r="AF36" s="95">
        <f t="shared" si="4"/>
        <v>0</v>
      </c>
    </row>
    <row r="37" spans="1:41" x14ac:dyDescent="0.25">
      <c r="A37" s="13" t="s">
        <v>139</v>
      </c>
      <c r="B37" s="67">
        <f>'Area&amp;production data'!G5</f>
        <v>0</v>
      </c>
      <c r="C37" s="169">
        <f>'Area(ha)-by-degradation-level'!S5</f>
        <v>0</v>
      </c>
      <c r="D37" s="169">
        <f>'Area(ha)-by-degradation-level'!T5</f>
        <v>0</v>
      </c>
      <c r="E37" s="169">
        <f>'Area(ha)-by-degradation-level'!U5</f>
        <v>0</v>
      </c>
      <c r="F37" s="169">
        <f>'Area(ha)-by-degradation-level'!V5</f>
        <v>0</v>
      </c>
      <c r="G37" s="180">
        <f t="shared" ref="G37:I37" si="6">$W18-W18</f>
        <v>0</v>
      </c>
      <c r="H37" s="180">
        <f t="shared" si="6"/>
        <v>0</v>
      </c>
      <c r="I37" s="180">
        <f t="shared" si="6"/>
        <v>0</v>
      </c>
      <c r="J37" s="81">
        <f>SUMPRODUCT(C37:E37,G37:I37)</f>
        <v>0</v>
      </c>
      <c r="K37" s="38">
        <f t="shared" ref="K37:M37" si="7">G37*C37*$B37</f>
        <v>0</v>
      </c>
      <c r="L37" s="38">
        <f t="shared" si="7"/>
        <v>0</v>
      </c>
      <c r="M37" s="38">
        <f t="shared" si="7"/>
        <v>0</v>
      </c>
      <c r="N37" s="38">
        <f>SUM(K37:M37)</f>
        <v>0</v>
      </c>
      <c r="O37" s="38">
        <f t="shared" ref="O37:Q37" si="8">$D$22*K37</f>
        <v>0</v>
      </c>
      <c r="P37" s="38">
        <f t="shared" si="8"/>
        <v>0</v>
      </c>
      <c r="Q37" s="38">
        <f t="shared" si="8"/>
        <v>0</v>
      </c>
      <c r="R37" s="24">
        <f>SUM(O37:Q37)</f>
        <v>0</v>
      </c>
      <c r="V37" s="13" t="s">
        <v>158</v>
      </c>
      <c r="W37" s="295">
        <v>0.18710673493422469</v>
      </c>
      <c r="X37" s="295">
        <v>0.13859760798978171</v>
      </c>
      <c r="Y37" s="295">
        <v>9.2398405326505936E-2</v>
      </c>
      <c r="Z37" s="95">
        <f>'Yield-data'!D24</f>
        <v>0</v>
      </c>
      <c r="AA37" s="9">
        <f t="shared" si="1"/>
        <v>0</v>
      </c>
      <c r="AB37" s="206">
        <f>'Yield-penalty-by-LD-class'!D23</f>
        <v>0</v>
      </c>
      <c r="AC37" s="206">
        <f>'Yield-penalty-by-LD-class'!E23</f>
        <v>0</v>
      </c>
      <c r="AD37" s="95">
        <f t="shared" si="2"/>
        <v>0.34999974132323686</v>
      </c>
      <c r="AE37" s="9">
        <f t="shared" si="3"/>
        <v>0.5000000000002468</v>
      </c>
      <c r="AF37" s="95">
        <f>SUMPRODUCT(W37:Y37,C56:E56)-Z37</f>
        <v>0</v>
      </c>
    </row>
    <row r="38" spans="1:41" x14ac:dyDescent="0.25">
      <c r="A38" s="13" t="s">
        <v>140</v>
      </c>
      <c r="B38" s="67">
        <f>'Area&amp;production data'!G6</f>
        <v>0</v>
      </c>
      <c r="C38" s="169">
        <f>'Area(ha)-by-degradation-level'!S6</f>
        <v>0</v>
      </c>
      <c r="D38" s="169">
        <f>'Area(ha)-by-degradation-level'!T6</f>
        <v>0</v>
      </c>
      <c r="E38" s="169">
        <f>'Area(ha)-by-degradation-level'!U6</f>
        <v>0</v>
      </c>
      <c r="F38" s="169">
        <f>'Area(ha)-by-degradation-level'!V6</f>
        <v>0</v>
      </c>
      <c r="G38" s="180">
        <f t="shared" ref="G38:G60" si="9">$W19-W19</f>
        <v>0</v>
      </c>
      <c r="H38" s="180">
        <f t="shared" ref="H38:H60" si="10">$W19-X19</f>
        <v>0.30470600952748073</v>
      </c>
      <c r="I38" s="180">
        <f t="shared" ref="I38:I60" si="11">$W19-Y19</f>
        <v>0.69969491389682981</v>
      </c>
      <c r="J38" s="81">
        <f t="shared" ref="J38:J60" si="12">SUMPRODUCT(C38:E38,G38:I38)</f>
        <v>0</v>
      </c>
      <c r="K38" s="38">
        <f t="shared" ref="K38:K60" si="13">G38*C38*$B38</f>
        <v>0</v>
      </c>
      <c r="L38" s="38">
        <f t="shared" ref="L38:L60" si="14">H38*D38*$B38</f>
        <v>0</v>
      </c>
      <c r="M38" s="38">
        <f t="shared" ref="M38:M60" si="15">I38*E38*$B38</f>
        <v>0</v>
      </c>
      <c r="N38" s="38">
        <f t="shared" ref="N38:N60" si="16">SUM(K38:M38)</f>
        <v>0</v>
      </c>
      <c r="O38" s="38">
        <f t="shared" ref="O38:O60" si="17">$D$22*K38</f>
        <v>0</v>
      </c>
      <c r="P38" s="38">
        <f t="shared" ref="P38:P60" si="18">$D$22*L38</f>
        <v>0</v>
      </c>
      <c r="Q38" s="38">
        <f t="shared" ref="Q38:Q60" si="19">$D$22*M38</f>
        <v>0</v>
      </c>
      <c r="R38" s="24">
        <f t="shared" ref="R38:R60" si="20">SUM(O38:Q38)</f>
        <v>0</v>
      </c>
      <c r="V38" s="13" t="s">
        <v>159</v>
      </c>
      <c r="W38" s="295">
        <v>0</v>
      </c>
      <c r="X38" s="295">
        <v>0</v>
      </c>
      <c r="Y38" s="295">
        <v>0</v>
      </c>
      <c r="Z38" s="95">
        <f>'Yield-data'!D25</f>
        <v>0</v>
      </c>
      <c r="AA38" s="9">
        <f t="shared" si="1"/>
        <v>0</v>
      </c>
      <c r="AB38" s="206">
        <f>'Yield-penalty-by-LD-class'!D24</f>
        <v>0</v>
      </c>
      <c r="AC38" s="206">
        <f>'Yield-penalty-by-LD-class'!E24</f>
        <v>0</v>
      </c>
      <c r="AD38" s="95">
        <v>0</v>
      </c>
      <c r="AE38" s="9">
        <v>0</v>
      </c>
      <c r="AF38" s="95">
        <f t="shared" si="4"/>
        <v>0</v>
      </c>
    </row>
    <row r="39" spans="1:41" x14ac:dyDescent="0.25">
      <c r="A39" s="13" t="s">
        <v>141</v>
      </c>
      <c r="B39" s="67">
        <f>'Area&amp;production data'!G7</f>
        <v>0</v>
      </c>
      <c r="C39" s="169">
        <f>'Area(ha)-by-degradation-level'!S7</f>
        <v>0</v>
      </c>
      <c r="D39" s="169">
        <f>'Area(ha)-by-degradation-level'!T7</f>
        <v>0</v>
      </c>
      <c r="E39" s="169">
        <f>'Area(ha)-by-degradation-level'!U7</f>
        <v>0</v>
      </c>
      <c r="F39" s="169">
        <f>'Area(ha)-by-degradation-level'!V7</f>
        <v>0</v>
      </c>
      <c r="G39" s="180">
        <f t="shared" si="9"/>
        <v>0</v>
      </c>
      <c r="H39" s="180">
        <f t="shared" si="10"/>
        <v>0.10414505336258406</v>
      </c>
      <c r="I39" s="180">
        <f t="shared" si="11"/>
        <v>0.23914768424388483</v>
      </c>
      <c r="J39" s="81">
        <f t="shared" si="12"/>
        <v>0</v>
      </c>
      <c r="K39" s="38">
        <f t="shared" si="13"/>
        <v>0</v>
      </c>
      <c r="L39" s="38">
        <f t="shared" si="14"/>
        <v>0</v>
      </c>
      <c r="M39" s="38">
        <f t="shared" si="15"/>
        <v>0</v>
      </c>
      <c r="N39" s="38">
        <f t="shared" si="16"/>
        <v>0</v>
      </c>
      <c r="O39" s="38">
        <f t="shared" si="17"/>
        <v>0</v>
      </c>
      <c r="P39" s="38">
        <f t="shared" si="18"/>
        <v>0</v>
      </c>
      <c r="Q39" s="38">
        <f t="shared" si="19"/>
        <v>0</v>
      </c>
      <c r="R39" s="24">
        <f t="shared" si="20"/>
        <v>0</v>
      </c>
      <c r="V39" s="13" t="s">
        <v>160</v>
      </c>
      <c r="W39" s="295">
        <v>0</v>
      </c>
      <c r="X39" s="295">
        <v>0</v>
      </c>
      <c r="Y39" s="295">
        <v>0</v>
      </c>
      <c r="Z39" s="95">
        <f>'Yield-data'!D26</f>
        <v>0</v>
      </c>
      <c r="AA39" s="9">
        <f t="shared" si="1"/>
        <v>0</v>
      </c>
      <c r="AB39" s="206">
        <f>'Yield-penalty-by-LD-class'!D25</f>
        <v>0</v>
      </c>
      <c r="AC39" s="206">
        <f>'Yield-penalty-by-LD-class'!E25</f>
        <v>0</v>
      </c>
      <c r="AD39" s="95">
        <v>0</v>
      </c>
      <c r="AE39" s="9">
        <v>0</v>
      </c>
      <c r="AF39" s="95">
        <f t="shared" si="4"/>
        <v>0</v>
      </c>
    </row>
    <row r="40" spans="1:41" x14ac:dyDescent="0.25">
      <c r="A40" s="13" t="s">
        <v>142</v>
      </c>
      <c r="B40" s="67">
        <f>'Area&amp;production data'!G8</f>
        <v>0</v>
      </c>
      <c r="C40" s="169">
        <f>'Area(ha)-by-degradation-level'!S8</f>
        <v>0</v>
      </c>
      <c r="D40" s="169">
        <f>'Area(ha)-by-degradation-level'!T8</f>
        <v>0</v>
      </c>
      <c r="E40" s="169">
        <f>'Area(ha)-by-degradation-level'!U8</f>
        <v>0</v>
      </c>
      <c r="F40" s="169">
        <f>'Area(ha)-by-degradation-level'!V8</f>
        <v>0</v>
      </c>
      <c r="G40" s="180">
        <f t="shared" si="9"/>
        <v>0</v>
      </c>
      <c r="H40" s="180">
        <f t="shared" si="10"/>
        <v>8.2831156025730476E-3</v>
      </c>
      <c r="I40" s="180">
        <f t="shared" si="11"/>
        <v>1.9020500064239901E-2</v>
      </c>
      <c r="J40" s="81">
        <f t="shared" si="12"/>
        <v>0</v>
      </c>
      <c r="K40" s="38">
        <f t="shared" si="13"/>
        <v>0</v>
      </c>
      <c r="L40" s="38">
        <f t="shared" si="14"/>
        <v>0</v>
      </c>
      <c r="M40" s="38">
        <f t="shared" si="15"/>
        <v>0</v>
      </c>
      <c r="N40" s="38">
        <f t="shared" si="16"/>
        <v>0</v>
      </c>
      <c r="O40" s="38">
        <f t="shared" si="17"/>
        <v>0</v>
      </c>
      <c r="P40" s="38">
        <f t="shared" si="18"/>
        <v>0</v>
      </c>
      <c r="Q40" s="38">
        <f t="shared" si="19"/>
        <v>0</v>
      </c>
      <c r="R40" s="24">
        <f t="shared" si="20"/>
        <v>0</v>
      </c>
      <c r="V40" s="13" t="s">
        <v>161</v>
      </c>
      <c r="W40" s="295">
        <v>0</v>
      </c>
      <c r="X40" s="295">
        <v>0</v>
      </c>
      <c r="Y40" s="295">
        <v>0</v>
      </c>
      <c r="Z40" s="95">
        <f>'Yield-data'!D27</f>
        <v>0</v>
      </c>
      <c r="AA40" s="9">
        <f t="shared" si="1"/>
        <v>0</v>
      </c>
      <c r="AB40" s="206">
        <f>'Yield-penalty-by-LD-class'!D26</f>
        <v>0</v>
      </c>
      <c r="AC40" s="206">
        <f>'Yield-penalty-by-LD-class'!E26</f>
        <v>0</v>
      </c>
      <c r="AD40" s="95">
        <v>0</v>
      </c>
      <c r="AE40" s="9">
        <v>0</v>
      </c>
      <c r="AF40" s="95">
        <f t="shared" si="4"/>
        <v>0</v>
      </c>
    </row>
    <row r="41" spans="1:41" x14ac:dyDescent="0.25">
      <c r="A41" s="13" t="s">
        <v>143</v>
      </c>
      <c r="B41" s="67">
        <f>'Area&amp;production data'!G9</f>
        <v>0</v>
      </c>
      <c r="C41" s="169">
        <f>'Area(ha)-by-degradation-level'!S9</f>
        <v>0</v>
      </c>
      <c r="D41" s="169">
        <f>'Area(ha)-by-degradation-level'!T9</f>
        <v>0</v>
      </c>
      <c r="E41" s="169">
        <f>'Area(ha)-by-degradation-level'!U9</f>
        <v>0</v>
      </c>
      <c r="F41" s="169">
        <f>'Area(ha)-by-degradation-level'!V9</f>
        <v>0</v>
      </c>
      <c r="G41" s="180">
        <f t="shared" si="9"/>
        <v>0</v>
      </c>
      <c r="H41" s="180">
        <f t="shared" si="10"/>
        <v>0.19777861272526964</v>
      </c>
      <c r="I41" s="180">
        <f t="shared" si="11"/>
        <v>0.45415785069303727</v>
      </c>
      <c r="J41" s="81">
        <f t="shared" si="12"/>
        <v>0</v>
      </c>
      <c r="K41" s="38">
        <f t="shared" si="13"/>
        <v>0</v>
      </c>
      <c r="L41" s="38">
        <f t="shared" si="14"/>
        <v>0</v>
      </c>
      <c r="M41" s="38">
        <f t="shared" si="15"/>
        <v>0</v>
      </c>
      <c r="N41" s="38">
        <f t="shared" si="16"/>
        <v>0</v>
      </c>
      <c r="O41" s="38">
        <f t="shared" si="17"/>
        <v>0</v>
      </c>
      <c r="P41" s="38">
        <f t="shared" si="18"/>
        <v>0</v>
      </c>
      <c r="Q41" s="38">
        <f t="shared" si="19"/>
        <v>0</v>
      </c>
      <c r="R41" s="24">
        <f t="shared" si="20"/>
        <v>0</v>
      </c>
      <c r="V41" s="13" t="s">
        <v>162</v>
      </c>
      <c r="W41" s="295">
        <v>0</v>
      </c>
      <c r="X41" s="295">
        <v>0</v>
      </c>
      <c r="Y41" s="295">
        <v>0</v>
      </c>
      <c r="Z41" s="95">
        <f>'Yield-data'!D28</f>
        <v>0</v>
      </c>
      <c r="AA41" s="9">
        <f t="shared" si="1"/>
        <v>0</v>
      </c>
      <c r="AB41" s="206">
        <f>'Yield-penalty-by-LD-class'!D27</f>
        <v>0</v>
      </c>
      <c r="AC41" s="206">
        <f>'Yield-penalty-by-LD-class'!E27</f>
        <v>0</v>
      </c>
      <c r="AD41" s="95">
        <v>0</v>
      </c>
      <c r="AE41" s="9">
        <v>0</v>
      </c>
      <c r="AF41" s="95">
        <f t="shared" si="4"/>
        <v>0</v>
      </c>
    </row>
    <row r="42" spans="1:41" x14ac:dyDescent="0.25">
      <c r="A42" s="13" t="s">
        <v>144</v>
      </c>
      <c r="B42" s="67">
        <f>'Area&amp;production data'!G10</f>
        <v>0</v>
      </c>
      <c r="C42" s="169">
        <f>'Area(ha)-by-degradation-level'!S10</f>
        <v>0</v>
      </c>
      <c r="D42" s="169">
        <f>'Area(ha)-by-degradation-level'!T10</f>
        <v>0</v>
      </c>
      <c r="E42" s="169">
        <f>'Area(ha)-by-degradation-level'!U10</f>
        <v>0</v>
      </c>
      <c r="F42" s="169">
        <f>'Area(ha)-by-degradation-level'!V10</f>
        <v>0</v>
      </c>
      <c r="G42" s="180">
        <f t="shared" si="9"/>
        <v>0</v>
      </c>
      <c r="H42" s="180">
        <f t="shared" si="10"/>
        <v>0.25580810029658196</v>
      </c>
      <c r="I42" s="180">
        <f t="shared" si="11"/>
        <v>0.587410966726714</v>
      </c>
      <c r="J42" s="81">
        <f t="shared" si="12"/>
        <v>0</v>
      </c>
      <c r="K42" s="38">
        <f t="shared" si="13"/>
        <v>0</v>
      </c>
      <c r="L42" s="38">
        <f t="shared" si="14"/>
        <v>0</v>
      </c>
      <c r="M42" s="38">
        <f t="shared" si="15"/>
        <v>0</v>
      </c>
      <c r="N42" s="38">
        <f t="shared" si="16"/>
        <v>0</v>
      </c>
      <c r="O42" s="38">
        <f t="shared" si="17"/>
        <v>0</v>
      </c>
      <c r="P42" s="38">
        <f t="shared" si="18"/>
        <v>0</v>
      </c>
      <c r="Q42" s="38">
        <f t="shared" si="19"/>
        <v>0</v>
      </c>
      <c r="R42" s="24">
        <f t="shared" si="20"/>
        <v>0</v>
      </c>
      <c r="V42" s="447" t="s">
        <v>163</v>
      </c>
      <c r="W42" s="28" t="e">
        <f>SUMPRODUCT(W18:W41,C37:C60)/C61</f>
        <v>#DIV/0!</v>
      </c>
      <c r="X42" s="28" t="e">
        <f t="shared" ref="X42:Y42" si="21">SUMPRODUCT(X18:X41,D37:D60)/D61</f>
        <v>#DIV/0!</v>
      </c>
      <c r="Y42" s="28" t="e">
        <f t="shared" si="21"/>
        <v>#DIV/0!</v>
      </c>
      <c r="Z42" s="28" t="e">
        <f>SUMPRODUCT(Z18:Z41,F37:F60)/F61</f>
        <v>#DIV/0!</v>
      </c>
      <c r="AA42" s="10" t="e">
        <f t="shared" si="1"/>
        <v>#DIV/0!</v>
      </c>
      <c r="AB42" s="26" t="str">
        <f>IFERROR(SUMPRODUCT(AB18:AB41,B34:B57)/B58,"")</f>
        <v/>
      </c>
      <c r="AC42" s="26" t="str">
        <f>IFERROR(SUMPRODUCT(AC18:AC41,B34:B57)/B58,"")</f>
        <v/>
      </c>
    </row>
    <row r="43" spans="1:41" x14ac:dyDescent="0.25">
      <c r="A43" s="13" t="s">
        <v>145</v>
      </c>
      <c r="B43" s="67">
        <f>'Area&amp;production data'!G11</f>
        <v>0</v>
      </c>
      <c r="C43" s="169">
        <f>'Area(ha)-by-degradation-level'!S11</f>
        <v>0</v>
      </c>
      <c r="D43" s="169">
        <f>'Area(ha)-by-degradation-level'!T11</f>
        <v>0</v>
      </c>
      <c r="E43" s="169">
        <f>'Area(ha)-by-degradation-level'!U11</f>
        <v>0</v>
      </c>
      <c r="F43" s="169">
        <f>'Area(ha)-by-degradation-level'!V11</f>
        <v>0</v>
      </c>
      <c r="G43" s="180">
        <f t="shared" si="9"/>
        <v>0</v>
      </c>
      <c r="H43" s="180">
        <f t="shared" si="10"/>
        <v>4.9402816971536395E-2</v>
      </c>
      <c r="I43" s="180">
        <f t="shared" si="11"/>
        <v>0.11344347505635688</v>
      </c>
      <c r="J43" s="81">
        <f t="shared" si="12"/>
        <v>0</v>
      </c>
      <c r="K43" s="38">
        <f t="shared" si="13"/>
        <v>0</v>
      </c>
      <c r="L43" s="38">
        <f t="shared" si="14"/>
        <v>0</v>
      </c>
      <c r="M43" s="38">
        <f t="shared" si="15"/>
        <v>0</v>
      </c>
      <c r="N43" s="38">
        <f t="shared" si="16"/>
        <v>0</v>
      </c>
      <c r="O43" s="38">
        <f t="shared" si="17"/>
        <v>0</v>
      </c>
      <c r="P43" s="38">
        <f t="shared" si="18"/>
        <v>0</v>
      </c>
      <c r="Q43" s="38">
        <f t="shared" si="19"/>
        <v>0</v>
      </c>
      <c r="R43" s="24">
        <f t="shared" si="20"/>
        <v>0</v>
      </c>
      <c r="X43" s="30" t="e">
        <f>(W42-X42)/X42</f>
        <v>#DIV/0!</v>
      </c>
      <c r="Y43" s="30" t="e">
        <f>(X42-Y42)/Y42</f>
        <v>#DIV/0!</v>
      </c>
      <c r="AB43" s="26" t="str">
        <f>AB42</f>
        <v/>
      </c>
      <c r="AC43" s="26" t="str">
        <f>AC42</f>
        <v/>
      </c>
      <c r="AD43" s="95" t="str">
        <f t="shared" si="2"/>
        <v/>
      </c>
      <c r="AE43" s="9" t="str">
        <f t="shared" ref="AE43" si="22">IFERROR(((X43-Y43)/Y43)-AC43,"")</f>
        <v/>
      </c>
      <c r="AF43" s="95" t="e">
        <f t="shared" si="4"/>
        <v>#DIV/0!</v>
      </c>
    </row>
    <row r="44" spans="1:41" x14ac:dyDescent="0.25">
      <c r="A44" s="13" t="s">
        <v>146</v>
      </c>
      <c r="B44" s="67">
        <f>'Area&amp;production data'!G12</f>
        <v>0</v>
      </c>
      <c r="C44" s="169">
        <f>'Area(ha)-by-degradation-level'!S12</f>
        <v>0</v>
      </c>
      <c r="D44" s="169">
        <f>'Area(ha)-by-degradation-level'!T12</f>
        <v>0</v>
      </c>
      <c r="E44" s="169">
        <f>'Area(ha)-by-degradation-level'!U12</f>
        <v>0</v>
      </c>
      <c r="F44" s="169">
        <f>'Area(ha)-by-degradation-level'!V12</f>
        <v>0</v>
      </c>
      <c r="G44" s="180">
        <f t="shared" si="9"/>
        <v>0</v>
      </c>
      <c r="H44" s="180">
        <f t="shared" si="10"/>
        <v>0.18746344559266648</v>
      </c>
      <c r="I44" s="180">
        <f t="shared" si="11"/>
        <v>0.43047133129044624</v>
      </c>
      <c r="J44" s="81">
        <f t="shared" si="12"/>
        <v>0</v>
      </c>
      <c r="K44" s="38">
        <f t="shared" si="13"/>
        <v>0</v>
      </c>
      <c r="L44" s="38">
        <f t="shared" si="14"/>
        <v>0</v>
      </c>
      <c r="M44" s="38">
        <f t="shared" si="15"/>
        <v>0</v>
      </c>
      <c r="N44" s="38">
        <f t="shared" si="16"/>
        <v>0</v>
      </c>
      <c r="O44" s="38">
        <f t="shared" si="17"/>
        <v>0</v>
      </c>
      <c r="P44" s="38">
        <f t="shared" si="18"/>
        <v>0</v>
      </c>
      <c r="Q44" s="38">
        <f t="shared" si="19"/>
        <v>0</v>
      </c>
      <c r="R44" s="24">
        <f t="shared" si="20"/>
        <v>0</v>
      </c>
    </row>
    <row r="45" spans="1:41" x14ac:dyDescent="0.25">
      <c r="A45" s="13" t="s">
        <v>147</v>
      </c>
      <c r="B45" s="67">
        <f>'Area&amp;production data'!G13</f>
        <v>0</v>
      </c>
      <c r="C45" s="169">
        <f>'Area(ha)-by-degradation-level'!S13</f>
        <v>0</v>
      </c>
      <c r="D45" s="169">
        <f>'Area(ha)-by-degradation-level'!T13</f>
        <v>0</v>
      </c>
      <c r="E45" s="169">
        <f>'Area(ha)-by-degradation-level'!U13</f>
        <v>0</v>
      </c>
      <c r="F45" s="169">
        <f>'Area(ha)-by-degradation-level'!V13</f>
        <v>0</v>
      </c>
      <c r="G45" s="180">
        <f t="shared" si="9"/>
        <v>0</v>
      </c>
      <c r="H45" s="180">
        <f t="shared" si="10"/>
        <v>0.19045172327287507</v>
      </c>
      <c r="I45" s="180">
        <f t="shared" si="11"/>
        <v>0.43733329898536233</v>
      </c>
      <c r="J45" s="81">
        <f t="shared" si="12"/>
        <v>0</v>
      </c>
      <c r="K45" s="38">
        <f t="shared" si="13"/>
        <v>0</v>
      </c>
      <c r="L45" s="38">
        <f t="shared" si="14"/>
        <v>0</v>
      </c>
      <c r="M45" s="38">
        <f t="shared" si="15"/>
        <v>0</v>
      </c>
      <c r="N45" s="38">
        <f t="shared" si="16"/>
        <v>0</v>
      </c>
      <c r="O45" s="38">
        <f t="shared" si="17"/>
        <v>0</v>
      </c>
      <c r="P45" s="38">
        <f t="shared" si="18"/>
        <v>0</v>
      </c>
      <c r="Q45" s="38">
        <f t="shared" si="19"/>
        <v>0</v>
      </c>
      <c r="R45" s="24">
        <f t="shared" si="20"/>
        <v>0</v>
      </c>
    </row>
    <row r="46" spans="1:41" x14ac:dyDescent="0.25">
      <c r="A46" s="13" t="s">
        <v>148</v>
      </c>
      <c r="B46" s="67">
        <f>'Area&amp;production data'!G14</f>
        <v>0</v>
      </c>
      <c r="C46" s="169">
        <f>'Area(ha)-by-degradation-level'!S14</f>
        <v>0</v>
      </c>
      <c r="D46" s="169">
        <f>'Area(ha)-by-degradation-level'!T14</f>
        <v>0</v>
      </c>
      <c r="E46" s="169">
        <f>'Area(ha)-by-degradation-level'!U14</f>
        <v>0</v>
      </c>
      <c r="F46" s="169">
        <f>'Area(ha)-by-degradation-level'!V14</f>
        <v>0</v>
      </c>
      <c r="G46" s="180">
        <f t="shared" si="9"/>
        <v>0</v>
      </c>
      <c r="H46" s="180">
        <f t="shared" si="10"/>
        <v>0.14247899932225605</v>
      </c>
      <c r="I46" s="180">
        <f t="shared" si="11"/>
        <v>0.31934925748178355</v>
      </c>
      <c r="J46" s="81">
        <f t="shared" si="12"/>
        <v>0</v>
      </c>
      <c r="K46" s="38">
        <f t="shared" si="13"/>
        <v>0</v>
      </c>
      <c r="L46" s="38">
        <f t="shared" si="14"/>
        <v>0</v>
      </c>
      <c r="M46" s="38">
        <f t="shared" si="15"/>
        <v>0</v>
      </c>
      <c r="N46" s="38">
        <f t="shared" si="16"/>
        <v>0</v>
      </c>
      <c r="O46" s="38">
        <f t="shared" si="17"/>
        <v>0</v>
      </c>
      <c r="P46" s="38">
        <f t="shared" si="18"/>
        <v>0</v>
      </c>
      <c r="Q46" s="38">
        <f t="shared" si="19"/>
        <v>0</v>
      </c>
      <c r="R46" s="24">
        <f t="shared" si="20"/>
        <v>0</v>
      </c>
    </row>
    <row r="47" spans="1:41" x14ac:dyDescent="0.25">
      <c r="A47" s="13" t="s">
        <v>149</v>
      </c>
      <c r="B47" s="67">
        <f>'Area&amp;production data'!G15</f>
        <v>0</v>
      </c>
      <c r="C47" s="169">
        <f>'Area(ha)-by-degradation-level'!S15</f>
        <v>0</v>
      </c>
      <c r="D47" s="169">
        <f>'Area(ha)-by-degradation-level'!T15</f>
        <v>0</v>
      </c>
      <c r="E47" s="169">
        <f>'Area(ha)-by-degradation-level'!U15</f>
        <v>0</v>
      </c>
      <c r="F47" s="169">
        <f>'Area(ha)-by-degradation-level'!V15</f>
        <v>0</v>
      </c>
      <c r="G47" s="180">
        <f t="shared" si="9"/>
        <v>0</v>
      </c>
      <c r="H47" s="180">
        <f t="shared" si="10"/>
        <v>0.14925655883355349</v>
      </c>
      <c r="I47" s="180">
        <f t="shared" si="11"/>
        <v>0.3345404723559961</v>
      </c>
      <c r="J47" s="81">
        <f t="shared" si="12"/>
        <v>0</v>
      </c>
      <c r="K47" s="38">
        <f t="shared" si="13"/>
        <v>0</v>
      </c>
      <c r="L47" s="38">
        <f t="shared" si="14"/>
        <v>0</v>
      </c>
      <c r="M47" s="38">
        <f t="shared" si="15"/>
        <v>0</v>
      </c>
      <c r="N47" s="38">
        <f t="shared" si="16"/>
        <v>0</v>
      </c>
      <c r="O47" s="38">
        <f t="shared" si="17"/>
        <v>0</v>
      </c>
      <c r="P47" s="38">
        <f t="shared" si="18"/>
        <v>0</v>
      </c>
      <c r="Q47" s="38">
        <f t="shared" si="19"/>
        <v>0</v>
      </c>
      <c r="R47" s="24">
        <f t="shared" si="20"/>
        <v>0</v>
      </c>
      <c r="T47" s="1"/>
    </row>
    <row r="48" spans="1:41" x14ac:dyDescent="0.25">
      <c r="A48" s="13" t="s">
        <v>150</v>
      </c>
      <c r="B48" s="67">
        <f>'Area&amp;production data'!G16</f>
        <v>0</v>
      </c>
      <c r="C48" s="169">
        <f>'Area(ha)-by-degradation-level'!S16</f>
        <v>0</v>
      </c>
      <c r="D48" s="169">
        <f>'Area(ha)-by-degradation-level'!T16</f>
        <v>0</v>
      </c>
      <c r="E48" s="169">
        <f>'Area(ha)-by-degradation-level'!U16</f>
        <v>0</v>
      </c>
      <c r="F48" s="169">
        <f>'Area(ha)-by-degradation-level'!V16</f>
        <v>0</v>
      </c>
      <c r="G48" s="180">
        <f t="shared" si="9"/>
        <v>0</v>
      </c>
      <c r="H48" s="180">
        <f t="shared" si="10"/>
        <v>0</v>
      </c>
      <c r="I48" s="180">
        <f t="shared" si="11"/>
        <v>0</v>
      </c>
      <c r="J48" s="81">
        <f t="shared" si="12"/>
        <v>0</v>
      </c>
      <c r="K48" s="38">
        <f t="shared" si="13"/>
        <v>0</v>
      </c>
      <c r="L48" s="38">
        <f t="shared" si="14"/>
        <v>0</v>
      </c>
      <c r="M48" s="38">
        <f t="shared" si="15"/>
        <v>0</v>
      </c>
      <c r="N48" s="38">
        <f t="shared" si="16"/>
        <v>0</v>
      </c>
      <c r="O48" s="38">
        <f t="shared" si="17"/>
        <v>0</v>
      </c>
      <c r="P48" s="38">
        <f t="shared" si="18"/>
        <v>0</v>
      </c>
      <c r="Q48" s="38">
        <f t="shared" si="19"/>
        <v>0</v>
      </c>
      <c r="R48" s="24">
        <f t="shared" si="20"/>
        <v>0</v>
      </c>
      <c r="U48" s="1"/>
      <c r="X48" s="2"/>
      <c r="Y48" s="2"/>
      <c r="AA48" s="76"/>
      <c r="AB48" s="76"/>
    </row>
    <row r="49" spans="1:30" s="1" customFormat="1" x14ac:dyDescent="0.25">
      <c r="A49" s="13" t="s">
        <v>151</v>
      </c>
      <c r="B49" s="67">
        <f>'Area&amp;production data'!G17</f>
        <v>0</v>
      </c>
      <c r="C49" s="169">
        <f>'Area(ha)-by-degradation-level'!S17</f>
        <v>0</v>
      </c>
      <c r="D49" s="169">
        <f>'Area(ha)-by-degradation-level'!T17</f>
        <v>0</v>
      </c>
      <c r="E49" s="169">
        <f>'Area(ha)-by-degradation-level'!U17</f>
        <v>0</v>
      </c>
      <c r="F49" s="169">
        <f>'Area(ha)-by-degradation-level'!V17</f>
        <v>0</v>
      </c>
      <c r="G49" s="180">
        <f t="shared" si="9"/>
        <v>0</v>
      </c>
      <c r="H49" s="180">
        <f t="shared" si="10"/>
        <v>0</v>
      </c>
      <c r="I49" s="180">
        <f t="shared" si="11"/>
        <v>0</v>
      </c>
      <c r="J49" s="81">
        <f t="shared" si="12"/>
        <v>0</v>
      </c>
      <c r="K49" s="38">
        <f t="shared" si="13"/>
        <v>0</v>
      </c>
      <c r="L49" s="38">
        <f t="shared" si="14"/>
        <v>0</v>
      </c>
      <c r="M49" s="38">
        <f t="shared" si="15"/>
        <v>0</v>
      </c>
      <c r="N49" s="38">
        <f t="shared" si="16"/>
        <v>0</v>
      </c>
      <c r="O49" s="38">
        <f t="shared" si="17"/>
        <v>0</v>
      </c>
      <c r="P49" s="38">
        <f t="shared" si="18"/>
        <v>0</v>
      </c>
      <c r="Q49" s="38">
        <f t="shared" si="19"/>
        <v>0</v>
      </c>
      <c r="R49" s="24">
        <f t="shared" si="20"/>
        <v>0</v>
      </c>
      <c r="S49"/>
      <c r="T49"/>
      <c r="V49" s="189"/>
      <c r="Z49"/>
      <c r="AA49"/>
      <c r="AB49"/>
      <c r="AC49"/>
      <c r="AD49"/>
    </row>
    <row r="50" spans="1:30" x14ac:dyDescent="0.25">
      <c r="A50" s="13" t="s">
        <v>152</v>
      </c>
      <c r="B50" s="67">
        <f>'Area&amp;production data'!G18</f>
        <v>0</v>
      </c>
      <c r="C50" s="169">
        <f>'Area(ha)-by-degradation-level'!S18</f>
        <v>0</v>
      </c>
      <c r="D50" s="169">
        <f>'Area(ha)-by-degradation-level'!T18</f>
        <v>0</v>
      </c>
      <c r="E50" s="169">
        <f>'Area(ha)-by-degradation-level'!U18</f>
        <v>0</v>
      </c>
      <c r="F50" s="169">
        <f>'Area(ha)-by-degradation-level'!V18</f>
        <v>0</v>
      </c>
      <c r="G50" s="180">
        <f t="shared" si="9"/>
        <v>0</v>
      </c>
      <c r="H50" s="180">
        <f t="shared" si="10"/>
        <v>0.12531163388191868</v>
      </c>
      <c r="I50" s="180">
        <f t="shared" si="11"/>
        <v>0.28087101117750862</v>
      </c>
      <c r="J50" s="81">
        <f t="shared" si="12"/>
        <v>0</v>
      </c>
      <c r="K50" s="38">
        <f t="shared" si="13"/>
        <v>0</v>
      </c>
      <c r="L50" s="38">
        <f t="shared" si="14"/>
        <v>0</v>
      </c>
      <c r="M50" s="38">
        <f t="shared" si="15"/>
        <v>0</v>
      </c>
      <c r="N50" s="38">
        <f t="shared" si="16"/>
        <v>0</v>
      </c>
      <c r="O50" s="38">
        <f t="shared" si="17"/>
        <v>0</v>
      </c>
      <c r="P50" s="38">
        <f t="shared" si="18"/>
        <v>0</v>
      </c>
      <c r="Q50" s="38">
        <f t="shared" si="19"/>
        <v>0</v>
      </c>
      <c r="R50" s="24">
        <f t="shared" si="20"/>
        <v>0</v>
      </c>
    </row>
    <row r="51" spans="1:30" x14ac:dyDescent="0.25">
      <c r="A51" s="13" t="s">
        <v>153</v>
      </c>
      <c r="B51" s="67">
        <f>'Area&amp;production data'!G19</f>
        <v>0</v>
      </c>
      <c r="C51" s="169">
        <f>'Area(ha)-by-degradation-level'!S19</f>
        <v>0</v>
      </c>
      <c r="D51" s="169">
        <f>'Area(ha)-by-degradation-level'!T19</f>
        <v>0</v>
      </c>
      <c r="E51" s="169">
        <f>'Area(ha)-by-degradation-level'!U19</f>
        <v>0</v>
      </c>
      <c r="F51" s="169">
        <f>'Area(ha)-by-degradation-level'!V19</f>
        <v>0</v>
      </c>
      <c r="G51" s="180">
        <f t="shared" si="9"/>
        <v>0</v>
      </c>
      <c r="H51" s="180">
        <f t="shared" si="10"/>
        <v>0</v>
      </c>
      <c r="I51" s="180">
        <f t="shared" si="11"/>
        <v>0</v>
      </c>
      <c r="J51" s="81">
        <f t="shared" si="12"/>
        <v>0</v>
      </c>
      <c r="K51" s="38">
        <f t="shared" si="13"/>
        <v>0</v>
      </c>
      <c r="L51" s="38">
        <f t="shared" si="14"/>
        <v>0</v>
      </c>
      <c r="M51" s="38">
        <f t="shared" si="15"/>
        <v>0</v>
      </c>
      <c r="N51" s="38">
        <f t="shared" si="16"/>
        <v>0</v>
      </c>
      <c r="O51" s="38">
        <f t="shared" si="17"/>
        <v>0</v>
      </c>
      <c r="P51" s="38">
        <f t="shared" si="18"/>
        <v>0</v>
      </c>
      <c r="Q51" s="38">
        <f t="shared" si="19"/>
        <v>0</v>
      </c>
      <c r="R51" s="24">
        <f t="shared" si="20"/>
        <v>0</v>
      </c>
      <c r="S51" s="39" t="b">
        <f>SUM(O61:Q61)=R61</f>
        <v>1</v>
      </c>
    </row>
    <row r="52" spans="1:30" x14ac:dyDescent="0.25">
      <c r="A52" s="13" t="s">
        <v>154</v>
      </c>
      <c r="B52" s="67">
        <f>'Area&amp;production data'!G20</f>
        <v>0</v>
      </c>
      <c r="C52" s="169">
        <f>'Area(ha)-by-degradation-level'!S20</f>
        <v>0</v>
      </c>
      <c r="D52" s="169">
        <f>'Area(ha)-by-degradation-level'!T20</f>
        <v>0</v>
      </c>
      <c r="E52" s="169">
        <f>'Area(ha)-by-degradation-level'!U20</f>
        <v>0</v>
      </c>
      <c r="F52" s="169">
        <f>'Area(ha)-by-degradation-level'!V20</f>
        <v>0</v>
      </c>
      <c r="G52" s="180">
        <f t="shared" si="9"/>
        <v>0</v>
      </c>
      <c r="H52" s="180">
        <f t="shared" si="10"/>
        <v>0.30696902700425288</v>
      </c>
      <c r="I52" s="180">
        <f t="shared" si="11"/>
        <v>0.68803399874803139</v>
      </c>
      <c r="J52" s="81">
        <f t="shared" si="12"/>
        <v>0</v>
      </c>
      <c r="K52" s="38">
        <f t="shared" si="13"/>
        <v>0</v>
      </c>
      <c r="L52" s="38">
        <f t="shared" si="14"/>
        <v>0</v>
      </c>
      <c r="M52" s="38">
        <f t="shared" si="15"/>
        <v>0</v>
      </c>
      <c r="N52" s="38">
        <f t="shared" si="16"/>
        <v>0</v>
      </c>
      <c r="O52" s="38">
        <f t="shared" si="17"/>
        <v>0</v>
      </c>
      <c r="P52" s="38">
        <f t="shared" si="18"/>
        <v>0</v>
      </c>
      <c r="Q52" s="38">
        <f t="shared" si="19"/>
        <v>0</v>
      </c>
      <c r="R52" s="24">
        <f t="shared" si="20"/>
        <v>0</v>
      </c>
    </row>
    <row r="53" spans="1:30" ht="45.95" customHeight="1" x14ac:dyDescent="0.25">
      <c r="A53" s="13" t="s">
        <v>155</v>
      </c>
      <c r="B53" s="67">
        <f>'Area&amp;production data'!G21</f>
        <v>0</v>
      </c>
      <c r="C53" s="169">
        <f>'Area(ha)-by-degradation-level'!S21</f>
        <v>0</v>
      </c>
      <c r="D53" s="169">
        <f>'Area(ha)-by-degradation-level'!T21</f>
        <v>0</v>
      </c>
      <c r="E53" s="169">
        <f>'Area(ha)-by-degradation-level'!U21</f>
        <v>0</v>
      </c>
      <c r="F53" s="169">
        <f>'Area(ha)-by-degradation-level'!V21</f>
        <v>0</v>
      </c>
      <c r="G53" s="180">
        <f t="shared" si="9"/>
        <v>0</v>
      </c>
      <c r="H53" s="180">
        <f t="shared" si="10"/>
        <v>0</v>
      </c>
      <c r="I53" s="180">
        <f t="shared" si="11"/>
        <v>0</v>
      </c>
      <c r="J53" s="81">
        <f t="shared" si="12"/>
        <v>0</v>
      </c>
      <c r="K53" s="38">
        <f t="shared" si="13"/>
        <v>0</v>
      </c>
      <c r="L53" s="38">
        <f t="shared" si="14"/>
        <v>0</v>
      </c>
      <c r="M53" s="38">
        <f t="shared" si="15"/>
        <v>0</v>
      </c>
      <c r="N53" s="38">
        <f t="shared" si="16"/>
        <v>0</v>
      </c>
      <c r="O53" s="38">
        <f t="shared" si="17"/>
        <v>0</v>
      </c>
      <c r="P53" s="38">
        <f t="shared" si="18"/>
        <v>0</v>
      </c>
      <c r="Q53" s="38">
        <f t="shared" si="19"/>
        <v>0</v>
      </c>
      <c r="R53" s="24">
        <f t="shared" si="20"/>
        <v>0</v>
      </c>
    </row>
    <row r="54" spans="1:30" ht="39" customHeight="1" x14ac:dyDescent="0.25">
      <c r="A54" s="13" t="s">
        <v>156</v>
      </c>
      <c r="B54" s="67">
        <f>'Area&amp;production data'!G22</f>
        <v>0</v>
      </c>
      <c r="C54" s="169">
        <f>'Area(ha)-by-degradation-level'!S22</f>
        <v>0</v>
      </c>
      <c r="D54" s="169">
        <f>'Area(ha)-by-degradation-level'!T22</f>
        <v>0</v>
      </c>
      <c r="E54" s="169">
        <f>'Area(ha)-by-degradation-level'!U22</f>
        <v>0</v>
      </c>
      <c r="F54" s="169">
        <f>'Area(ha)-by-degradation-level'!V22</f>
        <v>0</v>
      </c>
      <c r="G54" s="180">
        <f t="shared" si="9"/>
        <v>0</v>
      </c>
      <c r="H54" s="180">
        <f t="shared" si="10"/>
        <v>0</v>
      </c>
      <c r="I54" s="180">
        <f t="shared" si="11"/>
        <v>0</v>
      </c>
      <c r="J54" s="81">
        <f t="shared" si="12"/>
        <v>0</v>
      </c>
      <c r="K54" s="38">
        <f t="shared" si="13"/>
        <v>0</v>
      </c>
      <c r="L54" s="38">
        <f t="shared" si="14"/>
        <v>0</v>
      </c>
      <c r="M54" s="38">
        <f t="shared" si="15"/>
        <v>0</v>
      </c>
      <c r="N54" s="38">
        <f t="shared" si="16"/>
        <v>0</v>
      </c>
      <c r="O54" s="38">
        <f t="shared" si="17"/>
        <v>0</v>
      </c>
      <c r="P54" s="38">
        <f t="shared" si="18"/>
        <v>0</v>
      </c>
      <c r="Q54" s="38">
        <f t="shared" si="19"/>
        <v>0</v>
      </c>
      <c r="R54" s="24">
        <f t="shared" si="20"/>
        <v>0</v>
      </c>
      <c r="S54" s="17" t="s">
        <v>120</v>
      </c>
      <c r="T54" s="44"/>
      <c r="U54" s="22"/>
    </row>
    <row r="55" spans="1:30" x14ac:dyDescent="0.25">
      <c r="A55" s="13" t="s">
        <v>157</v>
      </c>
      <c r="B55" s="67">
        <f>'Area&amp;production data'!G23</f>
        <v>0</v>
      </c>
      <c r="C55" s="169">
        <f>'Area(ha)-by-degradation-level'!S23</f>
        <v>0</v>
      </c>
      <c r="D55" s="169">
        <f>'Area(ha)-by-degradation-level'!T23</f>
        <v>0</v>
      </c>
      <c r="E55" s="169">
        <f>'Area(ha)-by-degradation-level'!U23</f>
        <v>0</v>
      </c>
      <c r="F55" s="169">
        <f>'Area(ha)-by-degradation-level'!V23</f>
        <v>0</v>
      </c>
      <c r="G55" s="180">
        <f t="shared" si="9"/>
        <v>0</v>
      </c>
      <c r="H55" s="180">
        <f t="shared" si="10"/>
        <v>0</v>
      </c>
      <c r="I55" s="180">
        <f t="shared" si="11"/>
        <v>0</v>
      </c>
      <c r="J55" s="81">
        <f t="shared" si="12"/>
        <v>0</v>
      </c>
      <c r="K55" s="38">
        <f t="shared" si="13"/>
        <v>0</v>
      </c>
      <c r="L55" s="38">
        <f t="shared" si="14"/>
        <v>0</v>
      </c>
      <c r="M55" s="38">
        <f t="shared" si="15"/>
        <v>0</v>
      </c>
      <c r="N55" s="38">
        <f t="shared" si="16"/>
        <v>0</v>
      </c>
      <c r="O55" s="38">
        <f t="shared" si="17"/>
        <v>0</v>
      </c>
      <c r="P55" s="38">
        <f t="shared" si="18"/>
        <v>0</v>
      </c>
      <c r="Q55" s="38">
        <f t="shared" si="19"/>
        <v>0</v>
      </c>
      <c r="R55" s="24">
        <f t="shared" si="20"/>
        <v>0</v>
      </c>
    </row>
    <row r="56" spans="1:30" x14ac:dyDescent="0.25">
      <c r="A56" s="13" t="s">
        <v>158</v>
      </c>
      <c r="B56" s="67">
        <f>'Area&amp;production data'!G24</f>
        <v>0</v>
      </c>
      <c r="C56" s="169">
        <f>'Area(ha)-by-degradation-level'!S24</f>
        <v>0</v>
      </c>
      <c r="D56" s="169">
        <f>'Area(ha)-by-degradation-level'!T24</f>
        <v>0</v>
      </c>
      <c r="E56" s="169">
        <f>'Area(ha)-by-degradation-level'!U24</f>
        <v>0</v>
      </c>
      <c r="F56" s="169">
        <f>'Area(ha)-by-degradation-level'!V24</f>
        <v>0</v>
      </c>
      <c r="G56" s="180">
        <f t="shared" si="9"/>
        <v>0</v>
      </c>
      <c r="H56" s="180">
        <f t="shared" si="10"/>
        <v>4.8509126944442982E-2</v>
      </c>
      <c r="I56" s="180">
        <f t="shared" si="11"/>
        <v>9.4708329607718758E-2</v>
      </c>
      <c r="J56" s="81">
        <f t="shared" si="12"/>
        <v>0</v>
      </c>
      <c r="K56" s="38">
        <f t="shared" si="13"/>
        <v>0</v>
      </c>
      <c r="L56" s="38">
        <f t="shared" si="14"/>
        <v>0</v>
      </c>
      <c r="M56" s="38">
        <f t="shared" si="15"/>
        <v>0</v>
      </c>
      <c r="N56" s="38">
        <f t="shared" si="16"/>
        <v>0</v>
      </c>
      <c r="O56" s="38">
        <f t="shared" si="17"/>
        <v>0</v>
      </c>
      <c r="P56" s="38">
        <f t="shared" si="18"/>
        <v>0</v>
      </c>
      <c r="Q56" s="38">
        <f t="shared" si="19"/>
        <v>0</v>
      </c>
      <c r="R56" s="24">
        <f t="shared" si="20"/>
        <v>0</v>
      </c>
    </row>
    <row r="57" spans="1:30" x14ac:dyDescent="0.25">
      <c r="A57" s="13" t="s">
        <v>159</v>
      </c>
      <c r="B57" s="67">
        <f>'Area&amp;production data'!G25</f>
        <v>0</v>
      </c>
      <c r="C57" s="169">
        <f>'Area(ha)-by-degradation-level'!S25</f>
        <v>0</v>
      </c>
      <c r="D57" s="169">
        <f>'Area(ha)-by-degradation-level'!T25</f>
        <v>0</v>
      </c>
      <c r="E57" s="169">
        <f>'Area(ha)-by-degradation-level'!U25</f>
        <v>0</v>
      </c>
      <c r="F57" s="169">
        <f>'Area(ha)-by-degradation-level'!V25</f>
        <v>0</v>
      </c>
      <c r="G57" s="180">
        <f t="shared" si="9"/>
        <v>0</v>
      </c>
      <c r="H57" s="180">
        <f t="shared" si="10"/>
        <v>0</v>
      </c>
      <c r="I57" s="180">
        <f t="shared" si="11"/>
        <v>0</v>
      </c>
      <c r="J57" s="81">
        <f t="shared" si="12"/>
        <v>0</v>
      </c>
      <c r="K57" s="38">
        <f t="shared" si="13"/>
        <v>0</v>
      </c>
      <c r="L57" s="38">
        <f t="shared" si="14"/>
        <v>0</v>
      </c>
      <c r="M57" s="38">
        <f t="shared" si="15"/>
        <v>0</v>
      </c>
      <c r="N57" s="38">
        <f t="shared" si="16"/>
        <v>0</v>
      </c>
      <c r="O57" s="38">
        <f t="shared" si="17"/>
        <v>0</v>
      </c>
      <c r="P57" s="38">
        <f t="shared" si="18"/>
        <v>0</v>
      </c>
      <c r="Q57" s="38">
        <f t="shared" si="19"/>
        <v>0</v>
      </c>
      <c r="R57" s="24">
        <f t="shared" si="20"/>
        <v>0</v>
      </c>
    </row>
    <row r="58" spans="1:30" x14ac:dyDescent="0.25">
      <c r="A58" s="13" t="s">
        <v>160</v>
      </c>
      <c r="B58" s="67">
        <f>'Area&amp;production data'!G26</f>
        <v>0</v>
      </c>
      <c r="C58" s="169">
        <f>'Area(ha)-by-degradation-level'!S26</f>
        <v>0</v>
      </c>
      <c r="D58" s="169">
        <f>'Area(ha)-by-degradation-level'!T26</f>
        <v>0</v>
      </c>
      <c r="E58" s="169">
        <f>'Area(ha)-by-degradation-level'!U26</f>
        <v>0</v>
      </c>
      <c r="F58" s="169">
        <f>'Area(ha)-by-degradation-level'!V26</f>
        <v>0</v>
      </c>
      <c r="G58" s="180">
        <f t="shared" si="9"/>
        <v>0</v>
      </c>
      <c r="H58" s="180">
        <f t="shared" si="10"/>
        <v>0</v>
      </c>
      <c r="I58" s="180">
        <f t="shared" si="11"/>
        <v>0</v>
      </c>
      <c r="J58" s="81">
        <f t="shared" si="12"/>
        <v>0</v>
      </c>
      <c r="K58" s="38">
        <f t="shared" si="13"/>
        <v>0</v>
      </c>
      <c r="L58" s="38">
        <f t="shared" si="14"/>
        <v>0</v>
      </c>
      <c r="M58" s="38">
        <f t="shared" si="15"/>
        <v>0</v>
      </c>
      <c r="N58" s="38">
        <f t="shared" si="16"/>
        <v>0</v>
      </c>
      <c r="O58" s="38">
        <f t="shared" si="17"/>
        <v>0</v>
      </c>
      <c r="P58" s="38">
        <f t="shared" si="18"/>
        <v>0</v>
      </c>
      <c r="Q58" s="38">
        <f t="shared" si="19"/>
        <v>0</v>
      </c>
      <c r="R58" s="24">
        <f t="shared" si="20"/>
        <v>0</v>
      </c>
      <c r="W58" s="1"/>
      <c r="X58" s="1"/>
      <c r="Y58" s="1"/>
    </row>
    <row r="59" spans="1:30" x14ac:dyDescent="0.25">
      <c r="A59" s="13" t="s">
        <v>161</v>
      </c>
      <c r="B59" s="67">
        <f>'Area&amp;production data'!G27</f>
        <v>0</v>
      </c>
      <c r="C59" s="169">
        <f>'Area(ha)-by-degradation-level'!S27</f>
        <v>0</v>
      </c>
      <c r="D59" s="169">
        <f>'Area(ha)-by-degradation-level'!T27</f>
        <v>0</v>
      </c>
      <c r="E59" s="169">
        <f>'Area(ha)-by-degradation-level'!U27</f>
        <v>0</v>
      </c>
      <c r="F59" s="169">
        <f>'Area(ha)-by-degradation-level'!V27</f>
        <v>0</v>
      </c>
      <c r="G59" s="180">
        <f t="shared" si="9"/>
        <v>0</v>
      </c>
      <c r="H59" s="180">
        <f t="shared" si="10"/>
        <v>0</v>
      </c>
      <c r="I59" s="180">
        <f t="shared" si="11"/>
        <v>0</v>
      </c>
      <c r="J59" s="81">
        <f t="shared" si="12"/>
        <v>0</v>
      </c>
      <c r="K59" s="38">
        <f t="shared" si="13"/>
        <v>0</v>
      </c>
      <c r="L59" s="38">
        <f t="shared" si="14"/>
        <v>0</v>
      </c>
      <c r="M59" s="38">
        <f t="shared" si="15"/>
        <v>0</v>
      </c>
      <c r="N59" s="38">
        <f t="shared" si="16"/>
        <v>0</v>
      </c>
      <c r="O59" s="38">
        <f t="shared" si="17"/>
        <v>0</v>
      </c>
      <c r="P59" s="38">
        <f t="shared" si="18"/>
        <v>0</v>
      </c>
      <c r="Q59" s="38">
        <f t="shared" si="19"/>
        <v>0</v>
      </c>
      <c r="R59" s="24">
        <f t="shared" si="20"/>
        <v>0</v>
      </c>
      <c r="V59" s="1"/>
      <c r="W59" s="126"/>
    </row>
    <row r="60" spans="1:30" x14ac:dyDescent="0.25">
      <c r="A60" s="13" t="s">
        <v>162</v>
      </c>
      <c r="B60" s="67">
        <f>'Area&amp;production data'!G28</f>
        <v>0</v>
      </c>
      <c r="C60" s="169">
        <f>'Area(ha)-by-degradation-level'!S28</f>
        <v>0</v>
      </c>
      <c r="D60" s="169">
        <f>'Area(ha)-by-degradation-level'!T28</f>
        <v>0</v>
      </c>
      <c r="E60" s="169">
        <f>'Area(ha)-by-degradation-level'!U28</f>
        <v>0</v>
      </c>
      <c r="F60" s="169">
        <f>'Area(ha)-by-degradation-level'!V28</f>
        <v>0</v>
      </c>
      <c r="G60" s="180">
        <f t="shared" si="9"/>
        <v>0</v>
      </c>
      <c r="H60" s="180">
        <f t="shared" si="10"/>
        <v>0</v>
      </c>
      <c r="I60" s="180">
        <f t="shared" si="11"/>
        <v>0</v>
      </c>
      <c r="J60" s="81">
        <f t="shared" si="12"/>
        <v>0</v>
      </c>
      <c r="K60" s="38">
        <f t="shared" si="13"/>
        <v>0</v>
      </c>
      <c r="L60" s="38">
        <f t="shared" si="14"/>
        <v>0</v>
      </c>
      <c r="M60" s="38">
        <f t="shared" si="15"/>
        <v>0</v>
      </c>
      <c r="N60" s="38">
        <f t="shared" si="16"/>
        <v>0</v>
      </c>
      <c r="O60" s="38">
        <f t="shared" si="17"/>
        <v>0</v>
      </c>
      <c r="P60" s="38">
        <f t="shared" si="18"/>
        <v>0</v>
      </c>
      <c r="Q60" s="38">
        <f t="shared" si="19"/>
        <v>0</v>
      </c>
      <c r="R60" s="24">
        <f t="shared" si="20"/>
        <v>0</v>
      </c>
      <c r="V60" s="1"/>
      <c r="W60" s="126"/>
      <c r="X60" s="1"/>
      <c r="Y60" s="1"/>
      <c r="Z60" s="1"/>
      <c r="AA60" s="1"/>
      <c r="AB60" s="1"/>
      <c r="AC60" s="1"/>
    </row>
    <row r="61" spans="1:30" x14ac:dyDescent="0.25">
      <c r="A61" s="1" t="s">
        <v>163</v>
      </c>
      <c r="B61" s="24">
        <f>SUM(B37:B60)</f>
        <v>0</v>
      </c>
      <c r="C61" s="51" t="e">
        <f>SUMPRODUCT($B$37:$B$60,C37:C60)/$B$61</f>
        <v>#DIV/0!</v>
      </c>
      <c r="D61" s="51" t="e">
        <f>SUMPRODUCT($B$37:$B$60,D37:D60)/$B$61</f>
        <v>#DIV/0!</v>
      </c>
      <c r="E61" s="51" t="e">
        <f>SUMPRODUCT($B$37:$B$60,E37:E60)/$B$61</f>
        <v>#DIV/0!</v>
      </c>
      <c r="F61" s="27" t="e">
        <f>SUM(C61:E61)</f>
        <v>#DIV/0!</v>
      </c>
      <c r="G61" s="28" t="e">
        <f>SUMPRODUCT($B$37:$B$60,G37:G60)/$B$61</f>
        <v>#DIV/0!</v>
      </c>
      <c r="H61" s="10" t="e">
        <f>SUMPRODUCT($B$37:$B$60,H37:H60)/$B$61</f>
        <v>#DIV/0!</v>
      </c>
      <c r="I61" s="10" t="e">
        <f>SUMPRODUCT($B$37:$B$60,I37:I60)/$B$61</f>
        <v>#DIV/0!</v>
      </c>
      <c r="J61" s="81" t="e">
        <f>SUMPRODUCT(C61:E61,G61:I61)</f>
        <v>#DIV/0!</v>
      </c>
      <c r="K61" s="38">
        <f t="shared" ref="K61:R61" si="23">SUM(K37:K60)</f>
        <v>0</v>
      </c>
      <c r="L61" s="38">
        <f t="shared" si="23"/>
        <v>0</v>
      </c>
      <c r="M61" s="38">
        <f t="shared" si="23"/>
        <v>0</v>
      </c>
      <c r="N61" s="38">
        <f t="shared" si="23"/>
        <v>0</v>
      </c>
      <c r="O61" s="38">
        <f t="shared" si="23"/>
        <v>0</v>
      </c>
      <c r="P61" s="38">
        <f t="shared" si="23"/>
        <v>0</v>
      </c>
      <c r="Q61" s="38">
        <f t="shared" si="23"/>
        <v>0</v>
      </c>
      <c r="R61" s="24">
        <f t="shared" si="23"/>
        <v>0</v>
      </c>
    </row>
    <row r="62" spans="1:30" x14ac:dyDescent="0.25">
      <c r="A62" s="17" t="s">
        <v>8</v>
      </c>
      <c r="B62" s="29" t="b">
        <f>B61='Area&amp;production data'!G29</f>
        <v>1</v>
      </c>
      <c r="C62" s="842"/>
      <c r="D62" s="842"/>
      <c r="E62" s="842"/>
      <c r="F62" s="6"/>
      <c r="N62" s="29" t="b">
        <f>SUM(K61:M61)=N61</f>
        <v>1</v>
      </c>
      <c r="X62" s="39" t="b">
        <f>SUM(O61:Q61)=R61</f>
        <v>1</v>
      </c>
      <c r="AD62" s="1"/>
    </row>
    <row r="63" spans="1:30" x14ac:dyDescent="0.25">
      <c r="A63" s="17"/>
      <c r="C63" s="21"/>
      <c r="D63" s="21"/>
      <c r="E63" s="21"/>
      <c r="N63" s="30" t="e">
        <f>N61/'Area&amp;production data'!X29</f>
        <v>#DIV/0!</v>
      </c>
    </row>
    <row r="64" spans="1:30" x14ac:dyDescent="0.25">
      <c r="A64" s="1" t="s">
        <v>417</v>
      </c>
      <c r="D64" s="3" t="s">
        <v>418</v>
      </c>
      <c r="E64" s="1"/>
      <c r="F64" s="580" t="e">
        <f>'Prices,exch.rates,harvest index'!H60</f>
        <v>#DIV/0!</v>
      </c>
      <c r="G64" t="s">
        <v>96</v>
      </c>
      <c r="H64" s="20" t="s">
        <v>318</v>
      </c>
      <c r="O64" s="20" t="s">
        <v>419</v>
      </c>
      <c r="P64" s="20"/>
      <c r="X64" s="20" t="s">
        <v>320</v>
      </c>
    </row>
    <row r="65" spans="1:23" x14ac:dyDescent="0.25">
      <c r="A65" s="1" t="s">
        <v>101</v>
      </c>
      <c r="B65" s="814" t="s">
        <v>412</v>
      </c>
      <c r="C65" s="814" t="s">
        <v>413</v>
      </c>
      <c r="D65" s="814"/>
      <c r="E65" s="814"/>
      <c r="F65" s="814"/>
      <c r="G65" s="814" t="s">
        <v>322</v>
      </c>
      <c r="H65" s="814"/>
      <c r="I65" s="814"/>
      <c r="J65" s="814"/>
      <c r="K65" s="814" t="s">
        <v>420</v>
      </c>
      <c r="L65" s="814"/>
      <c r="M65" s="814"/>
      <c r="N65" s="814"/>
      <c r="O65" s="814" t="s">
        <v>421</v>
      </c>
      <c r="P65" s="814"/>
      <c r="Q65" s="814"/>
      <c r="R65" s="814"/>
      <c r="V65" s="22"/>
      <c r="W65" s="22"/>
    </row>
    <row r="66" spans="1:23" x14ac:dyDescent="0.25">
      <c r="A66" s="1"/>
      <c r="B66" s="814"/>
      <c r="C66" s="1" t="s">
        <v>136</v>
      </c>
      <c r="D66" s="1" t="s">
        <v>137</v>
      </c>
      <c r="E66" s="1" t="s">
        <v>138</v>
      </c>
      <c r="F66" s="1" t="s">
        <v>120</v>
      </c>
      <c r="G66" s="1" t="s">
        <v>136</v>
      </c>
      <c r="H66" s="1" t="s">
        <v>137</v>
      </c>
      <c r="I66" s="1" t="s">
        <v>289</v>
      </c>
      <c r="J66" s="1" t="s">
        <v>120</v>
      </c>
      <c r="K66" s="1" t="s">
        <v>136</v>
      </c>
      <c r="L66" s="1" t="s">
        <v>137</v>
      </c>
      <c r="M66" s="1" t="s">
        <v>289</v>
      </c>
      <c r="N66" s="1" t="s">
        <v>120</v>
      </c>
      <c r="O66" s="1" t="s">
        <v>136</v>
      </c>
      <c r="P66" s="1" t="s">
        <v>137</v>
      </c>
      <c r="Q66" s="1" t="s">
        <v>289</v>
      </c>
      <c r="R66" s="17"/>
    </row>
    <row r="67" spans="1:23" x14ac:dyDescent="0.25">
      <c r="A67" s="13" t="s">
        <v>139</v>
      </c>
      <c r="B67" s="36">
        <f t="shared" ref="B67:E67" si="24">B37</f>
        <v>0</v>
      </c>
      <c r="C67" s="25">
        <f t="shared" si="24"/>
        <v>0</v>
      </c>
      <c r="D67" s="25">
        <f t="shared" si="24"/>
        <v>0</v>
      </c>
      <c r="E67" s="25">
        <f t="shared" si="24"/>
        <v>0</v>
      </c>
      <c r="F67" s="25">
        <f>SUM(C67:E67)</f>
        <v>0</v>
      </c>
      <c r="G67" s="184" t="e">
        <f t="shared" ref="G67:I67" si="25">$F$64*G37</f>
        <v>#DIV/0!</v>
      </c>
      <c r="H67" s="184" t="e">
        <f t="shared" si="25"/>
        <v>#DIV/0!</v>
      </c>
      <c r="I67" s="184" t="e">
        <f t="shared" si="25"/>
        <v>#DIV/0!</v>
      </c>
      <c r="J67" s="9" t="e">
        <f>SUMPRODUCT(C67:E67,G67:I67)</f>
        <v>#DIV/0!</v>
      </c>
      <c r="K67" s="26" t="e">
        <f t="shared" ref="K67:N67" si="26">G67*C67*$B67</f>
        <v>#DIV/0!</v>
      </c>
      <c r="L67" s="26" t="e">
        <f t="shared" si="26"/>
        <v>#DIV/0!</v>
      </c>
      <c r="M67" s="26" t="e">
        <f t="shared" si="26"/>
        <v>#DIV/0!</v>
      </c>
      <c r="N67" s="26" t="e">
        <f t="shared" si="26"/>
        <v>#DIV/0!</v>
      </c>
      <c r="O67" s="26" t="e">
        <f t="shared" ref="O67:Q67" si="27">$D$23*K67</f>
        <v>#DIV/0!</v>
      </c>
      <c r="P67" s="26" t="e">
        <f t="shared" si="27"/>
        <v>#DIV/0!</v>
      </c>
      <c r="Q67" s="26" t="e">
        <f t="shared" si="27"/>
        <v>#DIV/0!</v>
      </c>
      <c r="R67" s="26" t="e">
        <f>SUM(O67:Q67)</f>
        <v>#DIV/0!</v>
      </c>
    </row>
    <row r="68" spans="1:23" x14ac:dyDescent="0.25">
      <c r="A68" s="13" t="s">
        <v>140</v>
      </c>
      <c r="B68" s="36">
        <f t="shared" ref="B68:E68" si="28">B38</f>
        <v>0</v>
      </c>
      <c r="C68" s="25">
        <f t="shared" si="28"/>
        <v>0</v>
      </c>
      <c r="D68" s="25">
        <f t="shared" si="28"/>
        <v>0</v>
      </c>
      <c r="E68" s="25">
        <f t="shared" si="28"/>
        <v>0</v>
      </c>
      <c r="F68" s="25">
        <f t="shared" ref="F68:F90" si="29">SUM(C68:E68)</f>
        <v>0</v>
      </c>
      <c r="G68" s="184" t="e">
        <f t="shared" ref="G68:I68" si="30">$F$64*G38</f>
        <v>#DIV/0!</v>
      </c>
      <c r="H68" s="184" t="e">
        <f t="shared" si="30"/>
        <v>#DIV/0!</v>
      </c>
      <c r="I68" s="184" t="e">
        <f t="shared" si="30"/>
        <v>#DIV/0!</v>
      </c>
      <c r="J68" s="9" t="e">
        <f t="shared" ref="J68:J90" si="31">SUMPRODUCT(C68:E68,G68:I68)</f>
        <v>#DIV/0!</v>
      </c>
      <c r="K68" s="26" t="e">
        <f t="shared" ref="K68:K90" si="32">G68*C68*$B68</f>
        <v>#DIV/0!</v>
      </c>
      <c r="L68" s="26" t="e">
        <f t="shared" ref="L68:L90" si="33">H68*D68*$B68</f>
        <v>#DIV/0!</v>
      </c>
      <c r="M68" s="26" t="e">
        <f t="shared" ref="M68:M90" si="34">I68*E68*$B68</f>
        <v>#DIV/0!</v>
      </c>
      <c r="N68" s="26" t="e">
        <f t="shared" ref="N68:N90" si="35">J68*F68*$B68</f>
        <v>#DIV/0!</v>
      </c>
      <c r="O68" s="26" t="e">
        <f t="shared" ref="O68:O90" si="36">$D$23*K68</f>
        <v>#DIV/0!</v>
      </c>
      <c r="P68" s="26" t="e">
        <f t="shared" ref="P68:P90" si="37">$D$23*L68</f>
        <v>#DIV/0!</v>
      </c>
      <c r="Q68" s="26" t="e">
        <f t="shared" ref="Q68:Q90" si="38">$D$23*M68</f>
        <v>#DIV/0!</v>
      </c>
      <c r="R68" s="26" t="e">
        <f t="shared" ref="R68:R90" si="39">SUM(O68:Q68)</f>
        <v>#DIV/0!</v>
      </c>
    </row>
    <row r="69" spans="1:23" x14ac:dyDescent="0.25">
      <c r="A69" s="13" t="s">
        <v>141</v>
      </c>
      <c r="B69" s="36">
        <f t="shared" ref="B69:E69" si="40">B39</f>
        <v>0</v>
      </c>
      <c r="C69" s="25">
        <f t="shared" si="40"/>
        <v>0</v>
      </c>
      <c r="D69" s="25">
        <f t="shared" si="40"/>
        <v>0</v>
      </c>
      <c r="E69" s="25">
        <f t="shared" si="40"/>
        <v>0</v>
      </c>
      <c r="F69" s="25">
        <f t="shared" si="29"/>
        <v>0</v>
      </c>
      <c r="G69" s="184" t="e">
        <f t="shared" ref="G69:I69" si="41">$F$64*G39</f>
        <v>#DIV/0!</v>
      </c>
      <c r="H69" s="184" t="e">
        <f t="shared" si="41"/>
        <v>#DIV/0!</v>
      </c>
      <c r="I69" s="184" t="e">
        <f t="shared" si="41"/>
        <v>#DIV/0!</v>
      </c>
      <c r="J69" s="9" t="e">
        <f t="shared" si="31"/>
        <v>#DIV/0!</v>
      </c>
      <c r="K69" s="26" t="e">
        <f t="shared" si="32"/>
        <v>#DIV/0!</v>
      </c>
      <c r="L69" s="26" t="e">
        <f t="shared" si="33"/>
        <v>#DIV/0!</v>
      </c>
      <c r="M69" s="26" t="e">
        <f t="shared" si="34"/>
        <v>#DIV/0!</v>
      </c>
      <c r="N69" s="26" t="e">
        <f t="shared" si="35"/>
        <v>#DIV/0!</v>
      </c>
      <c r="O69" s="26" t="e">
        <f t="shared" si="36"/>
        <v>#DIV/0!</v>
      </c>
      <c r="P69" s="26" t="e">
        <f t="shared" si="37"/>
        <v>#DIV/0!</v>
      </c>
      <c r="Q69" s="26" t="e">
        <f t="shared" si="38"/>
        <v>#DIV/0!</v>
      </c>
      <c r="R69" s="26" t="e">
        <f t="shared" si="39"/>
        <v>#DIV/0!</v>
      </c>
    </row>
    <row r="70" spans="1:23" x14ac:dyDescent="0.25">
      <c r="A70" s="13" t="s">
        <v>142</v>
      </c>
      <c r="B70" s="36">
        <f t="shared" ref="B70:E70" si="42">B40</f>
        <v>0</v>
      </c>
      <c r="C70" s="25">
        <f t="shared" si="42"/>
        <v>0</v>
      </c>
      <c r="D70" s="25">
        <f t="shared" si="42"/>
        <v>0</v>
      </c>
      <c r="E70" s="25">
        <f t="shared" si="42"/>
        <v>0</v>
      </c>
      <c r="F70" s="25">
        <f t="shared" si="29"/>
        <v>0</v>
      </c>
      <c r="G70" s="184" t="e">
        <f t="shared" ref="G70:I70" si="43">$F$64*G40</f>
        <v>#DIV/0!</v>
      </c>
      <c r="H70" s="184" t="e">
        <f t="shared" si="43"/>
        <v>#DIV/0!</v>
      </c>
      <c r="I70" s="184" t="e">
        <f t="shared" si="43"/>
        <v>#DIV/0!</v>
      </c>
      <c r="J70" s="9" t="e">
        <f t="shared" si="31"/>
        <v>#DIV/0!</v>
      </c>
      <c r="K70" s="26" t="e">
        <f t="shared" si="32"/>
        <v>#DIV/0!</v>
      </c>
      <c r="L70" s="26" t="e">
        <f t="shared" si="33"/>
        <v>#DIV/0!</v>
      </c>
      <c r="M70" s="26" t="e">
        <f t="shared" si="34"/>
        <v>#DIV/0!</v>
      </c>
      <c r="N70" s="26" t="e">
        <f t="shared" si="35"/>
        <v>#DIV/0!</v>
      </c>
      <c r="O70" s="26" t="e">
        <f t="shared" si="36"/>
        <v>#DIV/0!</v>
      </c>
      <c r="P70" s="26" t="e">
        <f t="shared" si="37"/>
        <v>#DIV/0!</v>
      </c>
      <c r="Q70" s="26" t="e">
        <f t="shared" si="38"/>
        <v>#DIV/0!</v>
      </c>
      <c r="R70" s="26" t="e">
        <f t="shared" si="39"/>
        <v>#DIV/0!</v>
      </c>
    </row>
    <row r="71" spans="1:23" x14ac:dyDescent="0.25">
      <c r="A71" s="13" t="s">
        <v>143</v>
      </c>
      <c r="B71" s="36">
        <f t="shared" ref="B71:E71" si="44">B41</f>
        <v>0</v>
      </c>
      <c r="C71" s="25">
        <f t="shared" si="44"/>
        <v>0</v>
      </c>
      <c r="D71" s="25">
        <f t="shared" si="44"/>
        <v>0</v>
      </c>
      <c r="E71" s="25">
        <f t="shared" si="44"/>
        <v>0</v>
      </c>
      <c r="F71" s="25">
        <f t="shared" si="29"/>
        <v>0</v>
      </c>
      <c r="G71" s="184" t="e">
        <f t="shared" ref="G71:I71" si="45">$F$64*G41</f>
        <v>#DIV/0!</v>
      </c>
      <c r="H71" s="184" t="e">
        <f t="shared" si="45"/>
        <v>#DIV/0!</v>
      </c>
      <c r="I71" s="184" t="e">
        <f t="shared" si="45"/>
        <v>#DIV/0!</v>
      </c>
      <c r="J71" s="9" t="e">
        <f t="shared" si="31"/>
        <v>#DIV/0!</v>
      </c>
      <c r="K71" s="26" t="e">
        <f t="shared" si="32"/>
        <v>#DIV/0!</v>
      </c>
      <c r="L71" s="26" t="e">
        <f t="shared" si="33"/>
        <v>#DIV/0!</v>
      </c>
      <c r="M71" s="26" t="e">
        <f t="shared" si="34"/>
        <v>#DIV/0!</v>
      </c>
      <c r="N71" s="26" t="e">
        <f t="shared" si="35"/>
        <v>#DIV/0!</v>
      </c>
      <c r="O71" s="26" t="e">
        <f t="shared" si="36"/>
        <v>#DIV/0!</v>
      </c>
      <c r="P71" s="26" t="e">
        <f t="shared" si="37"/>
        <v>#DIV/0!</v>
      </c>
      <c r="Q71" s="26" t="e">
        <f t="shared" si="38"/>
        <v>#DIV/0!</v>
      </c>
      <c r="R71" s="26" t="e">
        <f t="shared" si="39"/>
        <v>#DIV/0!</v>
      </c>
    </row>
    <row r="72" spans="1:23" x14ac:dyDescent="0.25">
      <c r="A72" s="13" t="s">
        <v>144</v>
      </c>
      <c r="B72" s="36">
        <f t="shared" ref="B72:E72" si="46">B42</f>
        <v>0</v>
      </c>
      <c r="C72" s="25">
        <f t="shared" si="46"/>
        <v>0</v>
      </c>
      <c r="D72" s="25">
        <f t="shared" si="46"/>
        <v>0</v>
      </c>
      <c r="E72" s="25">
        <f t="shared" si="46"/>
        <v>0</v>
      </c>
      <c r="F72" s="25">
        <f t="shared" si="29"/>
        <v>0</v>
      </c>
      <c r="G72" s="184" t="e">
        <f t="shared" ref="G72:I72" si="47">$F$64*G42</f>
        <v>#DIV/0!</v>
      </c>
      <c r="H72" s="184" t="e">
        <f t="shared" si="47"/>
        <v>#DIV/0!</v>
      </c>
      <c r="I72" s="184" t="e">
        <f t="shared" si="47"/>
        <v>#DIV/0!</v>
      </c>
      <c r="J72" s="9" t="e">
        <f t="shared" si="31"/>
        <v>#DIV/0!</v>
      </c>
      <c r="K72" s="26" t="e">
        <f t="shared" si="32"/>
        <v>#DIV/0!</v>
      </c>
      <c r="L72" s="26" t="e">
        <f t="shared" si="33"/>
        <v>#DIV/0!</v>
      </c>
      <c r="M72" s="26" t="e">
        <f t="shared" si="34"/>
        <v>#DIV/0!</v>
      </c>
      <c r="N72" s="26" t="e">
        <f t="shared" si="35"/>
        <v>#DIV/0!</v>
      </c>
      <c r="O72" s="26" t="e">
        <f t="shared" si="36"/>
        <v>#DIV/0!</v>
      </c>
      <c r="P72" s="26" t="e">
        <f t="shared" si="37"/>
        <v>#DIV/0!</v>
      </c>
      <c r="Q72" s="26" t="e">
        <f t="shared" si="38"/>
        <v>#DIV/0!</v>
      </c>
      <c r="R72" s="26" t="e">
        <f t="shared" si="39"/>
        <v>#DIV/0!</v>
      </c>
    </row>
    <row r="73" spans="1:23" x14ac:dyDescent="0.25">
      <c r="A73" s="13" t="s">
        <v>145</v>
      </c>
      <c r="B73" s="36">
        <f t="shared" ref="B73:E73" si="48">B43</f>
        <v>0</v>
      </c>
      <c r="C73" s="25">
        <f t="shared" si="48"/>
        <v>0</v>
      </c>
      <c r="D73" s="25">
        <f t="shared" si="48"/>
        <v>0</v>
      </c>
      <c r="E73" s="25">
        <f t="shared" si="48"/>
        <v>0</v>
      </c>
      <c r="F73" s="25">
        <f t="shared" si="29"/>
        <v>0</v>
      </c>
      <c r="G73" s="184" t="e">
        <f t="shared" ref="G73:I73" si="49">$F$64*G43</f>
        <v>#DIV/0!</v>
      </c>
      <c r="H73" s="184" t="e">
        <f t="shared" si="49"/>
        <v>#DIV/0!</v>
      </c>
      <c r="I73" s="184" t="e">
        <f t="shared" si="49"/>
        <v>#DIV/0!</v>
      </c>
      <c r="J73" s="9" t="e">
        <f t="shared" si="31"/>
        <v>#DIV/0!</v>
      </c>
      <c r="K73" s="26" t="e">
        <f t="shared" si="32"/>
        <v>#DIV/0!</v>
      </c>
      <c r="L73" s="26" t="e">
        <f t="shared" si="33"/>
        <v>#DIV/0!</v>
      </c>
      <c r="M73" s="26" t="e">
        <f t="shared" si="34"/>
        <v>#DIV/0!</v>
      </c>
      <c r="N73" s="26" t="e">
        <f t="shared" si="35"/>
        <v>#DIV/0!</v>
      </c>
      <c r="O73" s="26" t="e">
        <f t="shared" si="36"/>
        <v>#DIV/0!</v>
      </c>
      <c r="P73" s="26" t="e">
        <f t="shared" si="37"/>
        <v>#DIV/0!</v>
      </c>
      <c r="Q73" s="26" t="e">
        <f t="shared" si="38"/>
        <v>#DIV/0!</v>
      </c>
      <c r="R73" s="26" t="e">
        <f t="shared" si="39"/>
        <v>#DIV/0!</v>
      </c>
    </row>
    <row r="74" spans="1:23" x14ac:dyDescent="0.25">
      <c r="A74" s="13" t="s">
        <v>146</v>
      </c>
      <c r="B74" s="36">
        <f t="shared" ref="B74:E74" si="50">B44</f>
        <v>0</v>
      </c>
      <c r="C74" s="25">
        <f t="shared" si="50"/>
        <v>0</v>
      </c>
      <c r="D74" s="25">
        <f t="shared" si="50"/>
        <v>0</v>
      </c>
      <c r="E74" s="25">
        <f t="shared" si="50"/>
        <v>0</v>
      </c>
      <c r="F74" s="25">
        <f t="shared" si="29"/>
        <v>0</v>
      </c>
      <c r="G74" s="184" t="e">
        <f t="shared" ref="G74:I74" si="51">$F$64*G44</f>
        <v>#DIV/0!</v>
      </c>
      <c r="H74" s="184" t="e">
        <f t="shared" si="51"/>
        <v>#DIV/0!</v>
      </c>
      <c r="I74" s="184" t="e">
        <f t="shared" si="51"/>
        <v>#DIV/0!</v>
      </c>
      <c r="J74" s="9" t="e">
        <f t="shared" si="31"/>
        <v>#DIV/0!</v>
      </c>
      <c r="K74" s="26" t="e">
        <f t="shared" si="32"/>
        <v>#DIV/0!</v>
      </c>
      <c r="L74" s="26" t="e">
        <f t="shared" si="33"/>
        <v>#DIV/0!</v>
      </c>
      <c r="M74" s="26" t="e">
        <f t="shared" si="34"/>
        <v>#DIV/0!</v>
      </c>
      <c r="N74" s="26" t="e">
        <f t="shared" si="35"/>
        <v>#DIV/0!</v>
      </c>
      <c r="O74" s="26" t="e">
        <f t="shared" si="36"/>
        <v>#DIV/0!</v>
      </c>
      <c r="P74" s="26" t="e">
        <f t="shared" si="37"/>
        <v>#DIV/0!</v>
      </c>
      <c r="Q74" s="26" t="e">
        <f t="shared" si="38"/>
        <v>#DIV/0!</v>
      </c>
      <c r="R74" s="26" t="e">
        <f t="shared" si="39"/>
        <v>#DIV/0!</v>
      </c>
    </row>
    <row r="75" spans="1:23" x14ac:dyDescent="0.25">
      <c r="A75" s="13" t="s">
        <v>147</v>
      </c>
      <c r="B75" s="36">
        <f t="shared" ref="B75:E75" si="52">B45</f>
        <v>0</v>
      </c>
      <c r="C75" s="25">
        <f t="shared" si="52"/>
        <v>0</v>
      </c>
      <c r="D75" s="25">
        <f t="shared" si="52"/>
        <v>0</v>
      </c>
      <c r="E75" s="25">
        <f t="shared" si="52"/>
        <v>0</v>
      </c>
      <c r="F75" s="25">
        <f t="shared" si="29"/>
        <v>0</v>
      </c>
      <c r="G75" s="184" t="e">
        <f t="shared" ref="G75:I75" si="53">$F$64*G45</f>
        <v>#DIV/0!</v>
      </c>
      <c r="H75" s="184" t="e">
        <f t="shared" si="53"/>
        <v>#DIV/0!</v>
      </c>
      <c r="I75" s="184" t="e">
        <f t="shared" si="53"/>
        <v>#DIV/0!</v>
      </c>
      <c r="J75" s="9" t="e">
        <f t="shared" si="31"/>
        <v>#DIV/0!</v>
      </c>
      <c r="K75" s="26" t="e">
        <f t="shared" si="32"/>
        <v>#DIV/0!</v>
      </c>
      <c r="L75" s="26" t="e">
        <f t="shared" si="33"/>
        <v>#DIV/0!</v>
      </c>
      <c r="M75" s="26" t="e">
        <f t="shared" si="34"/>
        <v>#DIV/0!</v>
      </c>
      <c r="N75" s="26" t="e">
        <f t="shared" si="35"/>
        <v>#DIV/0!</v>
      </c>
      <c r="O75" s="26" t="e">
        <f t="shared" si="36"/>
        <v>#DIV/0!</v>
      </c>
      <c r="P75" s="26" t="e">
        <f t="shared" si="37"/>
        <v>#DIV/0!</v>
      </c>
      <c r="Q75" s="26" t="e">
        <f t="shared" si="38"/>
        <v>#DIV/0!</v>
      </c>
      <c r="R75" s="26" t="e">
        <f t="shared" si="39"/>
        <v>#DIV/0!</v>
      </c>
    </row>
    <row r="76" spans="1:23" x14ac:dyDescent="0.25">
      <c r="A76" s="13" t="s">
        <v>148</v>
      </c>
      <c r="B76" s="36">
        <f t="shared" ref="B76:E76" si="54">B46</f>
        <v>0</v>
      </c>
      <c r="C76" s="25">
        <f t="shared" si="54"/>
        <v>0</v>
      </c>
      <c r="D76" s="25">
        <f t="shared" si="54"/>
        <v>0</v>
      </c>
      <c r="E76" s="25">
        <f t="shared" si="54"/>
        <v>0</v>
      </c>
      <c r="F76" s="25">
        <f t="shared" si="29"/>
        <v>0</v>
      </c>
      <c r="G76" s="184" t="e">
        <f t="shared" ref="G76:I76" si="55">$F$64*G46</f>
        <v>#DIV/0!</v>
      </c>
      <c r="H76" s="184" t="e">
        <f t="shared" si="55"/>
        <v>#DIV/0!</v>
      </c>
      <c r="I76" s="184" t="e">
        <f t="shared" si="55"/>
        <v>#DIV/0!</v>
      </c>
      <c r="J76" s="9" t="e">
        <f t="shared" si="31"/>
        <v>#DIV/0!</v>
      </c>
      <c r="K76" s="26" t="e">
        <f t="shared" si="32"/>
        <v>#DIV/0!</v>
      </c>
      <c r="L76" s="26" t="e">
        <f t="shared" si="33"/>
        <v>#DIV/0!</v>
      </c>
      <c r="M76" s="26" t="e">
        <f t="shared" si="34"/>
        <v>#DIV/0!</v>
      </c>
      <c r="N76" s="26" t="e">
        <f t="shared" si="35"/>
        <v>#DIV/0!</v>
      </c>
      <c r="O76" s="26" t="e">
        <f t="shared" si="36"/>
        <v>#DIV/0!</v>
      </c>
      <c r="P76" s="26" t="e">
        <f t="shared" si="37"/>
        <v>#DIV/0!</v>
      </c>
      <c r="Q76" s="26" t="e">
        <f t="shared" si="38"/>
        <v>#DIV/0!</v>
      </c>
      <c r="R76" s="26" t="e">
        <f t="shared" si="39"/>
        <v>#DIV/0!</v>
      </c>
    </row>
    <row r="77" spans="1:23" x14ac:dyDescent="0.25">
      <c r="A77" s="13" t="s">
        <v>149</v>
      </c>
      <c r="B77" s="36">
        <f t="shared" ref="B77:E77" si="56">B47</f>
        <v>0</v>
      </c>
      <c r="C77" s="25">
        <f t="shared" si="56"/>
        <v>0</v>
      </c>
      <c r="D77" s="25">
        <f t="shared" si="56"/>
        <v>0</v>
      </c>
      <c r="E77" s="25">
        <f t="shared" si="56"/>
        <v>0</v>
      </c>
      <c r="F77" s="25">
        <f t="shared" si="29"/>
        <v>0</v>
      </c>
      <c r="G77" s="184" t="e">
        <f t="shared" ref="G77:I77" si="57">$F$64*G47</f>
        <v>#DIV/0!</v>
      </c>
      <c r="H77" s="184" t="e">
        <f t="shared" si="57"/>
        <v>#DIV/0!</v>
      </c>
      <c r="I77" s="184" t="e">
        <f t="shared" si="57"/>
        <v>#DIV/0!</v>
      </c>
      <c r="J77" s="9" t="e">
        <f t="shared" si="31"/>
        <v>#DIV/0!</v>
      </c>
      <c r="K77" s="26" t="e">
        <f t="shared" si="32"/>
        <v>#DIV/0!</v>
      </c>
      <c r="L77" s="26" t="e">
        <f t="shared" si="33"/>
        <v>#DIV/0!</v>
      </c>
      <c r="M77" s="26" t="e">
        <f t="shared" si="34"/>
        <v>#DIV/0!</v>
      </c>
      <c r="N77" s="26" t="e">
        <f t="shared" si="35"/>
        <v>#DIV/0!</v>
      </c>
      <c r="O77" s="26" t="e">
        <f t="shared" si="36"/>
        <v>#DIV/0!</v>
      </c>
      <c r="P77" s="26" t="e">
        <f t="shared" si="37"/>
        <v>#DIV/0!</v>
      </c>
      <c r="Q77" s="26" t="e">
        <f t="shared" si="38"/>
        <v>#DIV/0!</v>
      </c>
      <c r="R77" s="26" t="e">
        <f t="shared" si="39"/>
        <v>#DIV/0!</v>
      </c>
    </row>
    <row r="78" spans="1:23" x14ac:dyDescent="0.25">
      <c r="A78" s="13" t="s">
        <v>150</v>
      </c>
      <c r="B78" s="36">
        <f t="shared" ref="B78:E78" si="58">B48</f>
        <v>0</v>
      </c>
      <c r="C78" s="25">
        <f t="shared" si="58"/>
        <v>0</v>
      </c>
      <c r="D78" s="25">
        <f t="shared" si="58"/>
        <v>0</v>
      </c>
      <c r="E78" s="25">
        <f t="shared" si="58"/>
        <v>0</v>
      </c>
      <c r="F78" s="25">
        <f t="shared" si="29"/>
        <v>0</v>
      </c>
      <c r="G78" s="184" t="e">
        <f t="shared" ref="G78:I78" si="59">$F$64*G48</f>
        <v>#DIV/0!</v>
      </c>
      <c r="H78" s="184" t="e">
        <f t="shared" si="59"/>
        <v>#DIV/0!</v>
      </c>
      <c r="I78" s="184" t="e">
        <f t="shared" si="59"/>
        <v>#DIV/0!</v>
      </c>
      <c r="J78" s="9" t="e">
        <f t="shared" si="31"/>
        <v>#DIV/0!</v>
      </c>
      <c r="K78" s="26" t="e">
        <f t="shared" si="32"/>
        <v>#DIV/0!</v>
      </c>
      <c r="L78" s="26" t="e">
        <f t="shared" si="33"/>
        <v>#DIV/0!</v>
      </c>
      <c r="M78" s="26" t="e">
        <f t="shared" si="34"/>
        <v>#DIV/0!</v>
      </c>
      <c r="N78" s="26" t="e">
        <f t="shared" si="35"/>
        <v>#DIV/0!</v>
      </c>
      <c r="O78" s="26" t="e">
        <f t="shared" si="36"/>
        <v>#DIV/0!</v>
      </c>
      <c r="P78" s="26" t="e">
        <f t="shared" si="37"/>
        <v>#DIV/0!</v>
      </c>
      <c r="Q78" s="26" t="e">
        <f t="shared" si="38"/>
        <v>#DIV/0!</v>
      </c>
      <c r="R78" s="26" t="e">
        <f t="shared" si="39"/>
        <v>#DIV/0!</v>
      </c>
    </row>
    <row r="79" spans="1:23" x14ac:dyDescent="0.25">
      <c r="A79" s="13" t="s">
        <v>151</v>
      </c>
      <c r="B79" s="36">
        <f t="shared" ref="B79:E79" si="60">B49</f>
        <v>0</v>
      </c>
      <c r="C79" s="25">
        <f t="shared" si="60"/>
        <v>0</v>
      </c>
      <c r="D79" s="25">
        <f t="shared" si="60"/>
        <v>0</v>
      </c>
      <c r="E79" s="25">
        <f t="shared" si="60"/>
        <v>0</v>
      </c>
      <c r="F79" s="25">
        <f t="shared" si="29"/>
        <v>0</v>
      </c>
      <c r="G79" s="184" t="e">
        <f t="shared" ref="G79:I79" si="61">$F$64*G49</f>
        <v>#DIV/0!</v>
      </c>
      <c r="H79" s="184" t="e">
        <f t="shared" si="61"/>
        <v>#DIV/0!</v>
      </c>
      <c r="I79" s="184" t="e">
        <f t="shared" si="61"/>
        <v>#DIV/0!</v>
      </c>
      <c r="J79" s="9" t="e">
        <f t="shared" si="31"/>
        <v>#DIV/0!</v>
      </c>
      <c r="K79" s="26" t="e">
        <f t="shared" si="32"/>
        <v>#DIV/0!</v>
      </c>
      <c r="L79" s="26" t="e">
        <f t="shared" si="33"/>
        <v>#DIV/0!</v>
      </c>
      <c r="M79" s="26" t="e">
        <f t="shared" si="34"/>
        <v>#DIV/0!</v>
      </c>
      <c r="N79" s="26" t="e">
        <f t="shared" si="35"/>
        <v>#DIV/0!</v>
      </c>
      <c r="O79" s="26" t="e">
        <f t="shared" si="36"/>
        <v>#DIV/0!</v>
      </c>
      <c r="P79" s="26" t="e">
        <f t="shared" si="37"/>
        <v>#DIV/0!</v>
      </c>
      <c r="Q79" s="26" t="e">
        <f t="shared" si="38"/>
        <v>#DIV/0!</v>
      </c>
      <c r="R79" s="26" t="e">
        <f t="shared" si="39"/>
        <v>#DIV/0!</v>
      </c>
    </row>
    <row r="80" spans="1:23" x14ac:dyDescent="0.25">
      <c r="A80" s="13" t="s">
        <v>152</v>
      </c>
      <c r="B80" s="36">
        <f t="shared" ref="B80:E80" si="62">B50</f>
        <v>0</v>
      </c>
      <c r="C80" s="25">
        <f t="shared" si="62"/>
        <v>0</v>
      </c>
      <c r="D80" s="25">
        <f t="shared" si="62"/>
        <v>0</v>
      </c>
      <c r="E80" s="25">
        <f t="shared" si="62"/>
        <v>0</v>
      </c>
      <c r="F80" s="25">
        <f t="shared" si="29"/>
        <v>0</v>
      </c>
      <c r="G80" s="184" t="e">
        <f t="shared" ref="G80:I80" si="63">$F$64*G50</f>
        <v>#DIV/0!</v>
      </c>
      <c r="H80" s="184" t="e">
        <f t="shared" si="63"/>
        <v>#DIV/0!</v>
      </c>
      <c r="I80" s="184" t="e">
        <f t="shared" si="63"/>
        <v>#DIV/0!</v>
      </c>
      <c r="J80" s="9" t="e">
        <f t="shared" si="31"/>
        <v>#DIV/0!</v>
      </c>
      <c r="K80" s="26" t="e">
        <f t="shared" si="32"/>
        <v>#DIV/0!</v>
      </c>
      <c r="L80" s="26" t="e">
        <f t="shared" si="33"/>
        <v>#DIV/0!</v>
      </c>
      <c r="M80" s="26" t="e">
        <f t="shared" si="34"/>
        <v>#DIV/0!</v>
      </c>
      <c r="N80" s="26" t="e">
        <f t="shared" si="35"/>
        <v>#DIV/0!</v>
      </c>
      <c r="O80" s="26" t="e">
        <f t="shared" si="36"/>
        <v>#DIV/0!</v>
      </c>
      <c r="P80" s="26" t="e">
        <f t="shared" si="37"/>
        <v>#DIV/0!</v>
      </c>
      <c r="Q80" s="26" t="e">
        <f t="shared" si="38"/>
        <v>#DIV/0!</v>
      </c>
      <c r="R80" s="26" t="e">
        <f t="shared" si="39"/>
        <v>#DIV/0!</v>
      </c>
    </row>
    <row r="81" spans="1:20" x14ac:dyDescent="0.25">
      <c r="A81" s="13" t="s">
        <v>153</v>
      </c>
      <c r="B81" s="36">
        <f t="shared" ref="B81:E81" si="64">B51</f>
        <v>0</v>
      </c>
      <c r="C81" s="25">
        <f t="shared" si="64"/>
        <v>0</v>
      </c>
      <c r="D81" s="25">
        <f t="shared" si="64"/>
        <v>0</v>
      </c>
      <c r="E81" s="25">
        <f t="shared" si="64"/>
        <v>0</v>
      </c>
      <c r="F81" s="25">
        <f t="shared" si="29"/>
        <v>0</v>
      </c>
      <c r="G81" s="184" t="e">
        <f t="shared" ref="G81:I81" si="65">$F$64*G51</f>
        <v>#DIV/0!</v>
      </c>
      <c r="H81" s="184" t="e">
        <f t="shared" si="65"/>
        <v>#DIV/0!</v>
      </c>
      <c r="I81" s="184" t="e">
        <f t="shared" si="65"/>
        <v>#DIV/0!</v>
      </c>
      <c r="J81" s="9" t="e">
        <f t="shared" si="31"/>
        <v>#DIV/0!</v>
      </c>
      <c r="K81" s="26" t="e">
        <f t="shared" si="32"/>
        <v>#DIV/0!</v>
      </c>
      <c r="L81" s="26" t="e">
        <f t="shared" si="33"/>
        <v>#DIV/0!</v>
      </c>
      <c r="M81" s="26" t="e">
        <f t="shared" si="34"/>
        <v>#DIV/0!</v>
      </c>
      <c r="N81" s="26" t="e">
        <f t="shared" si="35"/>
        <v>#DIV/0!</v>
      </c>
      <c r="O81" s="26" t="e">
        <f t="shared" si="36"/>
        <v>#DIV/0!</v>
      </c>
      <c r="P81" s="26" t="e">
        <f t="shared" si="37"/>
        <v>#DIV/0!</v>
      </c>
      <c r="Q81" s="26" t="e">
        <f t="shared" si="38"/>
        <v>#DIV/0!</v>
      </c>
      <c r="R81" s="26" t="e">
        <f t="shared" si="39"/>
        <v>#DIV/0!</v>
      </c>
      <c r="S81" s="39" t="e">
        <f>SUM(O91:Q91)=R91</f>
        <v>#DIV/0!</v>
      </c>
    </row>
    <row r="82" spans="1:20" x14ac:dyDescent="0.25">
      <c r="A82" s="13" t="s">
        <v>154</v>
      </c>
      <c r="B82" s="36">
        <f t="shared" ref="B82:E82" si="66">B52</f>
        <v>0</v>
      </c>
      <c r="C82" s="25">
        <f t="shared" si="66"/>
        <v>0</v>
      </c>
      <c r="D82" s="25">
        <f t="shared" si="66"/>
        <v>0</v>
      </c>
      <c r="E82" s="25">
        <f t="shared" si="66"/>
        <v>0</v>
      </c>
      <c r="F82" s="25">
        <f t="shared" si="29"/>
        <v>0</v>
      </c>
      <c r="G82" s="184" t="e">
        <f t="shared" ref="G82:I82" si="67">$F$64*G52</f>
        <v>#DIV/0!</v>
      </c>
      <c r="H82" s="184" t="e">
        <f t="shared" si="67"/>
        <v>#DIV/0!</v>
      </c>
      <c r="I82" s="184" t="e">
        <f t="shared" si="67"/>
        <v>#DIV/0!</v>
      </c>
      <c r="J82" s="9" t="e">
        <f t="shared" si="31"/>
        <v>#DIV/0!</v>
      </c>
      <c r="K82" s="26" t="e">
        <f t="shared" si="32"/>
        <v>#DIV/0!</v>
      </c>
      <c r="L82" s="26" t="e">
        <f t="shared" si="33"/>
        <v>#DIV/0!</v>
      </c>
      <c r="M82" s="26" t="e">
        <f t="shared" si="34"/>
        <v>#DIV/0!</v>
      </c>
      <c r="N82" s="26" t="e">
        <f t="shared" si="35"/>
        <v>#DIV/0!</v>
      </c>
      <c r="O82" s="26" t="e">
        <f t="shared" si="36"/>
        <v>#DIV/0!</v>
      </c>
      <c r="P82" s="26" t="e">
        <f t="shared" si="37"/>
        <v>#DIV/0!</v>
      </c>
      <c r="Q82" s="26" t="e">
        <f t="shared" si="38"/>
        <v>#DIV/0!</v>
      </c>
      <c r="R82" s="26" t="e">
        <f t="shared" si="39"/>
        <v>#DIV/0!</v>
      </c>
    </row>
    <row r="83" spans="1:20" x14ac:dyDescent="0.25">
      <c r="A83" s="13" t="s">
        <v>155</v>
      </c>
      <c r="B83" s="36">
        <f t="shared" ref="B83:E83" si="68">B53</f>
        <v>0</v>
      </c>
      <c r="C83" s="25">
        <f t="shared" si="68"/>
        <v>0</v>
      </c>
      <c r="D83" s="25">
        <f t="shared" si="68"/>
        <v>0</v>
      </c>
      <c r="E83" s="25">
        <f t="shared" si="68"/>
        <v>0</v>
      </c>
      <c r="F83" s="25">
        <f t="shared" si="29"/>
        <v>0</v>
      </c>
      <c r="G83" s="184" t="e">
        <f t="shared" ref="G83:I83" si="69">$F$64*G53</f>
        <v>#DIV/0!</v>
      </c>
      <c r="H83" s="184" t="e">
        <f t="shared" si="69"/>
        <v>#DIV/0!</v>
      </c>
      <c r="I83" s="184" t="e">
        <f t="shared" si="69"/>
        <v>#DIV/0!</v>
      </c>
      <c r="J83" s="9" t="e">
        <f t="shared" si="31"/>
        <v>#DIV/0!</v>
      </c>
      <c r="K83" s="26" t="e">
        <f t="shared" si="32"/>
        <v>#DIV/0!</v>
      </c>
      <c r="L83" s="26" t="e">
        <f t="shared" si="33"/>
        <v>#DIV/0!</v>
      </c>
      <c r="M83" s="26" t="e">
        <f t="shared" si="34"/>
        <v>#DIV/0!</v>
      </c>
      <c r="N83" s="26" t="e">
        <f t="shared" si="35"/>
        <v>#DIV/0!</v>
      </c>
      <c r="O83" s="26" t="e">
        <f t="shared" si="36"/>
        <v>#DIV/0!</v>
      </c>
      <c r="P83" s="26" t="e">
        <f t="shared" si="37"/>
        <v>#DIV/0!</v>
      </c>
      <c r="Q83" s="26" t="e">
        <f t="shared" si="38"/>
        <v>#DIV/0!</v>
      </c>
      <c r="R83" s="26" t="e">
        <f t="shared" si="39"/>
        <v>#DIV/0!</v>
      </c>
    </row>
    <row r="84" spans="1:20" x14ac:dyDescent="0.25">
      <c r="A84" s="13" t="s">
        <v>156</v>
      </c>
      <c r="B84" s="36">
        <f t="shared" ref="B84:E84" si="70">B54</f>
        <v>0</v>
      </c>
      <c r="C84" s="25">
        <f t="shared" si="70"/>
        <v>0</v>
      </c>
      <c r="D84" s="25">
        <f t="shared" si="70"/>
        <v>0</v>
      </c>
      <c r="E84" s="25">
        <f t="shared" si="70"/>
        <v>0</v>
      </c>
      <c r="F84" s="25">
        <f t="shared" si="29"/>
        <v>0</v>
      </c>
      <c r="G84" s="184" t="e">
        <f t="shared" ref="G84:I84" si="71">$F$64*G54</f>
        <v>#DIV/0!</v>
      </c>
      <c r="H84" s="184" t="e">
        <f t="shared" si="71"/>
        <v>#DIV/0!</v>
      </c>
      <c r="I84" s="184" t="e">
        <f t="shared" si="71"/>
        <v>#DIV/0!</v>
      </c>
      <c r="J84" s="9" t="e">
        <f t="shared" si="31"/>
        <v>#DIV/0!</v>
      </c>
      <c r="K84" s="26" t="e">
        <f t="shared" si="32"/>
        <v>#DIV/0!</v>
      </c>
      <c r="L84" s="26" t="e">
        <f t="shared" si="33"/>
        <v>#DIV/0!</v>
      </c>
      <c r="M84" s="26" t="e">
        <f t="shared" si="34"/>
        <v>#DIV/0!</v>
      </c>
      <c r="N84" s="26" t="e">
        <f t="shared" si="35"/>
        <v>#DIV/0!</v>
      </c>
      <c r="O84" s="26" t="e">
        <f t="shared" si="36"/>
        <v>#DIV/0!</v>
      </c>
      <c r="P84" s="26" t="e">
        <f t="shared" si="37"/>
        <v>#DIV/0!</v>
      </c>
      <c r="Q84" s="26" t="e">
        <f t="shared" si="38"/>
        <v>#DIV/0!</v>
      </c>
      <c r="R84" s="26" t="e">
        <f t="shared" si="39"/>
        <v>#DIV/0!</v>
      </c>
    </row>
    <row r="85" spans="1:20" x14ac:dyDescent="0.25">
      <c r="A85" s="13" t="s">
        <v>157</v>
      </c>
      <c r="B85" s="36">
        <f t="shared" ref="B85:E85" si="72">B55</f>
        <v>0</v>
      </c>
      <c r="C85" s="25">
        <f t="shared" si="72"/>
        <v>0</v>
      </c>
      <c r="D85" s="25">
        <f t="shared" si="72"/>
        <v>0</v>
      </c>
      <c r="E85" s="25">
        <f t="shared" si="72"/>
        <v>0</v>
      </c>
      <c r="F85" s="25">
        <f t="shared" si="29"/>
        <v>0</v>
      </c>
      <c r="G85" s="184" t="e">
        <f t="shared" ref="G85:I85" si="73">$F$64*G55</f>
        <v>#DIV/0!</v>
      </c>
      <c r="H85" s="184" t="e">
        <f t="shared" si="73"/>
        <v>#DIV/0!</v>
      </c>
      <c r="I85" s="184" t="e">
        <f t="shared" si="73"/>
        <v>#DIV/0!</v>
      </c>
      <c r="J85" s="9" t="e">
        <f t="shared" si="31"/>
        <v>#DIV/0!</v>
      </c>
      <c r="K85" s="26" t="e">
        <f t="shared" si="32"/>
        <v>#DIV/0!</v>
      </c>
      <c r="L85" s="26" t="e">
        <f t="shared" si="33"/>
        <v>#DIV/0!</v>
      </c>
      <c r="M85" s="26" t="e">
        <f t="shared" si="34"/>
        <v>#DIV/0!</v>
      </c>
      <c r="N85" s="26" t="e">
        <f t="shared" si="35"/>
        <v>#DIV/0!</v>
      </c>
      <c r="O85" s="26" t="e">
        <f t="shared" si="36"/>
        <v>#DIV/0!</v>
      </c>
      <c r="P85" s="26" t="e">
        <f t="shared" si="37"/>
        <v>#DIV/0!</v>
      </c>
      <c r="Q85" s="26" t="e">
        <f t="shared" si="38"/>
        <v>#DIV/0!</v>
      </c>
      <c r="R85" s="26" t="e">
        <f t="shared" si="39"/>
        <v>#DIV/0!</v>
      </c>
    </row>
    <row r="86" spans="1:20" ht="38.450000000000003" customHeight="1" x14ac:dyDescent="0.25">
      <c r="A86" s="13" t="s">
        <v>158</v>
      </c>
      <c r="B86" s="36">
        <f t="shared" ref="B86:E86" si="74">B56</f>
        <v>0</v>
      </c>
      <c r="C86" s="25">
        <f t="shared" si="74"/>
        <v>0</v>
      </c>
      <c r="D86" s="25">
        <f t="shared" si="74"/>
        <v>0</v>
      </c>
      <c r="E86" s="25">
        <f t="shared" si="74"/>
        <v>0</v>
      </c>
      <c r="F86" s="25">
        <f t="shared" si="29"/>
        <v>0</v>
      </c>
      <c r="G86" s="184" t="e">
        <f t="shared" ref="G86:I86" si="75">$F$64*G56</f>
        <v>#DIV/0!</v>
      </c>
      <c r="H86" s="184" t="e">
        <f t="shared" si="75"/>
        <v>#DIV/0!</v>
      </c>
      <c r="I86" s="184" t="e">
        <f t="shared" si="75"/>
        <v>#DIV/0!</v>
      </c>
      <c r="J86" s="9" t="e">
        <f t="shared" si="31"/>
        <v>#DIV/0!</v>
      </c>
      <c r="K86" s="26" t="e">
        <f t="shared" si="32"/>
        <v>#DIV/0!</v>
      </c>
      <c r="L86" s="26" t="e">
        <f t="shared" si="33"/>
        <v>#DIV/0!</v>
      </c>
      <c r="M86" s="26" t="e">
        <f t="shared" si="34"/>
        <v>#DIV/0!</v>
      </c>
      <c r="N86" s="26" t="e">
        <f t="shared" si="35"/>
        <v>#DIV/0!</v>
      </c>
      <c r="O86" s="26" t="e">
        <f t="shared" si="36"/>
        <v>#DIV/0!</v>
      </c>
      <c r="P86" s="26" t="e">
        <f t="shared" si="37"/>
        <v>#DIV/0!</v>
      </c>
      <c r="Q86" s="26" t="e">
        <f t="shared" si="38"/>
        <v>#DIV/0!</v>
      </c>
      <c r="R86" s="26" t="e">
        <f t="shared" si="39"/>
        <v>#DIV/0!</v>
      </c>
    </row>
    <row r="87" spans="1:20" ht="33.6" customHeight="1" x14ac:dyDescent="0.25">
      <c r="A87" s="13" t="s">
        <v>159</v>
      </c>
      <c r="B87" s="36">
        <f t="shared" ref="B87:E87" si="76">B57</f>
        <v>0</v>
      </c>
      <c r="C87" s="25">
        <f t="shared" si="76"/>
        <v>0</v>
      </c>
      <c r="D87" s="25">
        <f t="shared" si="76"/>
        <v>0</v>
      </c>
      <c r="E87" s="25">
        <f t="shared" si="76"/>
        <v>0</v>
      </c>
      <c r="F87" s="25">
        <f t="shared" si="29"/>
        <v>0</v>
      </c>
      <c r="G87" s="184" t="e">
        <f t="shared" ref="G87:I87" si="77">$F$64*G57</f>
        <v>#DIV/0!</v>
      </c>
      <c r="H87" s="184" t="e">
        <f t="shared" si="77"/>
        <v>#DIV/0!</v>
      </c>
      <c r="I87" s="184" t="e">
        <f t="shared" si="77"/>
        <v>#DIV/0!</v>
      </c>
      <c r="J87" s="9" t="e">
        <f t="shared" si="31"/>
        <v>#DIV/0!</v>
      </c>
      <c r="K87" s="26" t="e">
        <f t="shared" si="32"/>
        <v>#DIV/0!</v>
      </c>
      <c r="L87" s="26" t="e">
        <f t="shared" si="33"/>
        <v>#DIV/0!</v>
      </c>
      <c r="M87" s="26" t="e">
        <f t="shared" si="34"/>
        <v>#DIV/0!</v>
      </c>
      <c r="N87" s="26" t="e">
        <f t="shared" si="35"/>
        <v>#DIV/0!</v>
      </c>
      <c r="O87" s="26" t="e">
        <f t="shared" si="36"/>
        <v>#DIV/0!</v>
      </c>
      <c r="P87" s="26" t="e">
        <f t="shared" si="37"/>
        <v>#DIV/0!</v>
      </c>
      <c r="Q87" s="26" t="e">
        <f t="shared" si="38"/>
        <v>#DIV/0!</v>
      </c>
      <c r="R87" s="26" t="e">
        <f t="shared" si="39"/>
        <v>#DIV/0!</v>
      </c>
      <c r="S87" s="44"/>
      <c r="T87" s="44"/>
    </row>
    <row r="88" spans="1:20" x14ac:dyDescent="0.25">
      <c r="A88" s="13" t="s">
        <v>160</v>
      </c>
      <c r="B88" s="36">
        <f t="shared" ref="B88:E88" si="78">B58</f>
        <v>0</v>
      </c>
      <c r="C88" s="25">
        <f t="shared" si="78"/>
        <v>0</v>
      </c>
      <c r="D88" s="25">
        <f t="shared" si="78"/>
        <v>0</v>
      </c>
      <c r="E88" s="25">
        <f t="shared" si="78"/>
        <v>0</v>
      </c>
      <c r="F88" s="25">
        <f t="shared" si="29"/>
        <v>0</v>
      </c>
      <c r="G88" s="184" t="e">
        <f t="shared" ref="G88:I88" si="79">$F$64*G58</f>
        <v>#DIV/0!</v>
      </c>
      <c r="H88" s="184" t="e">
        <f t="shared" si="79"/>
        <v>#DIV/0!</v>
      </c>
      <c r="I88" s="184" t="e">
        <f t="shared" si="79"/>
        <v>#DIV/0!</v>
      </c>
      <c r="J88" s="9" t="e">
        <f t="shared" si="31"/>
        <v>#DIV/0!</v>
      </c>
      <c r="K88" s="26" t="e">
        <f t="shared" si="32"/>
        <v>#DIV/0!</v>
      </c>
      <c r="L88" s="26" t="e">
        <f t="shared" si="33"/>
        <v>#DIV/0!</v>
      </c>
      <c r="M88" s="26" t="e">
        <f t="shared" si="34"/>
        <v>#DIV/0!</v>
      </c>
      <c r="N88" s="26" t="e">
        <f t="shared" si="35"/>
        <v>#DIV/0!</v>
      </c>
      <c r="O88" s="26" t="e">
        <f t="shared" si="36"/>
        <v>#DIV/0!</v>
      </c>
      <c r="P88" s="26" t="e">
        <f t="shared" si="37"/>
        <v>#DIV/0!</v>
      </c>
      <c r="Q88" s="26" t="e">
        <f t="shared" si="38"/>
        <v>#DIV/0!</v>
      </c>
      <c r="R88" s="26" t="e">
        <f t="shared" si="39"/>
        <v>#DIV/0!</v>
      </c>
    </row>
    <row r="89" spans="1:20" x14ac:dyDescent="0.25">
      <c r="A89" s="13" t="s">
        <v>161</v>
      </c>
      <c r="B89" s="36">
        <f t="shared" ref="B89:E89" si="80">B59</f>
        <v>0</v>
      </c>
      <c r="C89" s="25">
        <f t="shared" si="80"/>
        <v>0</v>
      </c>
      <c r="D89" s="25">
        <f t="shared" si="80"/>
        <v>0</v>
      </c>
      <c r="E89" s="25">
        <f t="shared" si="80"/>
        <v>0</v>
      </c>
      <c r="F89" s="25">
        <f t="shared" si="29"/>
        <v>0</v>
      </c>
      <c r="G89" s="184" t="e">
        <f t="shared" ref="G89:I89" si="81">$F$64*G59</f>
        <v>#DIV/0!</v>
      </c>
      <c r="H89" s="184" t="e">
        <f t="shared" si="81"/>
        <v>#DIV/0!</v>
      </c>
      <c r="I89" s="184" t="e">
        <f t="shared" si="81"/>
        <v>#DIV/0!</v>
      </c>
      <c r="J89" s="9" t="e">
        <f t="shared" si="31"/>
        <v>#DIV/0!</v>
      </c>
      <c r="K89" s="26" t="e">
        <f t="shared" si="32"/>
        <v>#DIV/0!</v>
      </c>
      <c r="L89" s="26" t="e">
        <f t="shared" si="33"/>
        <v>#DIV/0!</v>
      </c>
      <c r="M89" s="26" t="e">
        <f t="shared" si="34"/>
        <v>#DIV/0!</v>
      </c>
      <c r="N89" s="26" t="e">
        <f t="shared" si="35"/>
        <v>#DIV/0!</v>
      </c>
      <c r="O89" s="26" t="e">
        <f t="shared" si="36"/>
        <v>#DIV/0!</v>
      </c>
      <c r="P89" s="26" t="e">
        <f t="shared" si="37"/>
        <v>#DIV/0!</v>
      </c>
      <c r="Q89" s="26" t="e">
        <f t="shared" si="38"/>
        <v>#DIV/0!</v>
      </c>
      <c r="R89" s="26" t="e">
        <f t="shared" si="39"/>
        <v>#DIV/0!</v>
      </c>
    </row>
    <row r="90" spans="1:20" x14ac:dyDescent="0.25">
      <c r="A90" s="13" t="s">
        <v>162</v>
      </c>
      <c r="B90" s="36">
        <f t="shared" ref="B90:E90" si="82">B60</f>
        <v>0</v>
      </c>
      <c r="C90" s="25">
        <f t="shared" si="82"/>
        <v>0</v>
      </c>
      <c r="D90" s="25">
        <f t="shared" si="82"/>
        <v>0</v>
      </c>
      <c r="E90" s="25">
        <f t="shared" si="82"/>
        <v>0</v>
      </c>
      <c r="F90" s="25">
        <f t="shared" si="29"/>
        <v>0</v>
      </c>
      <c r="G90" s="184" t="e">
        <f t="shared" ref="G90:I90" si="83">$F$64*G60</f>
        <v>#DIV/0!</v>
      </c>
      <c r="H90" s="184" t="e">
        <f t="shared" si="83"/>
        <v>#DIV/0!</v>
      </c>
      <c r="I90" s="184" t="e">
        <f t="shared" si="83"/>
        <v>#DIV/0!</v>
      </c>
      <c r="J90" s="9" t="e">
        <f t="shared" si="31"/>
        <v>#DIV/0!</v>
      </c>
      <c r="K90" s="26" t="e">
        <f t="shared" si="32"/>
        <v>#DIV/0!</v>
      </c>
      <c r="L90" s="26" t="e">
        <f t="shared" si="33"/>
        <v>#DIV/0!</v>
      </c>
      <c r="M90" s="26" t="e">
        <f t="shared" si="34"/>
        <v>#DIV/0!</v>
      </c>
      <c r="N90" s="26" t="e">
        <f t="shared" si="35"/>
        <v>#DIV/0!</v>
      </c>
      <c r="O90" s="26" t="e">
        <f t="shared" si="36"/>
        <v>#DIV/0!</v>
      </c>
      <c r="P90" s="26" t="e">
        <f t="shared" si="37"/>
        <v>#DIV/0!</v>
      </c>
      <c r="Q90" s="26" t="e">
        <f t="shared" si="38"/>
        <v>#DIV/0!</v>
      </c>
      <c r="R90" s="26" t="e">
        <f t="shared" si="39"/>
        <v>#DIV/0!</v>
      </c>
    </row>
    <row r="91" spans="1:20" x14ac:dyDescent="0.25">
      <c r="A91" s="1" t="s">
        <v>163</v>
      </c>
      <c r="B91" s="10">
        <f>SUM(B67:B90)</f>
        <v>0</v>
      </c>
      <c r="C91" s="51" t="e">
        <f>SUMPRODUCT($B$67:$B$90,C67:C90)/$B$91</f>
        <v>#DIV/0!</v>
      </c>
      <c r="D91" s="51" t="e">
        <f>SUMPRODUCT($B$67:$B$90,D67:D90)/$B$91</f>
        <v>#DIV/0!</v>
      </c>
      <c r="E91" s="51" t="e">
        <f>SUMPRODUCT($B$67:$B$90,E67:E90)/$B$91</f>
        <v>#DIV/0!</v>
      </c>
      <c r="F91" s="37" t="e">
        <f>SUM(C91:E91)</f>
        <v>#DIV/0!</v>
      </c>
      <c r="G91" s="10" t="e">
        <f>SUMPRODUCT(B67:B90,G67:G90)/E91</f>
        <v>#DIV/0!</v>
      </c>
      <c r="H91" s="10">
        <f>IFERROR(SUMPRODUCT(B67:B90,H67:H90)/G91,0)</f>
        <v>0</v>
      </c>
      <c r="I91" s="10">
        <f>IFERROR(SUMPRODUCT(B67:B90,I67:I90)/H91,0)</f>
        <v>0</v>
      </c>
      <c r="J91" s="9" t="e">
        <f>SUMPRODUCT(C91:E91,G91:I91)</f>
        <v>#DIV/0!</v>
      </c>
      <c r="K91" s="10" t="e">
        <f>SUM(K67:K90)</f>
        <v>#DIV/0!</v>
      </c>
      <c r="L91" s="10" t="e">
        <f>SUM(L67:L90)</f>
        <v>#DIV/0!</v>
      </c>
      <c r="M91" s="10" t="e">
        <f t="shared" ref="M91" si="84">SUM(M67:M90)</f>
        <v>#DIV/0!</v>
      </c>
      <c r="N91" s="23" t="e">
        <f>SUM(K91:M91)</f>
        <v>#DIV/0!</v>
      </c>
      <c r="O91" s="10" t="e">
        <f>SUM(O67:O90)</f>
        <v>#DIV/0!</v>
      </c>
      <c r="P91" s="10" t="e">
        <f>SUM(P67:P90)</f>
        <v>#DIV/0!</v>
      </c>
      <c r="Q91" s="10" t="e">
        <f>SUM(Q67:Q90)</f>
        <v>#DIV/0!</v>
      </c>
      <c r="R91" s="23" t="e">
        <f>SUM(R67:R90)</f>
        <v>#DIV/0!</v>
      </c>
    </row>
    <row r="92" spans="1:20" x14ac:dyDescent="0.25">
      <c r="A92" s="17" t="s">
        <v>8</v>
      </c>
      <c r="C92" s="842" t="e">
        <f>SUM(C91:E91)=100%</f>
        <v>#DIV/0!</v>
      </c>
      <c r="D92" s="842"/>
      <c r="E92" s="842"/>
      <c r="F92" s="6" t="e">
        <f>F91=100%</f>
        <v>#DIV/0!</v>
      </c>
      <c r="N92" s="29" t="e">
        <f>SUM(K91:M91)=N91</f>
        <v>#DIV/0!</v>
      </c>
    </row>
    <row r="93" spans="1:20" x14ac:dyDescent="0.25">
      <c r="A93" s="17"/>
      <c r="C93" s="21"/>
      <c r="D93" s="21"/>
      <c r="E93" s="21"/>
    </row>
    <row r="96" spans="1:20" x14ac:dyDescent="0.25">
      <c r="A96" s="3" t="s">
        <v>422</v>
      </c>
    </row>
    <row r="97" spans="1:18" x14ac:dyDescent="0.25">
      <c r="A97" s="59" t="s">
        <v>423</v>
      </c>
    </row>
    <row r="98" spans="1:18" x14ac:dyDescent="0.25">
      <c r="A98" s="838" t="s">
        <v>101</v>
      </c>
      <c r="B98" s="814" t="s">
        <v>327</v>
      </c>
      <c r="C98" s="814" t="s">
        <v>328</v>
      </c>
      <c r="D98" s="814"/>
      <c r="E98" s="814"/>
      <c r="F98" s="814"/>
      <c r="G98" s="814" t="s">
        <v>424</v>
      </c>
      <c r="H98" s="814"/>
      <c r="I98" s="814"/>
      <c r="J98" s="814"/>
      <c r="K98" s="814" t="s">
        <v>425</v>
      </c>
      <c r="L98" s="814"/>
      <c r="M98" s="814"/>
      <c r="N98" s="814"/>
      <c r="O98" s="44"/>
      <c r="P98" s="44"/>
      <c r="Q98" s="44"/>
      <c r="R98" s="44"/>
    </row>
    <row r="99" spans="1:18" x14ac:dyDescent="0.25">
      <c r="A99" s="838"/>
      <c r="B99" s="814"/>
      <c r="C99" s="1" t="s">
        <v>331</v>
      </c>
      <c r="D99" s="1" t="s">
        <v>137</v>
      </c>
      <c r="E99" s="1" t="s">
        <v>289</v>
      </c>
      <c r="F99" s="1" t="s">
        <v>120</v>
      </c>
      <c r="G99" s="1" t="s">
        <v>136</v>
      </c>
      <c r="H99" s="1" t="s">
        <v>137</v>
      </c>
      <c r="I99" s="1" t="s">
        <v>289</v>
      </c>
      <c r="J99" s="1" t="s">
        <v>120</v>
      </c>
      <c r="K99" s="1" t="s">
        <v>136</v>
      </c>
      <c r="L99" s="1" t="s">
        <v>137</v>
      </c>
      <c r="M99" s="1" t="s">
        <v>289</v>
      </c>
      <c r="N99" s="1" t="s">
        <v>120</v>
      </c>
    </row>
    <row r="100" spans="1:18" x14ac:dyDescent="0.25">
      <c r="A100" s="13" t="s">
        <v>139</v>
      </c>
      <c r="B100" s="40"/>
      <c r="C100" s="394">
        <f t="shared" ref="C100" si="85">C67</f>
        <v>0</v>
      </c>
      <c r="D100" s="394">
        <f>D67</f>
        <v>0</v>
      </c>
      <c r="E100" s="394">
        <f>E67</f>
        <v>0</v>
      </c>
      <c r="F100" s="25">
        <f>SUM(C100:E100)</f>
        <v>0</v>
      </c>
      <c r="G100" s="36">
        <f>IFERROR(C100*$B100/(C37*$B37),0)</f>
        <v>0</v>
      </c>
      <c r="H100" s="36">
        <f t="shared" ref="H100:I100" si="86">IFERROR(D100*$B100/(D37*$B37),0)</f>
        <v>0</v>
      </c>
      <c r="I100" s="36">
        <f t="shared" si="86"/>
        <v>0</v>
      </c>
      <c r="J100" s="9">
        <f>SUMPRODUCT(C100:E100,G100:I100)</f>
        <v>0</v>
      </c>
      <c r="K100" s="9">
        <f t="shared" ref="K100:M100" si="87">($G100-G100)*(C37*$B37)</f>
        <v>0</v>
      </c>
      <c r="L100" s="9">
        <f t="shared" si="87"/>
        <v>0</v>
      </c>
      <c r="M100" s="9">
        <f t="shared" si="87"/>
        <v>0</v>
      </c>
      <c r="N100" s="140">
        <f>'Value-of-fuel-used-under-CT'!T4</f>
        <v>0</v>
      </c>
    </row>
    <row r="101" spans="1:18" x14ac:dyDescent="0.25">
      <c r="A101" s="13" t="s">
        <v>140</v>
      </c>
      <c r="B101" s="40"/>
      <c r="C101" s="394">
        <f t="shared" ref="C101:E101" si="88">C68</f>
        <v>0</v>
      </c>
      <c r="D101" s="394">
        <f t="shared" si="88"/>
        <v>0</v>
      </c>
      <c r="E101" s="394">
        <f t="shared" si="88"/>
        <v>0</v>
      </c>
      <c r="F101" s="25">
        <f t="shared" ref="F101:F123" si="89">SUM(C101:E101)</f>
        <v>0</v>
      </c>
      <c r="G101" s="36">
        <f t="shared" ref="G101:G123" si="90">IFERROR(C101*$B101/(C38*$B38),0)</f>
        <v>0</v>
      </c>
      <c r="H101" s="36">
        <f t="shared" ref="H101:H124" si="91">IFERROR(D101*$B101/(D38*$B38),0)</f>
        <v>0</v>
      </c>
      <c r="I101" s="36">
        <f t="shared" ref="I101:I124" si="92">IFERROR(E101*$B101/(E38*$B38),0)</f>
        <v>0</v>
      </c>
      <c r="J101" s="9">
        <f t="shared" ref="J101:J123" si="93">SUMPRODUCT(C101:E101,G101:I101)</f>
        <v>0</v>
      </c>
      <c r="K101" s="9">
        <f t="shared" ref="K101:K123" si="94">($G101-G101)*(C38*$B38)</f>
        <v>0</v>
      </c>
      <c r="L101" s="9">
        <f t="shared" ref="L101:L123" si="95">($G101-H101)*(D38*$B38)</f>
        <v>0</v>
      </c>
      <c r="M101" s="9">
        <f t="shared" ref="M101:M123" si="96">($G101-I101)*(E38*$B38)</f>
        <v>0</v>
      </c>
      <c r="N101" s="140">
        <f>'Value-of-fuel-used-under-CT'!T5</f>
        <v>0</v>
      </c>
    </row>
    <row r="102" spans="1:18" x14ac:dyDescent="0.25">
      <c r="A102" s="13" t="s">
        <v>141</v>
      </c>
      <c r="B102" s="40"/>
      <c r="C102" s="394">
        <f t="shared" ref="C102:E102" si="97">C69</f>
        <v>0</v>
      </c>
      <c r="D102" s="394">
        <f t="shared" si="97"/>
        <v>0</v>
      </c>
      <c r="E102" s="394">
        <f t="shared" si="97"/>
        <v>0</v>
      </c>
      <c r="F102" s="25">
        <f t="shared" si="89"/>
        <v>0</v>
      </c>
      <c r="G102" s="36">
        <f t="shared" si="90"/>
        <v>0</v>
      </c>
      <c r="H102" s="36">
        <f t="shared" si="91"/>
        <v>0</v>
      </c>
      <c r="I102" s="36">
        <f t="shared" si="92"/>
        <v>0</v>
      </c>
      <c r="J102" s="9">
        <f t="shared" si="93"/>
        <v>0</v>
      </c>
      <c r="K102" s="9">
        <f t="shared" si="94"/>
        <v>0</v>
      </c>
      <c r="L102" s="9">
        <f t="shared" si="95"/>
        <v>0</v>
      </c>
      <c r="M102" s="9">
        <f t="shared" si="96"/>
        <v>0</v>
      </c>
      <c r="N102" s="140">
        <f>'Value-of-fuel-used-under-CT'!T17</f>
        <v>0</v>
      </c>
    </row>
    <row r="103" spans="1:18" x14ac:dyDescent="0.25">
      <c r="A103" s="13" t="s">
        <v>142</v>
      </c>
      <c r="B103" s="40"/>
      <c r="C103" s="394">
        <f t="shared" ref="C103:E103" si="98">C70</f>
        <v>0</v>
      </c>
      <c r="D103" s="394">
        <f t="shared" si="98"/>
        <v>0</v>
      </c>
      <c r="E103" s="394">
        <f t="shared" si="98"/>
        <v>0</v>
      </c>
      <c r="F103" s="25">
        <f t="shared" si="89"/>
        <v>0</v>
      </c>
      <c r="G103" s="36">
        <f t="shared" si="90"/>
        <v>0</v>
      </c>
      <c r="H103" s="36">
        <f t="shared" si="91"/>
        <v>0</v>
      </c>
      <c r="I103" s="36">
        <f t="shared" si="92"/>
        <v>0</v>
      </c>
      <c r="J103" s="9">
        <f t="shared" si="93"/>
        <v>0</v>
      </c>
      <c r="K103" s="9">
        <f t="shared" si="94"/>
        <v>0</v>
      </c>
      <c r="L103" s="9">
        <f t="shared" si="95"/>
        <v>0</v>
      </c>
      <c r="M103" s="9">
        <f t="shared" si="96"/>
        <v>0</v>
      </c>
      <c r="N103" s="140">
        <f>'Value-of-fuel-used-under-CT'!T18</f>
        <v>0</v>
      </c>
    </row>
    <row r="104" spans="1:18" x14ac:dyDescent="0.25">
      <c r="A104" s="13" t="s">
        <v>143</v>
      </c>
      <c r="B104" s="40"/>
      <c r="C104" s="394">
        <f t="shared" ref="C104:E104" si="99">C71</f>
        <v>0</v>
      </c>
      <c r="D104" s="394">
        <f t="shared" si="99"/>
        <v>0</v>
      </c>
      <c r="E104" s="394">
        <f t="shared" si="99"/>
        <v>0</v>
      </c>
      <c r="F104" s="25">
        <f t="shared" si="89"/>
        <v>0</v>
      </c>
      <c r="G104" s="36">
        <f t="shared" si="90"/>
        <v>0</v>
      </c>
      <c r="H104" s="36">
        <f t="shared" si="91"/>
        <v>0</v>
      </c>
      <c r="I104" s="36">
        <f t="shared" si="92"/>
        <v>0</v>
      </c>
      <c r="J104" s="9">
        <f t="shared" si="93"/>
        <v>0</v>
      </c>
      <c r="K104" s="9">
        <f t="shared" si="94"/>
        <v>0</v>
      </c>
      <c r="L104" s="9">
        <f t="shared" si="95"/>
        <v>0</v>
      </c>
      <c r="M104" s="9">
        <f t="shared" si="96"/>
        <v>0</v>
      </c>
      <c r="N104" s="140">
        <f>'Value-of-fuel-used-under-CT'!T19</f>
        <v>0</v>
      </c>
    </row>
    <row r="105" spans="1:18" x14ac:dyDescent="0.25">
      <c r="A105" s="13" t="s">
        <v>144</v>
      </c>
      <c r="B105" s="40"/>
      <c r="C105" s="394">
        <f t="shared" ref="C105:E105" si="100">C72</f>
        <v>0</v>
      </c>
      <c r="D105" s="394">
        <f t="shared" si="100"/>
        <v>0</v>
      </c>
      <c r="E105" s="394">
        <f t="shared" si="100"/>
        <v>0</v>
      </c>
      <c r="F105" s="25">
        <f t="shared" si="89"/>
        <v>0</v>
      </c>
      <c r="G105" s="36">
        <f t="shared" si="90"/>
        <v>0</v>
      </c>
      <c r="H105" s="36">
        <f t="shared" si="91"/>
        <v>0</v>
      </c>
      <c r="I105" s="36">
        <f t="shared" si="92"/>
        <v>0</v>
      </c>
      <c r="J105" s="9">
        <f t="shared" si="93"/>
        <v>0</v>
      </c>
      <c r="K105" s="9">
        <f t="shared" si="94"/>
        <v>0</v>
      </c>
      <c r="L105" s="9">
        <f t="shared" si="95"/>
        <v>0</v>
      </c>
      <c r="M105" s="9">
        <f t="shared" si="96"/>
        <v>0</v>
      </c>
      <c r="N105" s="140">
        <f>'Value-of-fuel-used-under-CT'!T20</f>
        <v>0</v>
      </c>
    </row>
    <row r="106" spans="1:18" x14ac:dyDescent="0.25">
      <c r="A106" s="13" t="s">
        <v>145</v>
      </c>
      <c r="B106" s="40"/>
      <c r="C106" s="394">
        <f t="shared" ref="C106:E106" si="101">C73</f>
        <v>0</v>
      </c>
      <c r="D106" s="394">
        <f t="shared" si="101"/>
        <v>0</v>
      </c>
      <c r="E106" s="394">
        <f t="shared" si="101"/>
        <v>0</v>
      </c>
      <c r="F106" s="25">
        <f t="shared" si="89"/>
        <v>0</v>
      </c>
      <c r="G106" s="36">
        <f t="shared" si="90"/>
        <v>0</v>
      </c>
      <c r="H106" s="36">
        <f t="shared" si="91"/>
        <v>0</v>
      </c>
      <c r="I106" s="36">
        <f t="shared" si="92"/>
        <v>0</v>
      </c>
      <c r="J106" s="9">
        <f t="shared" si="93"/>
        <v>0</v>
      </c>
      <c r="K106" s="9">
        <f t="shared" si="94"/>
        <v>0</v>
      </c>
      <c r="L106" s="9">
        <f t="shared" si="95"/>
        <v>0</v>
      </c>
      <c r="M106" s="9">
        <f t="shared" si="96"/>
        <v>0</v>
      </c>
      <c r="N106" s="140">
        <f>'Value-of-fuel-used-under-CT'!T21</f>
        <v>0</v>
      </c>
    </row>
    <row r="107" spans="1:18" x14ac:dyDescent="0.25">
      <c r="A107" s="13" t="s">
        <v>146</v>
      </c>
      <c r="B107" s="40"/>
      <c r="C107" s="394">
        <f t="shared" ref="C107:E107" si="102">C74</f>
        <v>0</v>
      </c>
      <c r="D107" s="394">
        <f t="shared" si="102"/>
        <v>0</v>
      </c>
      <c r="E107" s="394">
        <f t="shared" si="102"/>
        <v>0</v>
      </c>
      <c r="F107" s="25">
        <f t="shared" si="89"/>
        <v>0</v>
      </c>
      <c r="G107" s="36">
        <f t="shared" si="90"/>
        <v>0</v>
      </c>
      <c r="H107" s="36">
        <f t="shared" si="91"/>
        <v>0</v>
      </c>
      <c r="I107" s="36">
        <f t="shared" si="92"/>
        <v>0</v>
      </c>
      <c r="J107" s="9">
        <f t="shared" si="93"/>
        <v>0</v>
      </c>
      <c r="K107" s="9">
        <f t="shared" si="94"/>
        <v>0</v>
      </c>
      <c r="L107" s="9">
        <f t="shared" si="95"/>
        <v>0</v>
      </c>
      <c r="M107" s="9">
        <f t="shared" si="96"/>
        <v>0</v>
      </c>
      <c r="N107" s="140">
        <f>'Value-of-fuel-used-under-CT'!T22</f>
        <v>0</v>
      </c>
    </row>
    <row r="108" spans="1:18" x14ac:dyDescent="0.25">
      <c r="A108" s="13" t="s">
        <v>147</v>
      </c>
      <c r="B108" s="40"/>
      <c r="C108" s="394">
        <f t="shared" ref="C108:E108" si="103">C75</f>
        <v>0</v>
      </c>
      <c r="D108" s="394">
        <f t="shared" si="103"/>
        <v>0</v>
      </c>
      <c r="E108" s="394">
        <f t="shared" si="103"/>
        <v>0</v>
      </c>
      <c r="F108" s="25">
        <f t="shared" si="89"/>
        <v>0</v>
      </c>
      <c r="G108" s="36">
        <f t="shared" si="90"/>
        <v>0</v>
      </c>
      <c r="H108" s="36">
        <f t="shared" si="91"/>
        <v>0</v>
      </c>
      <c r="I108" s="36">
        <f t="shared" si="92"/>
        <v>0</v>
      </c>
      <c r="J108" s="9">
        <f t="shared" si="93"/>
        <v>0</v>
      </c>
      <c r="K108" s="9">
        <f t="shared" si="94"/>
        <v>0</v>
      </c>
      <c r="L108" s="9">
        <f t="shared" si="95"/>
        <v>0</v>
      </c>
      <c r="M108" s="9">
        <f t="shared" si="96"/>
        <v>0</v>
      </c>
      <c r="N108" s="140">
        <f>'Value-of-fuel-used-under-CT'!T23</f>
        <v>0</v>
      </c>
    </row>
    <row r="109" spans="1:18" x14ac:dyDescent="0.25">
      <c r="A109" s="13" t="s">
        <v>148</v>
      </c>
      <c r="B109" s="40"/>
      <c r="C109" s="394">
        <f t="shared" ref="C109:E109" si="104">C76</f>
        <v>0</v>
      </c>
      <c r="D109" s="394">
        <f t="shared" si="104"/>
        <v>0</v>
      </c>
      <c r="E109" s="394">
        <f t="shared" si="104"/>
        <v>0</v>
      </c>
      <c r="F109" s="25">
        <f t="shared" si="89"/>
        <v>0</v>
      </c>
      <c r="G109" s="36">
        <f t="shared" si="90"/>
        <v>0</v>
      </c>
      <c r="H109" s="36">
        <f t="shared" si="91"/>
        <v>0</v>
      </c>
      <c r="I109" s="36">
        <f t="shared" si="92"/>
        <v>0</v>
      </c>
      <c r="J109" s="9">
        <f t="shared" si="93"/>
        <v>0</v>
      </c>
      <c r="K109" s="9">
        <f t="shared" si="94"/>
        <v>0</v>
      </c>
      <c r="L109" s="9">
        <f t="shared" si="95"/>
        <v>0</v>
      </c>
      <c r="M109" s="9">
        <f t="shared" si="96"/>
        <v>0</v>
      </c>
      <c r="N109" s="140">
        <f>'Value-of-fuel-used-under-CT'!T24</f>
        <v>0</v>
      </c>
    </row>
    <row r="110" spans="1:18" x14ac:dyDescent="0.25">
      <c r="A110" s="13" t="s">
        <v>149</v>
      </c>
      <c r="B110" s="40"/>
      <c r="C110" s="394">
        <f t="shared" ref="C110:E110" si="105">C77</f>
        <v>0</v>
      </c>
      <c r="D110" s="394">
        <f t="shared" si="105"/>
        <v>0</v>
      </c>
      <c r="E110" s="394">
        <f t="shared" si="105"/>
        <v>0</v>
      </c>
      <c r="F110" s="25">
        <f t="shared" si="89"/>
        <v>0</v>
      </c>
      <c r="G110" s="36">
        <f t="shared" si="90"/>
        <v>0</v>
      </c>
      <c r="H110" s="36">
        <f t="shared" si="91"/>
        <v>0</v>
      </c>
      <c r="I110" s="36">
        <f t="shared" si="92"/>
        <v>0</v>
      </c>
      <c r="J110" s="9">
        <f t="shared" si="93"/>
        <v>0</v>
      </c>
      <c r="K110" s="9">
        <f t="shared" si="94"/>
        <v>0</v>
      </c>
      <c r="L110" s="9">
        <f t="shared" si="95"/>
        <v>0</v>
      </c>
      <c r="M110" s="9">
        <f t="shared" si="96"/>
        <v>0</v>
      </c>
      <c r="N110" s="140">
        <f>'Value-of-fuel-used-under-CT'!T25</f>
        <v>0</v>
      </c>
    </row>
    <row r="111" spans="1:18" x14ac:dyDescent="0.25">
      <c r="A111" s="13" t="s">
        <v>150</v>
      </c>
      <c r="B111" s="40"/>
      <c r="C111" s="394">
        <f t="shared" ref="C111:E111" si="106">C78</f>
        <v>0</v>
      </c>
      <c r="D111" s="394">
        <f t="shared" si="106"/>
        <v>0</v>
      </c>
      <c r="E111" s="394">
        <f t="shared" si="106"/>
        <v>0</v>
      </c>
      <c r="F111" s="25">
        <f t="shared" si="89"/>
        <v>0</v>
      </c>
      <c r="G111" s="36">
        <f t="shared" si="90"/>
        <v>0</v>
      </c>
      <c r="H111" s="36">
        <f t="shared" si="91"/>
        <v>0</v>
      </c>
      <c r="I111" s="36">
        <f t="shared" si="92"/>
        <v>0</v>
      </c>
      <c r="J111" s="9">
        <f t="shared" si="93"/>
        <v>0</v>
      </c>
      <c r="K111" s="9">
        <f t="shared" si="94"/>
        <v>0</v>
      </c>
      <c r="L111" s="9">
        <f t="shared" si="95"/>
        <v>0</v>
      </c>
      <c r="M111" s="9">
        <f t="shared" si="96"/>
        <v>0</v>
      </c>
      <c r="N111" s="140">
        <f>'Value-of-fuel-used-under-CT'!T26</f>
        <v>0</v>
      </c>
    </row>
    <row r="112" spans="1:18" x14ac:dyDescent="0.25">
      <c r="A112" s="13" t="s">
        <v>151</v>
      </c>
      <c r="B112" s="40"/>
      <c r="C112" s="394">
        <f t="shared" ref="C112:E112" si="107">C79</f>
        <v>0</v>
      </c>
      <c r="D112" s="394">
        <f t="shared" si="107"/>
        <v>0</v>
      </c>
      <c r="E112" s="394">
        <f t="shared" si="107"/>
        <v>0</v>
      </c>
      <c r="F112" s="25">
        <f t="shared" si="89"/>
        <v>0</v>
      </c>
      <c r="G112" s="36">
        <f t="shared" si="90"/>
        <v>0</v>
      </c>
      <c r="H112" s="36">
        <f t="shared" si="91"/>
        <v>0</v>
      </c>
      <c r="I112" s="36">
        <f t="shared" si="92"/>
        <v>0</v>
      </c>
      <c r="J112" s="9">
        <f t="shared" si="93"/>
        <v>0</v>
      </c>
      <c r="K112" s="9">
        <f t="shared" si="94"/>
        <v>0</v>
      </c>
      <c r="L112" s="9">
        <f t="shared" si="95"/>
        <v>0</v>
      </c>
      <c r="M112" s="9">
        <f t="shared" si="96"/>
        <v>0</v>
      </c>
      <c r="N112" s="140">
        <f>'Value-of-fuel-used-under-CT'!T27</f>
        <v>0</v>
      </c>
    </row>
    <row r="113" spans="1:14" x14ac:dyDescent="0.25">
      <c r="A113" s="13" t="s">
        <v>152</v>
      </c>
      <c r="B113" s="40"/>
      <c r="C113" s="394">
        <f t="shared" ref="C113:E113" si="108">C80</f>
        <v>0</v>
      </c>
      <c r="D113" s="394">
        <f t="shared" si="108"/>
        <v>0</v>
      </c>
      <c r="E113" s="394">
        <f t="shared" si="108"/>
        <v>0</v>
      </c>
      <c r="F113" s="25">
        <f t="shared" si="89"/>
        <v>0</v>
      </c>
      <c r="G113" s="36">
        <f t="shared" si="90"/>
        <v>0</v>
      </c>
      <c r="H113" s="36">
        <f t="shared" si="91"/>
        <v>0</v>
      </c>
      <c r="I113" s="36">
        <f t="shared" si="92"/>
        <v>0</v>
      </c>
      <c r="J113" s="9">
        <f t="shared" si="93"/>
        <v>0</v>
      </c>
      <c r="K113" s="9">
        <f t="shared" si="94"/>
        <v>0</v>
      </c>
      <c r="L113" s="9">
        <f t="shared" si="95"/>
        <v>0</v>
      </c>
      <c r="M113" s="9">
        <f t="shared" si="96"/>
        <v>0</v>
      </c>
      <c r="N113" s="140">
        <f>'Value-of-fuel-used-under-CT'!T28</f>
        <v>0</v>
      </c>
    </row>
    <row r="114" spans="1:14" x14ac:dyDescent="0.25">
      <c r="A114" s="13" t="s">
        <v>153</v>
      </c>
      <c r="B114" s="40"/>
      <c r="C114" s="394">
        <f t="shared" ref="C114:E114" si="109">C81</f>
        <v>0</v>
      </c>
      <c r="D114" s="394">
        <f t="shared" si="109"/>
        <v>0</v>
      </c>
      <c r="E114" s="394">
        <f t="shared" si="109"/>
        <v>0</v>
      </c>
      <c r="F114" s="25">
        <f t="shared" si="89"/>
        <v>0</v>
      </c>
      <c r="G114" s="36">
        <f t="shared" si="90"/>
        <v>0</v>
      </c>
      <c r="H114" s="36">
        <f t="shared" si="91"/>
        <v>0</v>
      </c>
      <c r="I114" s="36">
        <f t="shared" si="92"/>
        <v>0</v>
      </c>
      <c r="J114" s="9">
        <f t="shared" si="93"/>
        <v>0</v>
      </c>
      <c r="K114" s="9">
        <f t="shared" si="94"/>
        <v>0</v>
      </c>
      <c r="L114" s="9">
        <f t="shared" si="95"/>
        <v>0</v>
      </c>
      <c r="M114" s="9">
        <f t="shared" si="96"/>
        <v>0</v>
      </c>
      <c r="N114" s="140">
        <f>'Value-of-fuel-used-under-CT'!P29</f>
        <v>0</v>
      </c>
    </row>
    <row r="115" spans="1:14" x14ac:dyDescent="0.25">
      <c r="A115" s="13" t="s">
        <v>154</v>
      </c>
      <c r="B115" s="40"/>
      <c r="C115" s="394">
        <f t="shared" ref="C115:E115" si="110">C82</f>
        <v>0</v>
      </c>
      <c r="D115" s="394">
        <f t="shared" si="110"/>
        <v>0</v>
      </c>
      <c r="E115" s="394">
        <f t="shared" si="110"/>
        <v>0</v>
      </c>
      <c r="F115" s="25">
        <f t="shared" si="89"/>
        <v>0</v>
      </c>
      <c r="G115" s="36">
        <f t="shared" si="90"/>
        <v>0</v>
      </c>
      <c r="H115" s="36">
        <f t="shared" si="91"/>
        <v>0</v>
      </c>
      <c r="I115" s="36">
        <f t="shared" si="92"/>
        <v>0</v>
      </c>
      <c r="J115" s="9">
        <f t="shared" si="93"/>
        <v>0</v>
      </c>
      <c r="K115" s="9">
        <f t="shared" si="94"/>
        <v>0</v>
      </c>
      <c r="L115" s="9">
        <f t="shared" si="95"/>
        <v>0</v>
      </c>
      <c r="M115" s="9">
        <f t="shared" si="96"/>
        <v>0</v>
      </c>
      <c r="N115" s="140">
        <f>'Value-of-fuel-used-under-CT'!R30</f>
        <v>0</v>
      </c>
    </row>
    <row r="116" spans="1:14" x14ac:dyDescent="0.25">
      <c r="A116" s="13" t="s">
        <v>155</v>
      </c>
      <c r="B116" s="40"/>
      <c r="C116" s="394">
        <f t="shared" ref="C116:E116" si="111">C83</f>
        <v>0</v>
      </c>
      <c r="D116" s="394">
        <f t="shared" si="111"/>
        <v>0</v>
      </c>
      <c r="E116" s="394">
        <f t="shared" si="111"/>
        <v>0</v>
      </c>
      <c r="F116" s="25">
        <f t="shared" si="89"/>
        <v>0</v>
      </c>
      <c r="G116" s="36">
        <f t="shared" si="90"/>
        <v>0</v>
      </c>
      <c r="H116" s="36">
        <f t="shared" si="91"/>
        <v>0</v>
      </c>
      <c r="I116" s="36">
        <f t="shared" si="92"/>
        <v>0</v>
      </c>
      <c r="J116" s="9">
        <f t="shared" si="93"/>
        <v>0</v>
      </c>
      <c r="K116" s="9">
        <f t="shared" si="94"/>
        <v>0</v>
      </c>
      <c r="L116" s="9">
        <f t="shared" si="95"/>
        <v>0</v>
      </c>
      <c r="M116" s="9">
        <f t="shared" si="96"/>
        <v>0</v>
      </c>
      <c r="N116" s="140">
        <f>'Value-of-fuel-used-under-CT'!R31</f>
        <v>0</v>
      </c>
    </row>
    <row r="117" spans="1:14" x14ac:dyDescent="0.25">
      <c r="A117" s="13" t="s">
        <v>156</v>
      </c>
      <c r="B117" s="40"/>
      <c r="C117" s="394">
        <f t="shared" ref="C117:E117" si="112">C84</f>
        <v>0</v>
      </c>
      <c r="D117" s="394">
        <f t="shared" si="112"/>
        <v>0</v>
      </c>
      <c r="E117" s="394">
        <f t="shared" si="112"/>
        <v>0</v>
      </c>
      <c r="F117" s="25">
        <f t="shared" si="89"/>
        <v>0</v>
      </c>
      <c r="G117" s="36">
        <f t="shared" si="90"/>
        <v>0</v>
      </c>
      <c r="H117" s="36">
        <f t="shared" si="91"/>
        <v>0</v>
      </c>
      <c r="I117" s="36">
        <f t="shared" si="92"/>
        <v>0</v>
      </c>
      <c r="J117" s="9">
        <f t="shared" si="93"/>
        <v>0</v>
      </c>
      <c r="K117" s="9">
        <f t="shared" si="94"/>
        <v>0</v>
      </c>
      <c r="L117" s="9">
        <f t="shared" si="95"/>
        <v>0</v>
      </c>
      <c r="M117" s="9">
        <f t="shared" si="96"/>
        <v>0</v>
      </c>
      <c r="N117" s="140">
        <f>'Value-of-fuel-used-under-CT'!R32</f>
        <v>0</v>
      </c>
    </row>
    <row r="118" spans="1:14" x14ac:dyDescent="0.25">
      <c r="A118" s="13" t="s">
        <v>157</v>
      </c>
      <c r="B118" s="40"/>
      <c r="C118" s="394">
        <f t="shared" ref="C118:E118" si="113">C85</f>
        <v>0</v>
      </c>
      <c r="D118" s="394">
        <f t="shared" si="113"/>
        <v>0</v>
      </c>
      <c r="E118" s="394">
        <f t="shared" si="113"/>
        <v>0</v>
      </c>
      <c r="F118" s="25">
        <f t="shared" si="89"/>
        <v>0</v>
      </c>
      <c r="G118" s="36">
        <f t="shared" si="90"/>
        <v>0</v>
      </c>
      <c r="H118" s="36">
        <f t="shared" si="91"/>
        <v>0</v>
      </c>
      <c r="I118" s="36">
        <f t="shared" si="92"/>
        <v>0</v>
      </c>
      <c r="J118" s="9">
        <f t="shared" si="93"/>
        <v>0</v>
      </c>
      <c r="K118" s="9">
        <f t="shared" si="94"/>
        <v>0</v>
      </c>
      <c r="L118" s="9">
        <f t="shared" si="95"/>
        <v>0</v>
      </c>
      <c r="M118" s="9">
        <f t="shared" si="96"/>
        <v>0</v>
      </c>
      <c r="N118" s="140">
        <f>'Value-of-fuel-used-under-CT'!R33</f>
        <v>0</v>
      </c>
    </row>
    <row r="119" spans="1:14" x14ac:dyDescent="0.25">
      <c r="A119" s="13" t="s">
        <v>158</v>
      </c>
      <c r="B119" s="40"/>
      <c r="C119" s="394">
        <f t="shared" ref="C119:E119" si="114">C86</f>
        <v>0</v>
      </c>
      <c r="D119" s="394">
        <f t="shared" si="114"/>
        <v>0</v>
      </c>
      <c r="E119" s="394">
        <f t="shared" si="114"/>
        <v>0</v>
      </c>
      <c r="F119" s="25">
        <f t="shared" si="89"/>
        <v>0</v>
      </c>
      <c r="G119" s="36">
        <f t="shared" si="90"/>
        <v>0</v>
      </c>
      <c r="H119" s="36">
        <f t="shared" si="91"/>
        <v>0</v>
      </c>
      <c r="I119" s="36">
        <f t="shared" si="92"/>
        <v>0</v>
      </c>
      <c r="J119" s="9">
        <f t="shared" si="93"/>
        <v>0</v>
      </c>
      <c r="K119" s="9">
        <f t="shared" si="94"/>
        <v>0</v>
      </c>
      <c r="L119" s="9">
        <f t="shared" si="95"/>
        <v>0</v>
      </c>
      <c r="M119" s="9">
        <f t="shared" si="96"/>
        <v>0</v>
      </c>
      <c r="N119" s="140">
        <f>'Value-of-fuel-used-under-CT'!R34</f>
        <v>0</v>
      </c>
    </row>
    <row r="120" spans="1:14" x14ac:dyDescent="0.25">
      <c r="A120" s="13" t="s">
        <v>159</v>
      </c>
      <c r="B120" s="40"/>
      <c r="C120" s="394">
        <f t="shared" ref="C120:E120" si="115">C87</f>
        <v>0</v>
      </c>
      <c r="D120" s="394">
        <f t="shared" si="115"/>
        <v>0</v>
      </c>
      <c r="E120" s="394">
        <f t="shared" si="115"/>
        <v>0</v>
      </c>
      <c r="F120" s="25">
        <f t="shared" si="89"/>
        <v>0</v>
      </c>
      <c r="G120" s="36">
        <f t="shared" si="90"/>
        <v>0</v>
      </c>
      <c r="H120" s="36">
        <f t="shared" si="91"/>
        <v>0</v>
      </c>
      <c r="I120" s="36">
        <f t="shared" si="92"/>
        <v>0</v>
      </c>
      <c r="J120" s="9">
        <f t="shared" si="93"/>
        <v>0</v>
      </c>
      <c r="K120" s="9">
        <f t="shared" si="94"/>
        <v>0</v>
      </c>
      <c r="L120" s="9">
        <f t="shared" si="95"/>
        <v>0</v>
      </c>
      <c r="M120" s="9">
        <f t="shared" si="96"/>
        <v>0</v>
      </c>
      <c r="N120" s="140">
        <f>'Value-of-fuel-used-under-CT'!R35</f>
        <v>0</v>
      </c>
    </row>
    <row r="121" spans="1:14" ht="36" customHeight="1" x14ac:dyDescent="0.25">
      <c r="A121" s="13" t="s">
        <v>160</v>
      </c>
      <c r="B121" s="40"/>
      <c r="C121" s="394">
        <f t="shared" ref="C121:E121" si="116">C88</f>
        <v>0</v>
      </c>
      <c r="D121" s="394">
        <f t="shared" si="116"/>
        <v>0</v>
      </c>
      <c r="E121" s="394">
        <f t="shared" si="116"/>
        <v>0</v>
      </c>
      <c r="F121" s="25">
        <f t="shared" si="89"/>
        <v>0</v>
      </c>
      <c r="G121" s="36">
        <f t="shared" si="90"/>
        <v>0</v>
      </c>
      <c r="H121" s="36">
        <f t="shared" si="91"/>
        <v>0</v>
      </c>
      <c r="I121" s="36">
        <f t="shared" si="92"/>
        <v>0</v>
      </c>
      <c r="J121" s="9">
        <f t="shared" si="93"/>
        <v>0</v>
      </c>
      <c r="K121" s="9">
        <f t="shared" si="94"/>
        <v>0</v>
      </c>
      <c r="L121" s="9">
        <f t="shared" si="95"/>
        <v>0</v>
      </c>
      <c r="M121" s="9">
        <f t="shared" si="96"/>
        <v>0</v>
      </c>
      <c r="N121" s="140">
        <f>'Value-of-fuel-used-under-CT'!R36</f>
        <v>0</v>
      </c>
    </row>
    <row r="122" spans="1:14" ht="57.95" customHeight="1" x14ac:dyDescent="0.25">
      <c r="A122" s="13" t="s">
        <v>161</v>
      </c>
      <c r="B122" s="40"/>
      <c r="C122" s="394">
        <f t="shared" ref="C122:E122" si="117">C89</f>
        <v>0</v>
      </c>
      <c r="D122" s="394">
        <f t="shared" si="117"/>
        <v>0</v>
      </c>
      <c r="E122" s="394">
        <f t="shared" si="117"/>
        <v>0</v>
      </c>
      <c r="F122" s="25">
        <f t="shared" si="89"/>
        <v>0</v>
      </c>
      <c r="G122" s="36">
        <f t="shared" si="90"/>
        <v>0</v>
      </c>
      <c r="H122" s="36">
        <f t="shared" si="91"/>
        <v>0</v>
      </c>
      <c r="I122" s="36">
        <f t="shared" si="92"/>
        <v>0</v>
      </c>
      <c r="J122" s="9">
        <f t="shared" si="93"/>
        <v>0</v>
      </c>
      <c r="K122" s="9">
        <f t="shared" si="94"/>
        <v>0</v>
      </c>
      <c r="L122" s="9">
        <f t="shared" si="95"/>
        <v>0</v>
      </c>
      <c r="M122" s="9">
        <f t="shared" si="96"/>
        <v>0</v>
      </c>
      <c r="N122" s="140">
        <f>'Value-of-fuel-used-under-CT'!R37</f>
        <v>0</v>
      </c>
    </row>
    <row r="123" spans="1:14" x14ac:dyDescent="0.25">
      <c r="A123" s="13" t="s">
        <v>162</v>
      </c>
      <c r="B123" s="40"/>
      <c r="C123" s="394">
        <f t="shared" ref="C123:E123" si="118">C90</f>
        <v>0</v>
      </c>
      <c r="D123" s="394">
        <f t="shared" si="118"/>
        <v>0</v>
      </c>
      <c r="E123" s="394">
        <f t="shared" si="118"/>
        <v>0</v>
      </c>
      <c r="F123" s="25">
        <f t="shared" si="89"/>
        <v>0</v>
      </c>
      <c r="G123" s="36">
        <f t="shared" si="90"/>
        <v>0</v>
      </c>
      <c r="H123" s="36">
        <f t="shared" si="91"/>
        <v>0</v>
      </c>
      <c r="I123" s="36">
        <f t="shared" si="92"/>
        <v>0</v>
      </c>
      <c r="J123" s="9">
        <f t="shared" si="93"/>
        <v>0</v>
      </c>
      <c r="K123" s="9">
        <f t="shared" si="94"/>
        <v>0</v>
      </c>
      <c r="L123" s="9">
        <f t="shared" si="95"/>
        <v>0</v>
      </c>
      <c r="M123" s="9">
        <f t="shared" si="96"/>
        <v>0</v>
      </c>
      <c r="N123" s="140">
        <f>'Value-of-fuel-used-under-CT'!R38</f>
        <v>0</v>
      </c>
    </row>
    <row r="124" spans="1:14" x14ac:dyDescent="0.25">
      <c r="A124" s="1" t="s">
        <v>163</v>
      </c>
      <c r="B124" s="10">
        <f>SUM(B100:B123)</f>
        <v>0</v>
      </c>
      <c r="C124" s="37">
        <f>IFERROR(SUMPRODUCT($B$100:$B$123,C100:C123)/$B$124,0)</f>
        <v>0</v>
      </c>
      <c r="D124" s="37">
        <f t="shared" ref="D124:E124" si="119">IFERROR(SUMPRODUCT($B$100:$B$123,D100:D123)/$B$124,0)</f>
        <v>0</v>
      </c>
      <c r="E124" s="37">
        <f t="shared" si="119"/>
        <v>0</v>
      </c>
      <c r="F124" s="25">
        <f>SUM(C124:E124)</f>
        <v>0</v>
      </c>
      <c r="G124" s="36">
        <f>IFERROR(C124*$B124/(C61*$B61),0)</f>
        <v>0</v>
      </c>
      <c r="H124" s="36">
        <f t="shared" si="91"/>
        <v>0</v>
      </c>
      <c r="I124" s="36">
        <f t="shared" si="92"/>
        <v>0</v>
      </c>
      <c r="J124" s="9">
        <f>IFERROR(SUMPRODUCT($B$100:$B$123,J100:J123)/$B$124,0)</f>
        <v>0</v>
      </c>
      <c r="K124" s="9">
        <f t="shared" ref="K124:L124" si="120">IFERROR(SUMPRODUCT($B$100:$B$123,K100:K123)/$B$124,0)</f>
        <v>0</v>
      </c>
      <c r="L124" s="9">
        <f t="shared" si="120"/>
        <v>0</v>
      </c>
      <c r="M124" s="9">
        <f t="shared" ref="M124:N124" si="121">SUM(M100:M123)</f>
        <v>0</v>
      </c>
      <c r="N124" s="140">
        <f t="shared" si="121"/>
        <v>0</v>
      </c>
    </row>
    <row r="126" spans="1:14" x14ac:dyDescent="0.25">
      <c r="A126" s="1" t="s">
        <v>332</v>
      </c>
      <c r="D126" s="2"/>
      <c r="E126" s="2"/>
      <c r="H126" s="20" t="s">
        <v>333</v>
      </c>
    </row>
    <row r="127" spans="1:14" ht="18" x14ac:dyDescent="0.35">
      <c r="A127" s="1"/>
      <c r="B127" s="1" t="s">
        <v>334</v>
      </c>
      <c r="D127" s="124">
        <f>44*F127/12</f>
        <v>187</v>
      </c>
      <c r="E127" s="73" t="s">
        <v>335</v>
      </c>
      <c r="F127" s="62">
        <v>51</v>
      </c>
      <c r="G127" t="s">
        <v>96</v>
      </c>
      <c r="H127" s="20" t="s">
        <v>336</v>
      </c>
    </row>
    <row r="128" spans="1:14" x14ac:dyDescent="0.25">
      <c r="A128" s="1"/>
      <c r="B128" s="1" t="s">
        <v>426</v>
      </c>
      <c r="D128" s="703">
        <v>5.7999999999999996E-3</v>
      </c>
      <c r="E128" s="1"/>
      <c r="F128" s="74" t="s">
        <v>338</v>
      </c>
      <c r="H128" s="20" t="s">
        <v>339</v>
      </c>
    </row>
    <row r="129" spans="1:27" x14ac:dyDescent="0.25">
      <c r="A129" s="1"/>
      <c r="B129" s="1" t="s">
        <v>427</v>
      </c>
      <c r="C129" s="1"/>
      <c r="D129" s="5">
        <v>10</v>
      </c>
      <c r="E129" s="1"/>
      <c r="F129" s="63" t="s">
        <v>239</v>
      </c>
      <c r="G129" s="69">
        <f>10000*(D129/100)*D131</f>
        <v>1400</v>
      </c>
      <c r="H129" s="77"/>
      <c r="R129" s="29" t="s">
        <v>342</v>
      </c>
      <c r="S129" s="29"/>
      <c r="T129" s="343">
        <v>0.10482673846153846</v>
      </c>
      <c r="U129" s="29" t="s">
        <v>343</v>
      </c>
    </row>
    <row r="130" spans="1:27" x14ac:dyDescent="0.25">
      <c r="A130" s="1"/>
      <c r="B130" s="1" t="s">
        <v>428</v>
      </c>
      <c r="C130" s="1"/>
      <c r="D130" s="123" t="e">
        <f>G130/G129</f>
        <v>#DIV/0!</v>
      </c>
      <c r="E130" s="1"/>
      <c r="F130" s="63" t="s">
        <v>429</v>
      </c>
      <c r="G130" s="95" t="e">
        <f>'Soil-errosion2'!AN28</f>
        <v>#DIV/0!</v>
      </c>
      <c r="H130" t="s">
        <v>345</v>
      </c>
      <c r="I130" t="s">
        <v>346</v>
      </c>
      <c r="R130" s="29" t="s">
        <v>347</v>
      </c>
      <c r="S130" s="29"/>
      <c r="T130" s="344">
        <v>719.77</v>
      </c>
      <c r="U130" s="29" t="s">
        <v>348</v>
      </c>
    </row>
    <row r="131" spans="1:27" ht="17.25" x14ac:dyDescent="0.25">
      <c r="A131" s="1"/>
      <c r="B131" s="1" t="s">
        <v>430</v>
      </c>
      <c r="C131" s="1"/>
      <c r="D131" s="5">
        <v>1.4</v>
      </c>
      <c r="E131" s="1"/>
      <c r="F131" t="s">
        <v>350</v>
      </c>
      <c r="G131" s="140" t="e">
        <f>D129*G130/G129</f>
        <v>#DIV/0!</v>
      </c>
      <c r="I131" s="20" t="s">
        <v>351</v>
      </c>
    </row>
    <row r="132" spans="1:27" x14ac:dyDescent="0.25">
      <c r="A132" s="838" t="s">
        <v>101</v>
      </c>
      <c r="B132" s="814" t="s">
        <v>431</v>
      </c>
      <c r="C132" s="814"/>
      <c r="D132" s="814"/>
      <c r="E132" s="814"/>
      <c r="F132" s="814"/>
      <c r="H132" s="76"/>
    </row>
    <row r="133" spans="1:27" ht="72" x14ac:dyDescent="0.25">
      <c r="A133" s="838"/>
      <c r="B133" s="11" t="s">
        <v>353</v>
      </c>
      <c r="C133" s="839" t="s">
        <v>354</v>
      </c>
      <c r="D133" s="839"/>
      <c r="E133" s="839"/>
      <c r="F133" s="839" t="s">
        <v>355</v>
      </c>
      <c r="G133" s="839"/>
      <c r="H133" s="839"/>
      <c r="I133" s="839"/>
      <c r="J133" s="839" t="s">
        <v>356</v>
      </c>
      <c r="K133" s="839"/>
      <c r="L133" s="839"/>
      <c r="M133" s="839"/>
      <c r="N133" s="839" t="s">
        <v>357</v>
      </c>
      <c r="O133" s="839"/>
      <c r="P133" s="839"/>
      <c r="Q133" s="839"/>
      <c r="R133" s="839" t="s">
        <v>358</v>
      </c>
      <c r="S133" s="839" t="s">
        <v>359</v>
      </c>
      <c r="T133" s="839" t="s">
        <v>360</v>
      </c>
      <c r="U133" s="839" t="s">
        <v>361</v>
      </c>
      <c r="V133" s="839" t="s">
        <v>362</v>
      </c>
      <c r="W133" s="839" t="s">
        <v>363</v>
      </c>
      <c r="X133" s="11" t="s">
        <v>364</v>
      </c>
      <c r="Y133" s="11" t="s">
        <v>365</v>
      </c>
      <c r="Z133" s="839" t="s">
        <v>366</v>
      </c>
      <c r="AA133" s="11" t="s">
        <v>367</v>
      </c>
    </row>
    <row r="134" spans="1:27" x14ac:dyDescent="0.25">
      <c r="A134" s="17"/>
      <c r="B134" s="11"/>
      <c r="C134" s="11" t="s">
        <v>234</v>
      </c>
      <c r="D134" s="11" t="s">
        <v>368</v>
      </c>
      <c r="E134" s="11" t="s">
        <v>238</v>
      </c>
      <c r="F134" s="11" t="s">
        <v>234</v>
      </c>
      <c r="G134" s="11" t="s">
        <v>368</v>
      </c>
      <c r="H134" s="11" t="s">
        <v>238</v>
      </c>
      <c r="I134" s="11" t="s">
        <v>120</v>
      </c>
      <c r="J134" s="11" t="s">
        <v>234</v>
      </c>
      <c r="K134" s="11" t="s">
        <v>368</v>
      </c>
      <c r="L134" s="11" t="s">
        <v>238</v>
      </c>
      <c r="M134" s="11" t="s">
        <v>120</v>
      </c>
      <c r="N134" s="11" t="s">
        <v>234</v>
      </c>
      <c r="O134" s="11" t="s">
        <v>368</v>
      </c>
      <c r="P134" s="11" t="s">
        <v>238</v>
      </c>
      <c r="Q134" s="11" t="s">
        <v>120</v>
      </c>
      <c r="R134" s="839"/>
      <c r="S134" s="839"/>
      <c r="T134" s="839"/>
      <c r="U134" s="839"/>
      <c r="V134" s="839"/>
      <c r="W134" s="839"/>
      <c r="X134" s="11"/>
      <c r="Y134" s="11"/>
      <c r="Z134" s="839"/>
    </row>
    <row r="135" spans="1:27" x14ac:dyDescent="0.25">
      <c r="A135" s="13" t="s">
        <v>139</v>
      </c>
      <c r="B135" s="4"/>
      <c r="C135" s="64"/>
      <c r="D135" s="64"/>
      <c r="E135" s="64"/>
      <c r="F135" s="185">
        <f>'Percent-Soil-Carbon-Content'!D4*'Soil-errosion2'!D4</f>
        <v>0</v>
      </c>
      <c r="G135" s="185">
        <f>'Percent-Soil-Carbon-Content'!O4*'Soil-errosion2'!P4</f>
        <v>0</v>
      </c>
      <c r="H135" s="185">
        <f>'Percent-Soil-Carbon-Content'!Z4*'Soil-errosion2'!AB4</f>
        <v>0</v>
      </c>
      <c r="I135" s="185">
        <f>SUMPRODUCT(F135:H135,$C$37:$E$37)</f>
        <v>0</v>
      </c>
      <c r="J135" s="185">
        <f>F135</f>
        <v>0</v>
      </c>
      <c r="K135" s="185">
        <f t="shared" ref="K135:L135" si="122">G135</f>
        <v>0</v>
      </c>
      <c r="L135" s="185">
        <f t="shared" si="122"/>
        <v>0</v>
      </c>
      <c r="M135" s="185">
        <f>SUMPRODUCT(J135:L135,C67:E67)</f>
        <v>0</v>
      </c>
      <c r="N135" s="67">
        <f t="shared" ref="N135:P135" si="123">J135*C37*$B37</f>
        <v>0</v>
      </c>
      <c r="O135" s="67">
        <f t="shared" si="123"/>
        <v>0</v>
      </c>
      <c r="P135" s="67">
        <f t="shared" si="123"/>
        <v>0</v>
      </c>
      <c r="Q135" s="24">
        <f>SUM(N135:P135)</f>
        <v>0</v>
      </c>
      <c r="R135" s="496">
        <f>'Value-of-fuel-used-under-CT'!D4</f>
        <v>0</v>
      </c>
      <c r="S135" s="350">
        <f>1000*R135*$T$130/1000000</f>
        <v>0</v>
      </c>
      <c r="T135" s="24">
        <f>Q135+S135</f>
        <v>0</v>
      </c>
      <c r="U135" s="24">
        <f>S135*$D$127</f>
        <v>0</v>
      </c>
      <c r="V135" s="24">
        <f>Q135*$D$127</f>
        <v>0</v>
      </c>
      <c r="W135" s="38">
        <f>T135*$D$127</f>
        <v>0</v>
      </c>
      <c r="X135" s="9">
        <v>0</v>
      </c>
      <c r="Y135" s="9">
        <v>0</v>
      </c>
      <c r="Z135" s="38">
        <f>B135+W135+X135+Y135</f>
        <v>0</v>
      </c>
    </row>
    <row r="136" spans="1:27" x14ac:dyDescent="0.25">
      <c r="A136" s="13" t="s">
        <v>140</v>
      </c>
      <c r="B136" s="4"/>
      <c r="C136" s="64"/>
      <c r="D136" s="64"/>
      <c r="E136" s="64"/>
      <c r="F136" s="185">
        <f>'Percent-Soil-Carbon-Content'!D5*'Soil-errosion2'!D5</f>
        <v>0</v>
      </c>
      <c r="G136" s="185">
        <f>'Percent-Soil-Carbon-Content'!O5*'Soil-errosion2'!P5</f>
        <v>0</v>
      </c>
      <c r="H136" s="185">
        <f>'Percent-Soil-Carbon-Content'!Z5*'Soil-errosion2'!AB5</f>
        <v>0</v>
      </c>
      <c r="I136" s="185">
        <f t="shared" ref="I136:I158" si="124">SUMPRODUCT(F136:H136,$C$37:$E$37)</f>
        <v>0</v>
      </c>
      <c r="J136" s="185">
        <f t="shared" ref="J136:J158" si="125">F136</f>
        <v>0</v>
      </c>
      <c r="K136" s="185">
        <f t="shared" ref="K136:K158" si="126">G136</f>
        <v>0</v>
      </c>
      <c r="L136" s="185">
        <f t="shared" ref="L136:L158" si="127">H136</f>
        <v>0</v>
      </c>
      <c r="M136" s="185">
        <f t="shared" ref="M136:M158" si="128">SUMPRODUCT(J136:L136,C68:E68)</f>
        <v>0</v>
      </c>
      <c r="N136" s="67">
        <f t="shared" ref="N136:N158" si="129">J136*C38*$B38</f>
        <v>0</v>
      </c>
      <c r="O136" s="67">
        <f t="shared" ref="O136:O158" si="130">K136*D38*$B38</f>
        <v>0</v>
      </c>
      <c r="P136" s="67">
        <f t="shared" ref="P136:P158" si="131">L136*E38*$B38</f>
        <v>0</v>
      </c>
      <c r="Q136" s="24">
        <f t="shared" ref="Q136:Q158" si="132">SUM(N136:P136)</f>
        <v>0</v>
      </c>
      <c r="R136" s="496">
        <f>'Value-of-fuel-used-under-CT'!D5</f>
        <v>0</v>
      </c>
      <c r="S136" s="350">
        <f t="shared" ref="S136:S158" si="133">1000*R136*$T$130/1000000</f>
        <v>0</v>
      </c>
      <c r="T136" s="24">
        <f t="shared" ref="T136:T158" si="134">Q136+S136</f>
        <v>0</v>
      </c>
      <c r="U136" s="24">
        <f t="shared" ref="U136:U158" si="135">S136*$D$127</f>
        <v>0</v>
      </c>
      <c r="V136" s="24">
        <f t="shared" ref="V136:V158" si="136">Q136*$D$127</f>
        <v>0</v>
      </c>
      <c r="W136" s="38">
        <f t="shared" ref="W136:W158" si="137">T136*$D$127</f>
        <v>0</v>
      </c>
      <c r="X136" s="9">
        <v>0</v>
      </c>
      <c r="Y136" s="9">
        <v>0</v>
      </c>
      <c r="Z136" s="38">
        <f t="shared" ref="Z136:Z158" si="138">B136+W136+X136+Y136</f>
        <v>0</v>
      </c>
    </row>
    <row r="137" spans="1:27" x14ac:dyDescent="0.25">
      <c r="A137" s="13" t="s">
        <v>141</v>
      </c>
      <c r="B137" s="4"/>
      <c r="C137" s="64"/>
      <c r="D137" s="64"/>
      <c r="E137" s="64"/>
      <c r="F137" s="185">
        <f>'Percent-Soil-Carbon-Content'!D6*'Soil-errosion2'!D6</f>
        <v>0</v>
      </c>
      <c r="G137" s="185">
        <f>'Percent-Soil-Carbon-Content'!O6*'Soil-errosion2'!P6</f>
        <v>0</v>
      </c>
      <c r="H137" s="185">
        <f>'Percent-Soil-Carbon-Content'!Z6*'Soil-errosion2'!AB6</f>
        <v>0</v>
      </c>
      <c r="I137" s="185">
        <f t="shared" si="124"/>
        <v>0</v>
      </c>
      <c r="J137" s="185">
        <f t="shared" si="125"/>
        <v>0</v>
      </c>
      <c r="K137" s="185">
        <f t="shared" si="126"/>
        <v>0</v>
      </c>
      <c r="L137" s="185">
        <f t="shared" si="127"/>
        <v>0</v>
      </c>
      <c r="M137" s="185">
        <f t="shared" si="128"/>
        <v>0</v>
      </c>
      <c r="N137" s="67">
        <f t="shared" si="129"/>
        <v>0</v>
      </c>
      <c r="O137" s="67">
        <f t="shared" si="130"/>
        <v>0</v>
      </c>
      <c r="P137" s="67">
        <f t="shared" si="131"/>
        <v>0</v>
      </c>
      <c r="Q137" s="24">
        <f t="shared" si="132"/>
        <v>0</v>
      </c>
      <c r="R137" s="496">
        <f>'Value-of-fuel-used-under-CT'!D6</f>
        <v>0</v>
      </c>
      <c r="S137" s="350">
        <f t="shared" si="133"/>
        <v>0</v>
      </c>
      <c r="T137" s="24">
        <f t="shared" si="134"/>
        <v>0</v>
      </c>
      <c r="U137" s="24">
        <f t="shared" si="135"/>
        <v>0</v>
      </c>
      <c r="V137" s="24">
        <f t="shared" si="136"/>
        <v>0</v>
      </c>
      <c r="W137" s="38">
        <f t="shared" si="137"/>
        <v>0</v>
      </c>
      <c r="X137" s="9">
        <v>0</v>
      </c>
      <c r="Y137" s="9">
        <v>0</v>
      </c>
      <c r="Z137" s="38">
        <f t="shared" si="138"/>
        <v>0</v>
      </c>
    </row>
    <row r="138" spans="1:27" x14ac:dyDescent="0.25">
      <c r="A138" s="13" t="s">
        <v>142</v>
      </c>
      <c r="B138" s="4"/>
      <c r="C138" s="64"/>
      <c r="D138" s="64"/>
      <c r="E138" s="64"/>
      <c r="F138" s="185">
        <f>'Percent-Soil-Carbon-Content'!D7*'Soil-errosion2'!D7</f>
        <v>0</v>
      </c>
      <c r="G138" s="185">
        <f>'Percent-Soil-Carbon-Content'!O7*'Soil-errosion2'!P7</f>
        <v>0</v>
      </c>
      <c r="H138" s="185">
        <f>'Percent-Soil-Carbon-Content'!Z7*'Soil-errosion2'!AB7</f>
        <v>0</v>
      </c>
      <c r="I138" s="185">
        <f t="shared" si="124"/>
        <v>0</v>
      </c>
      <c r="J138" s="185">
        <f t="shared" si="125"/>
        <v>0</v>
      </c>
      <c r="K138" s="185">
        <f t="shared" si="126"/>
        <v>0</v>
      </c>
      <c r="L138" s="185">
        <f t="shared" si="127"/>
        <v>0</v>
      </c>
      <c r="M138" s="185">
        <f t="shared" si="128"/>
        <v>0</v>
      </c>
      <c r="N138" s="67">
        <f t="shared" si="129"/>
        <v>0</v>
      </c>
      <c r="O138" s="67">
        <f t="shared" si="130"/>
        <v>0</v>
      </c>
      <c r="P138" s="67">
        <f t="shared" si="131"/>
        <v>0</v>
      </c>
      <c r="Q138" s="24">
        <f t="shared" si="132"/>
        <v>0</v>
      </c>
      <c r="R138" s="496">
        <f>'Value-of-fuel-used-under-CT'!D7</f>
        <v>0</v>
      </c>
      <c r="S138" s="350">
        <f t="shared" si="133"/>
        <v>0</v>
      </c>
      <c r="T138" s="24">
        <f t="shared" si="134"/>
        <v>0</v>
      </c>
      <c r="U138" s="24">
        <f t="shared" si="135"/>
        <v>0</v>
      </c>
      <c r="V138" s="24">
        <f t="shared" si="136"/>
        <v>0</v>
      </c>
      <c r="W138" s="38">
        <f t="shared" si="137"/>
        <v>0</v>
      </c>
      <c r="X138" s="9">
        <v>0</v>
      </c>
      <c r="Y138" s="9">
        <v>0</v>
      </c>
      <c r="Z138" s="38">
        <f t="shared" si="138"/>
        <v>0</v>
      </c>
    </row>
    <row r="139" spans="1:27" x14ac:dyDescent="0.25">
      <c r="A139" s="13" t="s">
        <v>143</v>
      </c>
      <c r="B139" s="4"/>
      <c r="C139" s="64"/>
      <c r="D139" s="64"/>
      <c r="E139" s="64"/>
      <c r="F139" s="185">
        <f>'Percent-Soil-Carbon-Content'!D8*'Soil-errosion2'!D8</f>
        <v>0</v>
      </c>
      <c r="G139" s="185">
        <f>'Percent-Soil-Carbon-Content'!O8*'Soil-errosion2'!P8</f>
        <v>0</v>
      </c>
      <c r="H139" s="185">
        <f>'Percent-Soil-Carbon-Content'!Z8*'Soil-errosion2'!AB8</f>
        <v>0</v>
      </c>
      <c r="I139" s="185">
        <f t="shared" si="124"/>
        <v>0</v>
      </c>
      <c r="J139" s="185">
        <f t="shared" si="125"/>
        <v>0</v>
      </c>
      <c r="K139" s="185">
        <f t="shared" si="126"/>
        <v>0</v>
      </c>
      <c r="L139" s="185">
        <f t="shared" si="127"/>
        <v>0</v>
      </c>
      <c r="M139" s="185">
        <f t="shared" si="128"/>
        <v>0</v>
      </c>
      <c r="N139" s="67">
        <f t="shared" si="129"/>
        <v>0</v>
      </c>
      <c r="O139" s="67">
        <f t="shared" si="130"/>
        <v>0</v>
      </c>
      <c r="P139" s="67">
        <f t="shared" si="131"/>
        <v>0</v>
      </c>
      <c r="Q139" s="24">
        <f t="shared" si="132"/>
        <v>0</v>
      </c>
      <c r="R139" s="496">
        <f>'Value-of-fuel-used-under-CT'!D8</f>
        <v>0</v>
      </c>
      <c r="S139" s="350">
        <f t="shared" si="133"/>
        <v>0</v>
      </c>
      <c r="T139" s="24">
        <f t="shared" si="134"/>
        <v>0</v>
      </c>
      <c r="U139" s="24">
        <f t="shared" si="135"/>
        <v>0</v>
      </c>
      <c r="V139" s="24">
        <f t="shared" si="136"/>
        <v>0</v>
      </c>
      <c r="W139" s="38">
        <f t="shared" si="137"/>
        <v>0</v>
      </c>
      <c r="X139" s="9">
        <v>0</v>
      </c>
      <c r="Y139" s="9">
        <v>0</v>
      </c>
      <c r="Z139" s="38">
        <f t="shared" si="138"/>
        <v>0</v>
      </c>
    </row>
    <row r="140" spans="1:27" x14ac:dyDescent="0.25">
      <c r="A140" s="13" t="s">
        <v>144</v>
      </c>
      <c r="B140" s="4"/>
      <c r="C140" s="64"/>
      <c r="D140" s="64"/>
      <c r="E140" s="64"/>
      <c r="F140" s="185">
        <f>'Percent-Soil-Carbon-Content'!D9*'Soil-errosion2'!D9</f>
        <v>0</v>
      </c>
      <c r="G140" s="185">
        <f>'Percent-Soil-Carbon-Content'!O9*'Soil-errosion2'!P9</f>
        <v>0</v>
      </c>
      <c r="H140" s="185">
        <f>'Percent-Soil-Carbon-Content'!Z9*'Soil-errosion2'!AB9</f>
        <v>0</v>
      </c>
      <c r="I140" s="185">
        <f t="shared" si="124"/>
        <v>0</v>
      </c>
      <c r="J140" s="185">
        <f t="shared" si="125"/>
        <v>0</v>
      </c>
      <c r="K140" s="185">
        <f t="shared" si="126"/>
        <v>0</v>
      </c>
      <c r="L140" s="185">
        <f t="shared" si="127"/>
        <v>0</v>
      </c>
      <c r="M140" s="185">
        <f t="shared" si="128"/>
        <v>0</v>
      </c>
      <c r="N140" s="67">
        <f t="shared" si="129"/>
        <v>0</v>
      </c>
      <c r="O140" s="67">
        <f t="shared" si="130"/>
        <v>0</v>
      </c>
      <c r="P140" s="67">
        <f t="shared" si="131"/>
        <v>0</v>
      </c>
      <c r="Q140" s="24">
        <f t="shared" si="132"/>
        <v>0</v>
      </c>
      <c r="R140" s="496">
        <f>'Value-of-fuel-used-under-CT'!D9</f>
        <v>0</v>
      </c>
      <c r="S140" s="350">
        <f t="shared" si="133"/>
        <v>0</v>
      </c>
      <c r="T140" s="24">
        <f t="shared" si="134"/>
        <v>0</v>
      </c>
      <c r="U140" s="24">
        <f t="shared" si="135"/>
        <v>0</v>
      </c>
      <c r="V140" s="24">
        <f t="shared" si="136"/>
        <v>0</v>
      </c>
      <c r="W140" s="38">
        <f t="shared" si="137"/>
        <v>0</v>
      </c>
      <c r="X140" s="9">
        <v>0</v>
      </c>
      <c r="Y140" s="9">
        <v>0</v>
      </c>
      <c r="Z140" s="38">
        <f t="shared" si="138"/>
        <v>0</v>
      </c>
    </row>
    <row r="141" spans="1:27" x14ac:dyDescent="0.25">
      <c r="A141" s="13" t="s">
        <v>145</v>
      </c>
      <c r="B141" s="4"/>
      <c r="C141" s="64"/>
      <c r="D141" s="64"/>
      <c r="E141" s="64"/>
      <c r="F141" s="185">
        <f>'Percent-Soil-Carbon-Content'!D10*'Soil-errosion2'!D10</f>
        <v>0</v>
      </c>
      <c r="G141" s="185">
        <f>'Percent-Soil-Carbon-Content'!O10*'Soil-errosion2'!P10</f>
        <v>0</v>
      </c>
      <c r="H141" s="185">
        <f>'Percent-Soil-Carbon-Content'!Z10*'Soil-errosion2'!AB10</f>
        <v>0</v>
      </c>
      <c r="I141" s="185">
        <f t="shared" si="124"/>
        <v>0</v>
      </c>
      <c r="J141" s="185">
        <f t="shared" si="125"/>
        <v>0</v>
      </c>
      <c r="K141" s="185">
        <f t="shared" si="126"/>
        <v>0</v>
      </c>
      <c r="L141" s="185">
        <f t="shared" si="127"/>
        <v>0</v>
      </c>
      <c r="M141" s="185">
        <f t="shared" si="128"/>
        <v>0</v>
      </c>
      <c r="N141" s="67">
        <f t="shared" si="129"/>
        <v>0</v>
      </c>
      <c r="O141" s="67">
        <f t="shared" si="130"/>
        <v>0</v>
      </c>
      <c r="P141" s="67">
        <f t="shared" si="131"/>
        <v>0</v>
      </c>
      <c r="Q141" s="24">
        <f t="shared" si="132"/>
        <v>0</v>
      </c>
      <c r="R141" s="496">
        <f>'Value-of-fuel-used-under-CT'!D10</f>
        <v>0</v>
      </c>
      <c r="S141" s="350">
        <f t="shared" si="133"/>
        <v>0</v>
      </c>
      <c r="T141" s="24">
        <f t="shared" si="134"/>
        <v>0</v>
      </c>
      <c r="U141" s="24">
        <f t="shared" si="135"/>
        <v>0</v>
      </c>
      <c r="V141" s="24">
        <f t="shared" si="136"/>
        <v>0</v>
      </c>
      <c r="W141" s="38">
        <f t="shared" si="137"/>
        <v>0</v>
      </c>
      <c r="X141" s="9">
        <v>0</v>
      </c>
      <c r="Y141" s="9">
        <v>0</v>
      </c>
      <c r="Z141" s="38">
        <f t="shared" si="138"/>
        <v>0</v>
      </c>
    </row>
    <row r="142" spans="1:27" x14ac:dyDescent="0.25">
      <c r="A142" s="13" t="s">
        <v>146</v>
      </c>
      <c r="B142" s="4"/>
      <c r="C142" s="64"/>
      <c r="D142" s="64"/>
      <c r="E142" s="64"/>
      <c r="F142" s="185">
        <f>'Percent-Soil-Carbon-Content'!D11*'Soil-errosion2'!D11</f>
        <v>0</v>
      </c>
      <c r="G142" s="185">
        <f>'Percent-Soil-Carbon-Content'!O11*'Soil-errosion2'!P11</f>
        <v>0</v>
      </c>
      <c r="H142" s="185">
        <f>'Percent-Soil-Carbon-Content'!Z11*'Soil-errosion2'!AB11</f>
        <v>0</v>
      </c>
      <c r="I142" s="185">
        <f t="shared" si="124"/>
        <v>0</v>
      </c>
      <c r="J142" s="185">
        <f t="shared" si="125"/>
        <v>0</v>
      </c>
      <c r="K142" s="185">
        <f t="shared" si="126"/>
        <v>0</v>
      </c>
      <c r="L142" s="185">
        <f t="shared" si="127"/>
        <v>0</v>
      </c>
      <c r="M142" s="185">
        <f t="shared" si="128"/>
        <v>0</v>
      </c>
      <c r="N142" s="67">
        <f t="shared" si="129"/>
        <v>0</v>
      </c>
      <c r="O142" s="67">
        <f t="shared" si="130"/>
        <v>0</v>
      </c>
      <c r="P142" s="67">
        <f t="shared" si="131"/>
        <v>0</v>
      </c>
      <c r="Q142" s="24">
        <f t="shared" si="132"/>
        <v>0</v>
      </c>
      <c r="R142" s="496">
        <f>'Value-of-fuel-used-under-CT'!D11</f>
        <v>0</v>
      </c>
      <c r="S142" s="350">
        <f t="shared" si="133"/>
        <v>0</v>
      </c>
      <c r="T142" s="24">
        <f t="shared" si="134"/>
        <v>0</v>
      </c>
      <c r="U142" s="24">
        <f t="shared" si="135"/>
        <v>0</v>
      </c>
      <c r="V142" s="24">
        <f t="shared" si="136"/>
        <v>0</v>
      </c>
      <c r="W142" s="38">
        <f t="shared" si="137"/>
        <v>0</v>
      </c>
      <c r="X142" s="9">
        <v>0</v>
      </c>
      <c r="Y142" s="9">
        <v>0</v>
      </c>
      <c r="Z142" s="38">
        <f t="shared" si="138"/>
        <v>0</v>
      </c>
    </row>
    <row r="143" spans="1:27" x14ac:dyDescent="0.25">
      <c r="A143" s="13" t="s">
        <v>147</v>
      </c>
      <c r="B143" s="4"/>
      <c r="C143" s="64"/>
      <c r="D143" s="64"/>
      <c r="E143" s="64"/>
      <c r="F143" s="185">
        <f>'Percent-Soil-Carbon-Content'!D12*'Soil-errosion2'!D12</f>
        <v>0</v>
      </c>
      <c r="G143" s="185">
        <f>'Percent-Soil-Carbon-Content'!O12*'Soil-errosion2'!P12</f>
        <v>0</v>
      </c>
      <c r="H143" s="185">
        <f>'Percent-Soil-Carbon-Content'!Z12*'Soil-errosion2'!AB12</f>
        <v>0</v>
      </c>
      <c r="I143" s="185">
        <f t="shared" si="124"/>
        <v>0</v>
      </c>
      <c r="J143" s="185">
        <f t="shared" si="125"/>
        <v>0</v>
      </c>
      <c r="K143" s="185">
        <f t="shared" si="126"/>
        <v>0</v>
      </c>
      <c r="L143" s="185">
        <f t="shared" si="127"/>
        <v>0</v>
      </c>
      <c r="M143" s="185">
        <f t="shared" si="128"/>
        <v>0</v>
      </c>
      <c r="N143" s="67">
        <f t="shared" si="129"/>
        <v>0</v>
      </c>
      <c r="O143" s="67">
        <f t="shared" si="130"/>
        <v>0</v>
      </c>
      <c r="P143" s="67">
        <f t="shared" si="131"/>
        <v>0</v>
      </c>
      <c r="Q143" s="24">
        <f t="shared" si="132"/>
        <v>0</v>
      </c>
      <c r="R143" s="496">
        <f>'Value-of-fuel-used-under-CT'!D12</f>
        <v>0</v>
      </c>
      <c r="S143" s="350">
        <f t="shared" si="133"/>
        <v>0</v>
      </c>
      <c r="T143" s="24">
        <f t="shared" si="134"/>
        <v>0</v>
      </c>
      <c r="U143" s="24">
        <f t="shared" si="135"/>
        <v>0</v>
      </c>
      <c r="V143" s="24">
        <f t="shared" si="136"/>
        <v>0</v>
      </c>
      <c r="W143" s="38">
        <f t="shared" si="137"/>
        <v>0</v>
      </c>
      <c r="X143" s="9">
        <v>0</v>
      </c>
      <c r="Y143" s="9">
        <v>0</v>
      </c>
      <c r="Z143" s="38">
        <f t="shared" si="138"/>
        <v>0</v>
      </c>
    </row>
    <row r="144" spans="1:27" x14ac:dyDescent="0.25">
      <c r="A144" s="13" t="s">
        <v>148</v>
      </c>
      <c r="B144" s="4"/>
      <c r="C144" s="64"/>
      <c r="D144" s="64"/>
      <c r="E144" s="64"/>
      <c r="F144" s="185">
        <f>'Percent-Soil-Carbon-Content'!D13*'Soil-errosion2'!D13</f>
        <v>0</v>
      </c>
      <c r="G144" s="185">
        <f>'Percent-Soil-Carbon-Content'!O13*'Soil-errosion2'!P13</f>
        <v>0</v>
      </c>
      <c r="H144" s="185">
        <f>'Percent-Soil-Carbon-Content'!Z13*'Soil-errosion2'!AB13</f>
        <v>0</v>
      </c>
      <c r="I144" s="185">
        <f t="shared" si="124"/>
        <v>0</v>
      </c>
      <c r="J144" s="185">
        <f t="shared" si="125"/>
        <v>0</v>
      </c>
      <c r="K144" s="185">
        <f t="shared" si="126"/>
        <v>0</v>
      </c>
      <c r="L144" s="185">
        <f t="shared" si="127"/>
        <v>0</v>
      </c>
      <c r="M144" s="185">
        <f t="shared" si="128"/>
        <v>0</v>
      </c>
      <c r="N144" s="67">
        <f t="shared" si="129"/>
        <v>0</v>
      </c>
      <c r="O144" s="67">
        <f t="shared" si="130"/>
        <v>0</v>
      </c>
      <c r="P144" s="67">
        <f t="shared" si="131"/>
        <v>0</v>
      </c>
      <c r="Q144" s="24">
        <f t="shared" si="132"/>
        <v>0</v>
      </c>
      <c r="R144" s="496">
        <f>'Value-of-fuel-used-under-CT'!D13</f>
        <v>0</v>
      </c>
      <c r="S144" s="350">
        <f t="shared" si="133"/>
        <v>0</v>
      </c>
      <c r="T144" s="24">
        <f t="shared" si="134"/>
        <v>0</v>
      </c>
      <c r="U144" s="24">
        <f t="shared" si="135"/>
        <v>0</v>
      </c>
      <c r="V144" s="24">
        <f t="shared" si="136"/>
        <v>0</v>
      </c>
      <c r="W144" s="38">
        <f t="shared" si="137"/>
        <v>0</v>
      </c>
      <c r="X144" s="9">
        <v>0</v>
      </c>
      <c r="Y144" s="9">
        <v>0</v>
      </c>
      <c r="Z144" s="38">
        <f t="shared" si="138"/>
        <v>0</v>
      </c>
    </row>
    <row r="145" spans="1:27" x14ac:dyDescent="0.25">
      <c r="A145" s="13" t="s">
        <v>149</v>
      </c>
      <c r="B145" s="4"/>
      <c r="C145" s="64"/>
      <c r="D145" s="64"/>
      <c r="E145" s="64"/>
      <c r="F145" s="185">
        <f>'Percent-Soil-Carbon-Content'!D14*'Soil-errosion2'!D14</f>
        <v>0</v>
      </c>
      <c r="G145" s="185">
        <f>'Percent-Soil-Carbon-Content'!O14*'Soil-errosion2'!P14</f>
        <v>0</v>
      </c>
      <c r="H145" s="185">
        <f>'Percent-Soil-Carbon-Content'!Z14*'Soil-errosion2'!AB14</f>
        <v>0</v>
      </c>
      <c r="I145" s="185">
        <f t="shared" si="124"/>
        <v>0</v>
      </c>
      <c r="J145" s="185">
        <f t="shared" si="125"/>
        <v>0</v>
      </c>
      <c r="K145" s="185">
        <f t="shared" si="126"/>
        <v>0</v>
      </c>
      <c r="L145" s="185">
        <f t="shared" si="127"/>
        <v>0</v>
      </c>
      <c r="M145" s="185">
        <f t="shared" si="128"/>
        <v>0</v>
      </c>
      <c r="N145" s="67">
        <f t="shared" si="129"/>
        <v>0</v>
      </c>
      <c r="O145" s="67">
        <f t="shared" si="130"/>
        <v>0</v>
      </c>
      <c r="P145" s="67">
        <f t="shared" si="131"/>
        <v>0</v>
      </c>
      <c r="Q145" s="24">
        <f t="shared" si="132"/>
        <v>0</v>
      </c>
      <c r="R145" s="496">
        <f>'Value-of-fuel-used-under-CT'!D14</f>
        <v>0</v>
      </c>
      <c r="S145" s="350">
        <f t="shared" si="133"/>
        <v>0</v>
      </c>
      <c r="T145" s="24">
        <f t="shared" si="134"/>
        <v>0</v>
      </c>
      <c r="U145" s="24">
        <f t="shared" si="135"/>
        <v>0</v>
      </c>
      <c r="V145" s="24">
        <f t="shared" si="136"/>
        <v>0</v>
      </c>
      <c r="W145" s="38">
        <f t="shared" si="137"/>
        <v>0</v>
      </c>
      <c r="X145" s="9">
        <v>0</v>
      </c>
      <c r="Y145" s="9">
        <v>0</v>
      </c>
      <c r="Z145" s="38">
        <f t="shared" si="138"/>
        <v>0</v>
      </c>
    </row>
    <row r="146" spans="1:27" x14ac:dyDescent="0.25">
      <c r="A146" s="13" t="s">
        <v>150</v>
      </c>
      <c r="B146" s="4"/>
      <c r="C146" s="64"/>
      <c r="D146" s="64"/>
      <c r="E146" s="64"/>
      <c r="F146" s="185">
        <f>'Percent-Soil-Carbon-Content'!D15*'Soil-errosion2'!D15</f>
        <v>0</v>
      </c>
      <c r="G146" s="185">
        <f>'Percent-Soil-Carbon-Content'!O15*'Soil-errosion2'!P15</f>
        <v>0</v>
      </c>
      <c r="H146" s="185">
        <f>'Percent-Soil-Carbon-Content'!Z15*'Soil-errosion2'!AB15</f>
        <v>0</v>
      </c>
      <c r="I146" s="185">
        <f t="shared" si="124"/>
        <v>0</v>
      </c>
      <c r="J146" s="185">
        <f t="shared" si="125"/>
        <v>0</v>
      </c>
      <c r="K146" s="185">
        <f t="shared" si="126"/>
        <v>0</v>
      </c>
      <c r="L146" s="185">
        <f t="shared" si="127"/>
        <v>0</v>
      </c>
      <c r="M146" s="185">
        <f t="shared" si="128"/>
        <v>0</v>
      </c>
      <c r="N146" s="67">
        <f t="shared" si="129"/>
        <v>0</v>
      </c>
      <c r="O146" s="67">
        <f t="shared" si="130"/>
        <v>0</v>
      </c>
      <c r="P146" s="67">
        <f t="shared" si="131"/>
        <v>0</v>
      </c>
      <c r="Q146" s="24">
        <f t="shared" si="132"/>
        <v>0</v>
      </c>
      <c r="R146" s="496">
        <f>'Value-of-fuel-used-under-CT'!D15</f>
        <v>0</v>
      </c>
      <c r="S146" s="350">
        <f t="shared" si="133"/>
        <v>0</v>
      </c>
      <c r="T146" s="24">
        <f t="shared" si="134"/>
        <v>0</v>
      </c>
      <c r="U146" s="24">
        <f t="shared" si="135"/>
        <v>0</v>
      </c>
      <c r="V146" s="24">
        <f t="shared" si="136"/>
        <v>0</v>
      </c>
      <c r="W146" s="38">
        <f t="shared" si="137"/>
        <v>0</v>
      </c>
      <c r="X146" s="9">
        <v>0</v>
      </c>
      <c r="Y146" s="9">
        <v>0</v>
      </c>
      <c r="Z146" s="38">
        <f t="shared" si="138"/>
        <v>0</v>
      </c>
    </row>
    <row r="147" spans="1:27" x14ac:dyDescent="0.25">
      <c r="A147" s="13" t="s">
        <v>151</v>
      </c>
      <c r="B147" s="4"/>
      <c r="C147" s="64"/>
      <c r="D147" s="64"/>
      <c r="E147" s="64"/>
      <c r="F147" s="185">
        <f>'Percent-Soil-Carbon-Content'!D16*'Soil-errosion2'!D16</f>
        <v>0</v>
      </c>
      <c r="G147" s="185">
        <f>'Percent-Soil-Carbon-Content'!O16*'Soil-errosion2'!P16</f>
        <v>0</v>
      </c>
      <c r="H147" s="185">
        <f>'Percent-Soil-Carbon-Content'!Z16*'Soil-errosion2'!AB16</f>
        <v>0</v>
      </c>
      <c r="I147" s="185">
        <f t="shared" si="124"/>
        <v>0</v>
      </c>
      <c r="J147" s="185">
        <f t="shared" si="125"/>
        <v>0</v>
      </c>
      <c r="K147" s="185">
        <f t="shared" si="126"/>
        <v>0</v>
      </c>
      <c r="L147" s="185">
        <f t="shared" si="127"/>
        <v>0</v>
      </c>
      <c r="M147" s="185">
        <f t="shared" si="128"/>
        <v>0</v>
      </c>
      <c r="N147" s="67">
        <f t="shared" si="129"/>
        <v>0</v>
      </c>
      <c r="O147" s="67">
        <f t="shared" si="130"/>
        <v>0</v>
      </c>
      <c r="P147" s="67">
        <f t="shared" si="131"/>
        <v>0</v>
      </c>
      <c r="Q147" s="24">
        <f t="shared" si="132"/>
        <v>0</v>
      </c>
      <c r="R147" s="496">
        <f>'Value-of-fuel-used-under-CT'!D16</f>
        <v>0</v>
      </c>
      <c r="S147" s="350">
        <f t="shared" si="133"/>
        <v>0</v>
      </c>
      <c r="T147" s="24">
        <f t="shared" si="134"/>
        <v>0</v>
      </c>
      <c r="U147" s="24">
        <f t="shared" si="135"/>
        <v>0</v>
      </c>
      <c r="V147" s="24">
        <f t="shared" si="136"/>
        <v>0</v>
      </c>
      <c r="W147" s="38">
        <f t="shared" si="137"/>
        <v>0</v>
      </c>
      <c r="X147" s="9">
        <v>0</v>
      </c>
      <c r="Y147" s="9">
        <v>0</v>
      </c>
      <c r="Z147" s="38">
        <f t="shared" si="138"/>
        <v>0</v>
      </c>
    </row>
    <row r="148" spans="1:27" x14ac:dyDescent="0.25">
      <c r="A148" s="13" t="s">
        <v>152</v>
      </c>
      <c r="B148" s="4"/>
      <c r="C148" s="64"/>
      <c r="D148" s="64"/>
      <c r="E148" s="64"/>
      <c r="F148" s="185">
        <f>'Percent-Soil-Carbon-Content'!D17*'Soil-errosion2'!D17</f>
        <v>0</v>
      </c>
      <c r="G148" s="185">
        <f>'Percent-Soil-Carbon-Content'!O17*'Soil-errosion2'!P17</f>
        <v>0</v>
      </c>
      <c r="H148" s="185">
        <f>'Percent-Soil-Carbon-Content'!Z17*'Soil-errosion2'!AB17</f>
        <v>0</v>
      </c>
      <c r="I148" s="185">
        <f t="shared" si="124"/>
        <v>0</v>
      </c>
      <c r="J148" s="185">
        <f t="shared" si="125"/>
        <v>0</v>
      </c>
      <c r="K148" s="185">
        <f t="shared" si="126"/>
        <v>0</v>
      </c>
      <c r="L148" s="185">
        <f t="shared" si="127"/>
        <v>0</v>
      </c>
      <c r="M148" s="185">
        <f t="shared" si="128"/>
        <v>0</v>
      </c>
      <c r="N148" s="67">
        <f t="shared" si="129"/>
        <v>0</v>
      </c>
      <c r="O148" s="67">
        <f t="shared" si="130"/>
        <v>0</v>
      </c>
      <c r="P148" s="67">
        <f t="shared" si="131"/>
        <v>0</v>
      </c>
      <c r="Q148" s="24">
        <f t="shared" si="132"/>
        <v>0</v>
      </c>
      <c r="R148" s="496">
        <f>'Value-of-fuel-used-under-CT'!D17</f>
        <v>0</v>
      </c>
      <c r="S148" s="350">
        <f t="shared" si="133"/>
        <v>0</v>
      </c>
      <c r="T148" s="24">
        <f t="shared" si="134"/>
        <v>0</v>
      </c>
      <c r="U148" s="24">
        <f t="shared" si="135"/>
        <v>0</v>
      </c>
      <c r="V148" s="24">
        <f t="shared" si="136"/>
        <v>0</v>
      </c>
      <c r="W148" s="38">
        <f t="shared" si="137"/>
        <v>0</v>
      </c>
      <c r="X148" s="9">
        <v>0</v>
      </c>
      <c r="Y148" s="9">
        <v>0</v>
      </c>
      <c r="Z148" s="38">
        <f t="shared" si="138"/>
        <v>0</v>
      </c>
    </row>
    <row r="149" spans="1:27" x14ac:dyDescent="0.25">
      <c r="A149" s="13" t="s">
        <v>153</v>
      </c>
      <c r="B149" s="4"/>
      <c r="C149" s="64"/>
      <c r="D149" s="64"/>
      <c r="E149" s="64"/>
      <c r="F149" s="185">
        <f>'Percent-Soil-Carbon-Content'!D18*'Soil-errosion2'!D18</f>
        <v>0</v>
      </c>
      <c r="G149" s="185">
        <f>'Percent-Soil-Carbon-Content'!O18*'Soil-errosion2'!P18</f>
        <v>0</v>
      </c>
      <c r="H149" s="185">
        <f>'Percent-Soil-Carbon-Content'!Z18*'Soil-errosion2'!AB18</f>
        <v>0</v>
      </c>
      <c r="I149" s="185">
        <f t="shared" si="124"/>
        <v>0</v>
      </c>
      <c r="J149" s="185">
        <f t="shared" si="125"/>
        <v>0</v>
      </c>
      <c r="K149" s="185">
        <f t="shared" si="126"/>
        <v>0</v>
      </c>
      <c r="L149" s="185">
        <f t="shared" si="127"/>
        <v>0</v>
      </c>
      <c r="M149" s="185">
        <f t="shared" si="128"/>
        <v>0</v>
      </c>
      <c r="N149" s="67">
        <f t="shared" si="129"/>
        <v>0</v>
      </c>
      <c r="O149" s="67">
        <f t="shared" si="130"/>
        <v>0</v>
      </c>
      <c r="P149" s="67">
        <f t="shared" si="131"/>
        <v>0</v>
      </c>
      <c r="Q149" s="24">
        <f t="shared" si="132"/>
        <v>0</v>
      </c>
      <c r="R149" s="496">
        <f>'Value-of-fuel-used-under-CT'!D18</f>
        <v>0</v>
      </c>
      <c r="S149" s="350">
        <f t="shared" si="133"/>
        <v>0</v>
      </c>
      <c r="T149" s="24">
        <f t="shared" si="134"/>
        <v>0</v>
      </c>
      <c r="U149" s="24">
        <f t="shared" si="135"/>
        <v>0</v>
      </c>
      <c r="V149" s="24">
        <f t="shared" si="136"/>
        <v>0</v>
      </c>
      <c r="W149" s="38">
        <f t="shared" si="137"/>
        <v>0</v>
      </c>
      <c r="X149" s="9">
        <v>0</v>
      </c>
      <c r="Y149" s="9">
        <v>0</v>
      </c>
      <c r="Z149" s="38">
        <f t="shared" si="138"/>
        <v>0</v>
      </c>
    </row>
    <row r="150" spans="1:27" x14ac:dyDescent="0.25">
      <c r="A150" s="13" t="s">
        <v>154</v>
      </c>
      <c r="B150" s="4"/>
      <c r="C150" s="64"/>
      <c r="D150" s="64"/>
      <c r="E150" s="64"/>
      <c r="F150" s="185">
        <f>'Percent-Soil-Carbon-Content'!D19*'Soil-errosion2'!D19</f>
        <v>0</v>
      </c>
      <c r="G150" s="185">
        <f>'Percent-Soil-Carbon-Content'!O19*'Soil-errosion2'!P19</f>
        <v>0</v>
      </c>
      <c r="H150" s="185">
        <f>'Percent-Soil-Carbon-Content'!Z19*'Soil-errosion2'!AB19</f>
        <v>0</v>
      </c>
      <c r="I150" s="185">
        <f t="shared" si="124"/>
        <v>0</v>
      </c>
      <c r="J150" s="185">
        <f t="shared" si="125"/>
        <v>0</v>
      </c>
      <c r="K150" s="185">
        <f t="shared" si="126"/>
        <v>0</v>
      </c>
      <c r="L150" s="185">
        <f t="shared" si="127"/>
        <v>0</v>
      </c>
      <c r="M150" s="185">
        <f t="shared" si="128"/>
        <v>0</v>
      </c>
      <c r="N150" s="67">
        <f t="shared" si="129"/>
        <v>0</v>
      </c>
      <c r="O150" s="67">
        <f t="shared" si="130"/>
        <v>0</v>
      </c>
      <c r="P150" s="67">
        <f t="shared" si="131"/>
        <v>0</v>
      </c>
      <c r="Q150" s="24">
        <f t="shared" si="132"/>
        <v>0</v>
      </c>
      <c r="R150" s="496">
        <f>'Value-of-fuel-used-under-CT'!D19</f>
        <v>0</v>
      </c>
      <c r="S150" s="350">
        <f t="shared" si="133"/>
        <v>0</v>
      </c>
      <c r="T150" s="24">
        <f t="shared" si="134"/>
        <v>0</v>
      </c>
      <c r="U150" s="24">
        <f t="shared" si="135"/>
        <v>0</v>
      </c>
      <c r="V150" s="24">
        <f t="shared" si="136"/>
        <v>0</v>
      </c>
      <c r="W150" s="38">
        <f t="shared" si="137"/>
        <v>0</v>
      </c>
      <c r="X150" s="9">
        <v>0</v>
      </c>
      <c r="Y150" s="9">
        <v>0</v>
      </c>
      <c r="Z150" s="38">
        <f t="shared" si="138"/>
        <v>0</v>
      </c>
    </row>
    <row r="151" spans="1:27" x14ac:dyDescent="0.25">
      <c r="A151" s="13" t="s">
        <v>155</v>
      </c>
      <c r="B151" s="4"/>
      <c r="C151" s="64"/>
      <c r="D151" s="64"/>
      <c r="E151" s="64"/>
      <c r="F151" s="185">
        <f>'Percent-Soil-Carbon-Content'!D20*'Soil-errosion2'!D20</f>
        <v>0</v>
      </c>
      <c r="G151" s="185">
        <f>'Percent-Soil-Carbon-Content'!O20*'Soil-errosion2'!P20</f>
        <v>0</v>
      </c>
      <c r="H151" s="185">
        <f>'Percent-Soil-Carbon-Content'!Z20*'Soil-errosion2'!AB20</f>
        <v>0</v>
      </c>
      <c r="I151" s="185">
        <f t="shared" si="124"/>
        <v>0</v>
      </c>
      <c r="J151" s="185">
        <f t="shared" si="125"/>
        <v>0</v>
      </c>
      <c r="K151" s="185">
        <f t="shared" si="126"/>
        <v>0</v>
      </c>
      <c r="L151" s="185">
        <f t="shared" si="127"/>
        <v>0</v>
      </c>
      <c r="M151" s="185">
        <f t="shared" si="128"/>
        <v>0</v>
      </c>
      <c r="N151" s="67">
        <f t="shared" si="129"/>
        <v>0</v>
      </c>
      <c r="O151" s="67">
        <f t="shared" si="130"/>
        <v>0</v>
      </c>
      <c r="P151" s="67">
        <f t="shared" si="131"/>
        <v>0</v>
      </c>
      <c r="Q151" s="24">
        <f t="shared" si="132"/>
        <v>0</v>
      </c>
      <c r="R151" s="496">
        <f>'Value-of-fuel-used-under-CT'!D20</f>
        <v>0</v>
      </c>
      <c r="S151" s="350">
        <f t="shared" si="133"/>
        <v>0</v>
      </c>
      <c r="T151" s="24">
        <f t="shared" si="134"/>
        <v>0</v>
      </c>
      <c r="U151" s="24">
        <f t="shared" si="135"/>
        <v>0</v>
      </c>
      <c r="V151" s="24">
        <f t="shared" si="136"/>
        <v>0</v>
      </c>
      <c r="W151" s="38">
        <f t="shared" si="137"/>
        <v>0</v>
      </c>
      <c r="X151" s="9">
        <v>0</v>
      </c>
      <c r="Y151" s="9">
        <v>0</v>
      </c>
      <c r="Z151" s="38">
        <f t="shared" si="138"/>
        <v>0</v>
      </c>
    </row>
    <row r="152" spans="1:27" x14ac:dyDescent="0.25">
      <c r="A152" s="13" t="s">
        <v>156</v>
      </c>
      <c r="B152" s="4"/>
      <c r="C152" s="64"/>
      <c r="D152" s="64"/>
      <c r="E152" s="64"/>
      <c r="F152" s="185">
        <f>'Percent-Soil-Carbon-Content'!D21*'Soil-errosion2'!D21</f>
        <v>0</v>
      </c>
      <c r="G152" s="185">
        <f>'Percent-Soil-Carbon-Content'!O21*'Soil-errosion2'!P21</f>
        <v>0</v>
      </c>
      <c r="H152" s="185">
        <f>'Percent-Soil-Carbon-Content'!Z21*'Soil-errosion2'!AB21</f>
        <v>0</v>
      </c>
      <c r="I152" s="185">
        <f t="shared" si="124"/>
        <v>0</v>
      </c>
      <c r="J152" s="185">
        <f t="shared" si="125"/>
        <v>0</v>
      </c>
      <c r="K152" s="185">
        <f t="shared" si="126"/>
        <v>0</v>
      </c>
      <c r="L152" s="185">
        <f t="shared" si="127"/>
        <v>0</v>
      </c>
      <c r="M152" s="185">
        <f t="shared" si="128"/>
        <v>0</v>
      </c>
      <c r="N152" s="67">
        <f t="shared" si="129"/>
        <v>0</v>
      </c>
      <c r="O152" s="67">
        <f t="shared" si="130"/>
        <v>0</v>
      </c>
      <c r="P152" s="67">
        <f t="shared" si="131"/>
        <v>0</v>
      </c>
      <c r="Q152" s="24">
        <f t="shared" si="132"/>
        <v>0</v>
      </c>
      <c r="R152" s="496">
        <f>'Value-of-fuel-used-under-CT'!D21</f>
        <v>0</v>
      </c>
      <c r="S152" s="350">
        <f t="shared" si="133"/>
        <v>0</v>
      </c>
      <c r="T152" s="24">
        <f t="shared" si="134"/>
        <v>0</v>
      </c>
      <c r="U152" s="24">
        <f t="shared" si="135"/>
        <v>0</v>
      </c>
      <c r="V152" s="24">
        <f t="shared" si="136"/>
        <v>0</v>
      </c>
      <c r="W152" s="38">
        <f t="shared" si="137"/>
        <v>0</v>
      </c>
      <c r="X152" s="9">
        <v>0</v>
      </c>
      <c r="Y152" s="9">
        <v>0</v>
      </c>
      <c r="Z152" s="38">
        <f t="shared" si="138"/>
        <v>0</v>
      </c>
    </row>
    <row r="153" spans="1:27" ht="15.95" customHeight="1" x14ac:dyDescent="0.25">
      <c r="A153" s="13" t="s">
        <v>157</v>
      </c>
      <c r="B153" s="4"/>
      <c r="C153" s="64"/>
      <c r="D153" s="64"/>
      <c r="E153" s="64"/>
      <c r="F153" s="185">
        <f>'Percent-Soil-Carbon-Content'!D22*'Soil-errosion2'!D22</f>
        <v>0</v>
      </c>
      <c r="G153" s="185">
        <f>'Percent-Soil-Carbon-Content'!O22*'Soil-errosion2'!P22</f>
        <v>0</v>
      </c>
      <c r="H153" s="185">
        <f>'Percent-Soil-Carbon-Content'!Z22*'Soil-errosion2'!AB22</f>
        <v>0</v>
      </c>
      <c r="I153" s="185">
        <f t="shared" si="124"/>
        <v>0</v>
      </c>
      <c r="J153" s="185">
        <f t="shared" si="125"/>
        <v>0</v>
      </c>
      <c r="K153" s="185">
        <f t="shared" si="126"/>
        <v>0</v>
      </c>
      <c r="L153" s="185">
        <f t="shared" si="127"/>
        <v>0</v>
      </c>
      <c r="M153" s="185">
        <f t="shared" si="128"/>
        <v>0</v>
      </c>
      <c r="N153" s="67">
        <f t="shared" si="129"/>
        <v>0</v>
      </c>
      <c r="O153" s="67">
        <f t="shared" si="130"/>
        <v>0</v>
      </c>
      <c r="P153" s="67">
        <f t="shared" si="131"/>
        <v>0</v>
      </c>
      <c r="Q153" s="24">
        <f t="shared" si="132"/>
        <v>0</v>
      </c>
      <c r="R153" s="496">
        <f>'Value-of-fuel-used-under-CT'!D22</f>
        <v>0</v>
      </c>
      <c r="S153" s="350">
        <f t="shared" si="133"/>
        <v>0</v>
      </c>
      <c r="T153" s="24">
        <f t="shared" si="134"/>
        <v>0</v>
      </c>
      <c r="U153" s="24">
        <f t="shared" si="135"/>
        <v>0</v>
      </c>
      <c r="V153" s="24">
        <f t="shared" si="136"/>
        <v>0</v>
      </c>
      <c r="W153" s="38">
        <f t="shared" si="137"/>
        <v>0</v>
      </c>
      <c r="X153" s="9">
        <v>0</v>
      </c>
      <c r="Y153" s="9">
        <v>0</v>
      </c>
      <c r="Z153" s="38">
        <f t="shared" si="138"/>
        <v>0</v>
      </c>
    </row>
    <row r="154" spans="1:27" x14ac:dyDescent="0.25">
      <c r="A154" s="13" t="s">
        <v>158</v>
      </c>
      <c r="B154" s="4"/>
      <c r="C154" s="64"/>
      <c r="D154" s="64"/>
      <c r="E154" s="64"/>
      <c r="F154" s="185">
        <f>'Percent-Soil-Carbon-Content'!D23*'Soil-errosion2'!D23</f>
        <v>0</v>
      </c>
      <c r="G154" s="185">
        <f>'Percent-Soil-Carbon-Content'!O23*'Soil-errosion2'!P23</f>
        <v>0</v>
      </c>
      <c r="H154" s="185">
        <f>'Percent-Soil-Carbon-Content'!Z23*'Soil-errosion2'!AB23</f>
        <v>0</v>
      </c>
      <c r="I154" s="185">
        <f t="shared" si="124"/>
        <v>0</v>
      </c>
      <c r="J154" s="185">
        <f t="shared" si="125"/>
        <v>0</v>
      </c>
      <c r="K154" s="185">
        <f t="shared" si="126"/>
        <v>0</v>
      </c>
      <c r="L154" s="185">
        <f t="shared" si="127"/>
        <v>0</v>
      </c>
      <c r="M154" s="185">
        <f t="shared" si="128"/>
        <v>0</v>
      </c>
      <c r="N154" s="67">
        <f t="shared" si="129"/>
        <v>0</v>
      </c>
      <c r="O154" s="67">
        <f t="shared" si="130"/>
        <v>0</v>
      </c>
      <c r="P154" s="67">
        <f t="shared" si="131"/>
        <v>0</v>
      </c>
      <c r="Q154" s="24">
        <f t="shared" si="132"/>
        <v>0</v>
      </c>
      <c r="R154" s="496">
        <f>'Value-of-fuel-used-under-CT'!D23</f>
        <v>0</v>
      </c>
      <c r="S154" s="350">
        <f t="shared" si="133"/>
        <v>0</v>
      </c>
      <c r="T154" s="24">
        <f t="shared" si="134"/>
        <v>0</v>
      </c>
      <c r="U154" s="24">
        <f t="shared" si="135"/>
        <v>0</v>
      </c>
      <c r="V154" s="24">
        <f t="shared" si="136"/>
        <v>0</v>
      </c>
      <c r="W154" s="38">
        <f t="shared" si="137"/>
        <v>0</v>
      </c>
      <c r="X154" s="9">
        <v>0</v>
      </c>
      <c r="Y154" s="9">
        <v>0</v>
      </c>
      <c r="Z154" s="38">
        <f t="shared" si="138"/>
        <v>0</v>
      </c>
    </row>
    <row r="155" spans="1:27" x14ac:dyDescent="0.25">
      <c r="A155" s="13" t="s">
        <v>159</v>
      </c>
      <c r="B155" s="4"/>
      <c r="C155" s="64"/>
      <c r="D155" s="64"/>
      <c r="E155" s="64"/>
      <c r="F155" s="185">
        <f>'Percent-Soil-Carbon-Content'!D24*'Soil-errosion2'!D24</f>
        <v>0</v>
      </c>
      <c r="G155" s="185">
        <f>'Percent-Soil-Carbon-Content'!O24*'Soil-errosion2'!P24</f>
        <v>0</v>
      </c>
      <c r="H155" s="185">
        <f>'Percent-Soil-Carbon-Content'!Z24*'Soil-errosion2'!AB24</f>
        <v>0</v>
      </c>
      <c r="I155" s="185">
        <f t="shared" si="124"/>
        <v>0</v>
      </c>
      <c r="J155" s="185">
        <f t="shared" si="125"/>
        <v>0</v>
      </c>
      <c r="K155" s="185">
        <f t="shared" si="126"/>
        <v>0</v>
      </c>
      <c r="L155" s="185">
        <f t="shared" si="127"/>
        <v>0</v>
      </c>
      <c r="M155" s="185">
        <f t="shared" si="128"/>
        <v>0</v>
      </c>
      <c r="N155" s="67">
        <f t="shared" si="129"/>
        <v>0</v>
      </c>
      <c r="O155" s="67">
        <f t="shared" si="130"/>
        <v>0</v>
      </c>
      <c r="P155" s="67">
        <f t="shared" si="131"/>
        <v>0</v>
      </c>
      <c r="Q155" s="24">
        <f t="shared" si="132"/>
        <v>0</v>
      </c>
      <c r="R155" s="496">
        <f>'Value-of-fuel-used-under-CT'!D24</f>
        <v>0</v>
      </c>
      <c r="S155" s="350">
        <f t="shared" si="133"/>
        <v>0</v>
      </c>
      <c r="T155" s="24">
        <f t="shared" si="134"/>
        <v>0</v>
      </c>
      <c r="U155" s="24">
        <f t="shared" si="135"/>
        <v>0</v>
      </c>
      <c r="V155" s="24">
        <f t="shared" si="136"/>
        <v>0</v>
      </c>
      <c r="W155" s="38">
        <f t="shared" si="137"/>
        <v>0</v>
      </c>
      <c r="X155" s="9">
        <v>0</v>
      </c>
      <c r="Y155" s="9">
        <v>0</v>
      </c>
      <c r="Z155" s="38">
        <f t="shared" si="138"/>
        <v>0</v>
      </c>
    </row>
    <row r="156" spans="1:27" x14ac:dyDescent="0.25">
      <c r="A156" s="13" t="s">
        <v>160</v>
      </c>
      <c r="B156" s="4"/>
      <c r="C156" s="64"/>
      <c r="D156" s="64"/>
      <c r="E156" s="64"/>
      <c r="F156" s="185">
        <f>'Percent-Soil-Carbon-Content'!D25*'Soil-errosion2'!D25</f>
        <v>0</v>
      </c>
      <c r="G156" s="185">
        <f>'Percent-Soil-Carbon-Content'!O25*'Soil-errosion2'!P25</f>
        <v>0</v>
      </c>
      <c r="H156" s="185">
        <f>'Percent-Soil-Carbon-Content'!Z25*'Soil-errosion2'!AB25</f>
        <v>0</v>
      </c>
      <c r="I156" s="185">
        <f t="shared" si="124"/>
        <v>0</v>
      </c>
      <c r="J156" s="185">
        <f t="shared" si="125"/>
        <v>0</v>
      </c>
      <c r="K156" s="185">
        <f t="shared" si="126"/>
        <v>0</v>
      </c>
      <c r="L156" s="185">
        <f t="shared" si="127"/>
        <v>0</v>
      </c>
      <c r="M156" s="185">
        <f t="shared" si="128"/>
        <v>0</v>
      </c>
      <c r="N156" s="67">
        <f t="shared" si="129"/>
        <v>0</v>
      </c>
      <c r="O156" s="67">
        <f t="shared" si="130"/>
        <v>0</v>
      </c>
      <c r="P156" s="67">
        <f t="shared" si="131"/>
        <v>0</v>
      </c>
      <c r="Q156" s="24">
        <f t="shared" si="132"/>
        <v>0</v>
      </c>
      <c r="R156" s="496">
        <f>'Value-of-fuel-used-under-CT'!D25</f>
        <v>0</v>
      </c>
      <c r="S156" s="350">
        <f t="shared" si="133"/>
        <v>0</v>
      </c>
      <c r="T156" s="24">
        <f t="shared" si="134"/>
        <v>0</v>
      </c>
      <c r="U156" s="24">
        <f t="shared" si="135"/>
        <v>0</v>
      </c>
      <c r="V156" s="24">
        <f t="shared" si="136"/>
        <v>0</v>
      </c>
      <c r="W156" s="38">
        <f t="shared" si="137"/>
        <v>0</v>
      </c>
      <c r="X156" s="9">
        <v>0</v>
      </c>
      <c r="Y156" s="9">
        <v>0</v>
      </c>
      <c r="Z156" s="38">
        <f t="shared" si="138"/>
        <v>0</v>
      </c>
    </row>
    <row r="157" spans="1:27" x14ac:dyDescent="0.25">
      <c r="A157" s="13" t="s">
        <v>161</v>
      </c>
      <c r="B157" s="4"/>
      <c r="C157" s="64"/>
      <c r="D157" s="64"/>
      <c r="E157" s="64"/>
      <c r="F157" s="185">
        <f>'Percent-Soil-Carbon-Content'!D26*'Soil-errosion2'!D26</f>
        <v>0</v>
      </c>
      <c r="G157" s="185">
        <f>'Percent-Soil-Carbon-Content'!O26*'Soil-errosion2'!P26</f>
        <v>0</v>
      </c>
      <c r="H157" s="185">
        <f>'Percent-Soil-Carbon-Content'!Z26*'Soil-errosion2'!AB26</f>
        <v>0</v>
      </c>
      <c r="I157" s="185">
        <f t="shared" si="124"/>
        <v>0</v>
      </c>
      <c r="J157" s="185">
        <f t="shared" si="125"/>
        <v>0</v>
      </c>
      <c r="K157" s="185">
        <f t="shared" si="126"/>
        <v>0</v>
      </c>
      <c r="L157" s="185">
        <f t="shared" si="127"/>
        <v>0</v>
      </c>
      <c r="M157" s="185">
        <f t="shared" si="128"/>
        <v>0</v>
      </c>
      <c r="N157" s="67">
        <f t="shared" si="129"/>
        <v>0</v>
      </c>
      <c r="O157" s="67">
        <f t="shared" si="130"/>
        <v>0</v>
      </c>
      <c r="P157" s="67">
        <f t="shared" si="131"/>
        <v>0</v>
      </c>
      <c r="Q157" s="24">
        <f t="shared" si="132"/>
        <v>0</v>
      </c>
      <c r="R157" s="496">
        <f>'Value-of-fuel-used-under-CT'!D26</f>
        <v>0</v>
      </c>
      <c r="S157" s="350">
        <f t="shared" si="133"/>
        <v>0</v>
      </c>
      <c r="T157" s="24">
        <f t="shared" si="134"/>
        <v>0</v>
      </c>
      <c r="U157" s="24">
        <f t="shared" si="135"/>
        <v>0</v>
      </c>
      <c r="V157" s="24">
        <f t="shared" si="136"/>
        <v>0</v>
      </c>
      <c r="W157" s="38">
        <f t="shared" si="137"/>
        <v>0</v>
      </c>
      <c r="X157" s="9">
        <v>0</v>
      </c>
      <c r="Y157" s="9">
        <v>0</v>
      </c>
      <c r="Z157" s="38">
        <f t="shared" si="138"/>
        <v>0</v>
      </c>
    </row>
    <row r="158" spans="1:27" x14ac:dyDescent="0.25">
      <c r="A158" s="13" t="s">
        <v>162</v>
      </c>
      <c r="B158" s="4"/>
      <c r="C158" s="64"/>
      <c r="D158" s="64"/>
      <c r="E158" s="64"/>
      <c r="F158" s="185">
        <f>'Percent-Soil-Carbon-Content'!D27*'Soil-errosion2'!D27</f>
        <v>0</v>
      </c>
      <c r="G158" s="185">
        <f>'Percent-Soil-Carbon-Content'!O27*'Soil-errosion2'!P27</f>
        <v>0</v>
      </c>
      <c r="H158" s="185">
        <f>'Percent-Soil-Carbon-Content'!Z27*'Soil-errosion2'!AB27</f>
        <v>0</v>
      </c>
      <c r="I158" s="185">
        <f t="shared" si="124"/>
        <v>0</v>
      </c>
      <c r="J158" s="185">
        <f t="shared" si="125"/>
        <v>0</v>
      </c>
      <c r="K158" s="185">
        <f t="shared" si="126"/>
        <v>0</v>
      </c>
      <c r="L158" s="185">
        <f t="shared" si="127"/>
        <v>0</v>
      </c>
      <c r="M158" s="185">
        <f t="shared" si="128"/>
        <v>0</v>
      </c>
      <c r="N158" s="67">
        <f t="shared" si="129"/>
        <v>0</v>
      </c>
      <c r="O158" s="67">
        <f t="shared" si="130"/>
        <v>0</v>
      </c>
      <c r="P158" s="67">
        <f t="shared" si="131"/>
        <v>0</v>
      </c>
      <c r="Q158" s="24">
        <f t="shared" si="132"/>
        <v>0</v>
      </c>
      <c r="R158" s="496">
        <f>'Value-of-fuel-used-under-CT'!D27</f>
        <v>0</v>
      </c>
      <c r="S158" s="350">
        <f t="shared" si="133"/>
        <v>0</v>
      </c>
      <c r="T158" s="24">
        <f t="shared" si="134"/>
        <v>0</v>
      </c>
      <c r="U158" s="24">
        <f t="shared" si="135"/>
        <v>0</v>
      </c>
      <c r="V158" s="24">
        <f t="shared" si="136"/>
        <v>0</v>
      </c>
      <c r="W158" s="38">
        <f t="shared" si="137"/>
        <v>0</v>
      </c>
      <c r="X158" s="9">
        <v>0</v>
      </c>
      <c r="Y158" s="9">
        <v>0</v>
      </c>
      <c r="Z158" s="38">
        <f t="shared" si="138"/>
        <v>0</v>
      </c>
    </row>
    <row r="159" spans="1:27" x14ac:dyDescent="0.25">
      <c r="A159" s="1" t="s">
        <v>163</v>
      </c>
      <c r="B159" s="9">
        <f>SUM(B135:B158)</f>
        <v>0</v>
      </c>
      <c r="C159" s="65" t="e">
        <f t="shared" ref="C159:M159" si="139">SUMPRODUCT(C135:C158,$B$67:$B$90)/$B$91</f>
        <v>#DIV/0!</v>
      </c>
      <c r="D159" s="65" t="e">
        <f t="shared" si="139"/>
        <v>#DIV/0!</v>
      </c>
      <c r="E159" s="65" t="e">
        <f t="shared" si="139"/>
        <v>#DIV/0!</v>
      </c>
      <c r="F159" s="315" t="e">
        <f t="shared" si="139"/>
        <v>#DIV/0!</v>
      </c>
      <c r="G159" s="315" t="e">
        <f t="shared" si="139"/>
        <v>#DIV/0!</v>
      </c>
      <c r="H159" s="315" t="e">
        <f t="shared" si="139"/>
        <v>#DIV/0!</v>
      </c>
      <c r="I159" s="590" t="e">
        <f t="shared" si="139"/>
        <v>#DIV/0!</v>
      </c>
      <c r="J159" s="65" t="e">
        <f t="shared" si="139"/>
        <v>#DIV/0!</v>
      </c>
      <c r="K159" s="65" t="e">
        <f t="shared" si="139"/>
        <v>#DIV/0!</v>
      </c>
      <c r="L159" s="65" t="e">
        <f t="shared" si="139"/>
        <v>#DIV/0!</v>
      </c>
      <c r="M159" s="65" t="e">
        <f t="shared" si="139"/>
        <v>#DIV/0!</v>
      </c>
      <c r="N159" s="69">
        <f>SUM(N135:N158)</f>
        <v>0</v>
      </c>
      <c r="O159" s="67">
        <f>SUM(O135:O158)</f>
        <v>0</v>
      </c>
      <c r="P159" s="67">
        <f>SUM(P135:P158)</f>
        <v>0</v>
      </c>
      <c r="Q159" s="24">
        <f>SUM(N159:P159)</f>
        <v>0</v>
      </c>
      <c r="R159" s="351">
        <f>SUM(R135:R158)</f>
        <v>0</v>
      </c>
      <c r="S159" s="351">
        <f>SUM(S135:S158)</f>
        <v>0</v>
      </c>
      <c r="T159" s="24">
        <f t="shared" ref="T159" si="140">Q159+S159</f>
        <v>0</v>
      </c>
      <c r="U159" s="24">
        <f>SUM(U135:U158)</f>
        <v>0</v>
      </c>
      <c r="V159" s="24">
        <f>SUM(V135:V158)</f>
        <v>0</v>
      </c>
      <c r="W159" s="38">
        <f t="shared" ref="W159" si="141">T159*$D$127</f>
        <v>0</v>
      </c>
      <c r="X159" s="9">
        <f t="shared" ref="X159:Y159" si="142">SUM(X135:X158)</f>
        <v>0</v>
      </c>
      <c r="Y159" s="9">
        <f t="shared" si="142"/>
        <v>0</v>
      </c>
      <c r="Z159" s="38">
        <f t="shared" ref="Z159" si="143">B159+W159+X159+Y159</f>
        <v>0</v>
      </c>
      <c r="AA159" s="68">
        <f>Z159/'Summary-all-crops'!C3</f>
        <v>0</v>
      </c>
    </row>
    <row r="160" spans="1:27" x14ac:dyDescent="0.25">
      <c r="A160" s="1"/>
      <c r="D160" s="1" t="e">
        <f>SUMPRODUCT(C159:E159,C124:E124)</f>
        <v>#DIV/0!</v>
      </c>
      <c r="Q160" s="24" t="b">
        <f>SUM(Q135:Q158)=Q159</f>
        <v>1</v>
      </c>
      <c r="R160" s="70"/>
    </row>
    <row r="161" spans="1:6" x14ac:dyDescent="0.25">
      <c r="A161" s="1"/>
      <c r="F161" s="2"/>
    </row>
    <row r="162" spans="1:6" x14ac:dyDescent="0.25">
      <c r="A162" s="1" t="s">
        <v>369</v>
      </c>
    </row>
    <row r="164" spans="1:6" x14ac:dyDescent="0.25">
      <c r="A164" s="838" t="s">
        <v>101</v>
      </c>
      <c r="B164" s="839" t="s">
        <v>370</v>
      </c>
      <c r="C164" s="839"/>
      <c r="D164" s="839"/>
      <c r="E164" s="839"/>
    </row>
    <row r="165" spans="1:6" x14ac:dyDescent="0.25">
      <c r="A165" s="838"/>
      <c r="F165" s="11"/>
    </row>
    <row r="166" spans="1:6" x14ac:dyDescent="0.25">
      <c r="A166" s="838"/>
      <c r="B166" s="1" t="s">
        <v>136</v>
      </c>
      <c r="C166" s="1" t="s">
        <v>137</v>
      </c>
      <c r="D166" s="1" t="s">
        <v>289</v>
      </c>
      <c r="E166" s="1" t="s">
        <v>120</v>
      </c>
      <c r="F166" s="11"/>
    </row>
    <row r="167" spans="1:6" x14ac:dyDescent="0.25">
      <c r="A167" s="13" t="s">
        <v>139</v>
      </c>
      <c r="B167" s="45" t="e">
        <f>$D$26*(K37)+$E$26*(K67)</f>
        <v>#DIV/0!</v>
      </c>
      <c r="C167" s="45" t="e">
        <f t="shared" ref="C167:D167" si="144">$D$26*(L37)+$E$26*(L67)</f>
        <v>#DIV/0!</v>
      </c>
      <c r="D167" s="45" t="e">
        <f t="shared" si="144"/>
        <v>#DIV/0!</v>
      </c>
      <c r="E167" s="23" t="e">
        <f>SUM(B167:D167)</f>
        <v>#DIV/0!</v>
      </c>
    </row>
    <row r="168" spans="1:6" x14ac:dyDescent="0.25">
      <c r="A168" s="13" t="s">
        <v>140</v>
      </c>
      <c r="B168" s="45" t="e">
        <f t="shared" ref="B168:B190" si="145">$D$26*(K38)+$E$26*(K68)</f>
        <v>#DIV/0!</v>
      </c>
      <c r="C168" s="45" t="e">
        <f t="shared" ref="C168:C190" si="146">$D$26*(L38)+$E$26*(L68)</f>
        <v>#DIV/0!</v>
      </c>
      <c r="D168" s="45" t="e">
        <f t="shared" ref="D168:D190" si="147">$D$26*(M38)+$E$26*(M68)</f>
        <v>#DIV/0!</v>
      </c>
      <c r="E168" s="23" t="e">
        <f t="shared" ref="E168:E190" si="148">SUM(B168:D168)</f>
        <v>#DIV/0!</v>
      </c>
    </row>
    <row r="169" spans="1:6" x14ac:dyDescent="0.25">
      <c r="A169" s="13" t="s">
        <v>141</v>
      </c>
      <c r="B169" s="45" t="e">
        <f t="shared" si="145"/>
        <v>#DIV/0!</v>
      </c>
      <c r="C169" s="45" t="e">
        <f t="shared" si="146"/>
        <v>#DIV/0!</v>
      </c>
      <c r="D169" s="45" t="e">
        <f t="shared" si="147"/>
        <v>#DIV/0!</v>
      </c>
      <c r="E169" s="23" t="e">
        <f t="shared" si="148"/>
        <v>#DIV/0!</v>
      </c>
    </row>
    <row r="170" spans="1:6" x14ac:dyDescent="0.25">
      <c r="A170" s="13" t="s">
        <v>142</v>
      </c>
      <c r="B170" s="45" t="e">
        <f t="shared" si="145"/>
        <v>#DIV/0!</v>
      </c>
      <c r="C170" s="45" t="e">
        <f t="shared" si="146"/>
        <v>#DIV/0!</v>
      </c>
      <c r="D170" s="45" t="e">
        <f t="shared" si="147"/>
        <v>#DIV/0!</v>
      </c>
      <c r="E170" s="23" t="e">
        <f t="shared" si="148"/>
        <v>#DIV/0!</v>
      </c>
    </row>
    <row r="171" spans="1:6" x14ac:dyDescent="0.25">
      <c r="A171" s="13" t="s">
        <v>143</v>
      </c>
      <c r="B171" s="45" t="e">
        <f t="shared" si="145"/>
        <v>#DIV/0!</v>
      </c>
      <c r="C171" s="45" t="e">
        <f t="shared" si="146"/>
        <v>#DIV/0!</v>
      </c>
      <c r="D171" s="45" t="e">
        <f t="shared" si="147"/>
        <v>#DIV/0!</v>
      </c>
      <c r="E171" s="23" t="e">
        <f t="shared" si="148"/>
        <v>#DIV/0!</v>
      </c>
    </row>
    <row r="172" spans="1:6" x14ac:dyDescent="0.25">
      <c r="A172" s="13" t="s">
        <v>144</v>
      </c>
      <c r="B172" s="45" t="e">
        <f t="shared" si="145"/>
        <v>#DIV/0!</v>
      </c>
      <c r="C172" s="45" t="e">
        <f t="shared" si="146"/>
        <v>#DIV/0!</v>
      </c>
      <c r="D172" s="45" t="e">
        <f t="shared" si="147"/>
        <v>#DIV/0!</v>
      </c>
      <c r="E172" s="23" t="e">
        <f t="shared" si="148"/>
        <v>#DIV/0!</v>
      </c>
    </row>
    <row r="173" spans="1:6" x14ac:dyDescent="0.25">
      <c r="A173" s="13" t="s">
        <v>145</v>
      </c>
      <c r="B173" s="45" t="e">
        <f t="shared" si="145"/>
        <v>#DIV/0!</v>
      </c>
      <c r="C173" s="45" t="e">
        <f t="shared" si="146"/>
        <v>#DIV/0!</v>
      </c>
      <c r="D173" s="45" t="e">
        <f t="shared" si="147"/>
        <v>#DIV/0!</v>
      </c>
      <c r="E173" s="23" t="e">
        <f t="shared" si="148"/>
        <v>#DIV/0!</v>
      </c>
    </row>
    <row r="174" spans="1:6" x14ac:dyDescent="0.25">
      <c r="A174" s="13" t="s">
        <v>146</v>
      </c>
      <c r="B174" s="45" t="e">
        <f t="shared" si="145"/>
        <v>#DIV/0!</v>
      </c>
      <c r="C174" s="45" t="e">
        <f t="shared" si="146"/>
        <v>#DIV/0!</v>
      </c>
      <c r="D174" s="45" t="e">
        <f t="shared" si="147"/>
        <v>#DIV/0!</v>
      </c>
      <c r="E174" s="23" t="e">
        <f t="shared" si="148"/>
        <v>#DIV/0!</v>
      </c>
    </row>
    <row r="175" spans="1:6" x14ac:dyDescent="0.25">
      <c r="A175" s="13" t="s">
        <v>147</v>
      </c>
      <c r="B175" s="45" t="e">
        <f t="shared" si="145"/>
        <v>#DIV/0!</v>
      </c>
      <c r="C175" s="45" t="e">
        <f t="shared" si="146"/>
        <v>#DIV/0!</v>
      </c>
      <c r="D175" s="45" t="e">
        <f t="shared" si="147"/>
        <v>#DIV/0!</v>
      </c>
      <c r="E175" s="23" t="e">
        <f t="shared" si="148"/>
        <v>#DIV/0!</v>
      </c>
    </row>
    <row r="176" spans="1:6" x14ac:dyDescent="0.25">
      <c r="A176" s="13" t="s">
        <v>148</v>
      </c>
      <c r="B176" s="45" t="e">
        <f t="shared" si="145"/>
        <v>#DIV/0!</v>
      </c>
      <c r="C176" s="45" t="e">
        <f t="shared" si="146"/>
        <v>#DIV/0!</v>
      </c>
      <c r="D176" s="45" t="e">
        <f t="shared" si="147"/>
        <v>#DIV/0!</v>
      </c>
      <c r="E176" s="23" t="e">
        <f t="shared" si="148"/>
        <v>#DIV/0!</v>
      </c>
    </row>
    <row r="177" spans="1:8" x14ac:dyDescent="0.25">
      <c r="A177" s="13" t="s">
        <v>149</v>
      </c>
      <c r="B177" s="45" t="e">
        <f t="shared" si="145"/>
        <v>#DIV/0!</v>
      </c>
      <c r="C177" s="45" t="e">
        <f t="shared" si="146"/>
        <v>#DIV/0!</v>
      </c>
      <c r="D177" s="45" t="e">
        <f t="shared" si="147"/>
        <v>#DIV/0!</v>
      </c>
      <c r="E177" s="23" t="e">
        <f t="shared" si="148"/>
        <v>#DIV/0!</v>
      </c>
    </row>
    <row r="178" spans="1:8" x14ac:dyDescent="0.25">
      <c r="A178" s="13" t="s">
        <v>150</v>
      </c>
      <c r="B178" s="45" t="e">
        <f t="shared" si="145"/>
        <v>#DIV/0!</v>
      </c>
      <c r="C178" s="45" t="e">
        <f t="shared" si="146"/>
        <v>#DIV/0!</v>
      </c>
      <c r="D178" s="45" t="e">
        <f t="shared" si="147"/>
        <v>#DIV/0!</v>
      </c>
      <c r="E178" s="23" t="e">
        <f t="shared" si="148"/>
        <v>#DIV/0!</v>
      </c>
    </row>
    <row r="179" spans="1:8" x14ac:dyDescent="0.25">
      <c r="A179" s="13" t="s">
        <v>151</v>
      </c>
      <c r="B179" s="45" t="e">
        <f t="shared" si="145"/>
        <v>#DIV/0!</v>
      </c>
      <c r="C179" s="45" t="e">
        <f t="shared" si="146"/>
        <v>#DIV/0!</v>
      </c>
      <c r="D179" s="45" t="e">
        <f t="shared" si="147"/>
        <v>#DIV/0!</v>
      </c>
      <c r="E179" s="23" t="e">
        <f t="shared" si="148"/>
        <v>#DIV/0!</v>
      </c>
    </row>
    <row r="180" spans="1:8" x14ac:dyDescent="0.25">
      <c r="A180" s="13" t="s">
        <v>152</v>
      </c>
      <c r="B180" s="45" t="e">
        <f t="shared" si="145"/>
        <v>#DIV/0!</v>
      </c>
      <c r="C180" s="45" t="e">
        <f t="shared" si="146"/>
        <v>#DIV/0!</v>
      </c>
      <c r="D180" s="45" t="e">
        <f t="shared" si="147"/>
        <v>#DIV/0!</v>
      </c>
      <c r="E180" s="23" t="e">
        <f t="shared" si="148"/>
        <v>#DIV/0!</v>
      </c>
    </row>
    <row r="181" spans="1:8" x14ac:dyDescent="0.25">
      <c r="A181" s="13" t="s">
        <v>153</v>
      </c>
      <c r="B181" s="45" t="e">
        <f t="shared" si="145"/>
        <v>#DIV/0!</v>
      </c>
      <c r="C181" s="45" t="e">
        <f t="shared" si="146"/>
        <v>#DIV/0!</v>
      </c>
      <c r="D181" s="45" t="e">
        <f t="shared" si="147"/>
        <v>#DIV/0!</v>
      </c>
      <c r="E181" s="23" t="e">
        <f t="shared" si="148"/>
        <v>#DIV/0!</v>
      </c>
    </row>
    <row r="182" spans="1:8" x14ac:dyDescent="0.25">
      <c r="A182" s="13" t="s">
        <v>154</v>
      </c>
      <c r="B182" s="45" t="e">
        <f t="shared" si="145"/>
        <v>#DIV/0!</v>
      </c>
      <c r="C182" s="45" t="e">
        <f t="shared" si="146"/>
        <v>#DIV/0!</v>
      </c>
      <c r="D182" s="45" t="e">
        <f t="shared" si="147"/>
        <v>#DIV/0!</v>
      </c>
      <c r="E182" s="23" t="e">
        <f t="shared" si="148"/>
        <v>#DIV/0!</v>
      </c>
    </row>
    <row r="183" spans="1:8" x14ac:dyDescent="0.25">
      <c r="A183" s="13" t="s">
        <v>155</v>
      </c>
      <c r="B183" s="45" t="e">
        <f t="shared" si="145"/>
        <v>#DIV/0!</v>
      </c>
      <c r="C183" s="45" t="e">
        <f t="shared" si="146"/>
        <v>#DIV/0!</v>
      </c>
      <c r="D183" s="45" t="e">
        <f t="shared" si="147"/>
        <v>#DIV/0!</v>
      </c>
      <c r="E183" s="23" t="e">
        <f t="shared" si="148"/>
        <v>#DIV/0!</v>
      </c>
    </row>
    <row r="184" spans="1:8" x14ac:dyDescent="0.25">
      <c r="A184" s="13" t="s">
        <v>156</v>
      </c>
      <c r="B184" s="45" t="e">
        <f t="shared" si="145"/>
        <v>#DIV/0!</v>
      </c>
      <c r="C184" s="45" t="e">
        <f t="shared" si="146"/>
        <v>#DIV/0!</v>
      </c>
      <c r="D184" s="45" t="e">
        <f t="shared" si="147"/>
        <v>#DIV/0!</v>
      </c>
      <c r="E184" s="23" t="e">
        <f t="shared" si="148"/>
        <v>#DIV/0!</v>
      </c>
    </row>
    <row r="185" spans="1:8" x14ac:dyDescent="0.25">
      <c r="A185" s="13" t="s">
        <v>157</v>
      </c>
      <c r="B185" s="45" t="e">
        <f t="shared" si="145"/>
        <v>#DIV/0!</v>
      </c>
      <c r="C185" s="45" t="e">
        <f t="shared" si="146"/>
        <v>#DIV/0!</v>
      </c>
      <c r="D185" s="45" t="e">
        <f t="shared" si="147"/>
        <v>#DIV/0!</v>
      </c>
      <c r="E185" s="23" t="e">
        <f t="shared" si="148"/>
        <v>#DIV/0!</v>
      </c>
    </row>
    <row r="186" spans="1:8" x14ac:dyDescent="0.25">
      <c r="A186" s="13" t="s">
        <v>158</v>
      </c>
      <c r="B186" s="45" t="e">
        <f t="shared" si="145"/>
        <v>#DIV/0!</v>
      </c>
      <c r="C186" s="45" t="e">
        <f t="shared" si="146"/>
        <v>#DIV/0!</v>
      </c>
      <c r="D186" s="45" t="e">
        <f t="shared" si="147"/>
        <v>#DIV/0!</v>
      </c>
      <c r="E186" s="23" t="e">
        <f t="shared" si="148"/>
        <v>#DIV/0!</v>
      </c>
    </row>
    <row r="187" spans="1:8" x14ac:dyDescent="0.25">
      <c r="A187" s="13" t="s">
        <v>159</v>
      </c>
      <c r="B187" s="45" t="e">
        <f t="shared" si="145"/>
        <v>#DIV/0!</v>
      </c>
      <c r="C187" s="45" t="e">
        <f t="shared" si="146"/>
        <v>#DIV/0!</v>
      </c>
      <c r="D187" s="45" t="e">
        <f t="shared" si="147"/>
        <v>#DIV/0!</v>
      </c>
      <c r="E187" s="23" t="e">
        <f t="shared" si="148"/>
        <v>#DIV/0!</v>
      </c>
    </row>
    <row r="188" spans="1:8" x14ac:dyDescent="0.25">
      <c r="A188" s="13" t="s">
        <v>160</v>
      </c>
      <c r="B188" s="45" t="e">
        <f t="shared" si="145"/>
        <v>#DIV/0!</v>
      </c>
      <c r="C188" s="45" t="e">
        <f t="shared" si="146"/>
        <v>#DIV/0!</v>
      </c>
      <c r="D188" s="45" t="e">
        <f t="shared" si="147"/>
        <v>#DIV/0!</v>
      </c>
      <c r="E188" s="23" t="e">
        <f t="shared" si="148"/>
        <v>#DIV/0!</v>
      </c>
    </row>
    <row r="189" spans="1:8" x14ac:dyDescent="0.25">
      <c r="A189" s="13" t="s">
        <v>161</v>
      </c>
      <c r="B189" s="45" t="e">
        <f t="shared" si="145"/>
        <v>#DIV/0!</v>
      </c>
      <c r="C189" s="45" t="e">
        <f t="shared" si="146"/>
        <v>#DIV/0!</v>
      </c>
      <c r="D189" s="45" t="e">
        <f t="shared" si="147"/>
        <v>#DIV/0!</v>
      </c>
      <c r="E189" s="23" t="e">
        <f t="shared" si="148"/>
        <v>#DIV/0!</v>
      </c>
    </row>
    <row r="190" spans="1:8" x14ac:dyDescent="0.25">
      <c r="A190" s="13" t="s">
        <v>162</v>
      </c>
      <c r="B190" s="45" t="e">
        <f t="shared" si="145"/>
        <v>#DIV/0!</v>
      </c>
      <c r="C190" s="45" t="e">
        <f t="shared" si="146"/>
        <v>#DIV/0!</v>
      </c>
      <c r="D190" s="45" t="e">
        <f t="shared" si="147"/>
        <v>#DIV/0!</v>
      </c>
      <c r="E190" s="23" t="e">
        <f t="shared" si="148"/>
        <v>#DIV/0!</v>
      </c>
    </row>
    <row r="191" spans="1:8" x14ac:dyDescent="0.25">
      <c r="A191" s="1" t="s">
        <v>163</v>
      </c>
      <c r="B191" s="23" t="e">
        <f>SUM(B167:B190)</f>
        <v>#DIV/0!</v>
      </c>
      <c r="C191" s="23" t="e">
        <f t="shared" ref="C191:D191" si="149">SUM(C167:C190)</f>
        <v>#DIV/0!</v>
      </c>
      <c r="D191" s="23" t="e">
        <f t="shared" si="149"/>
        <v>#DIV/0!</v>
      </c>
      <c r="E191" s="23" t="e">
        <f>SUM(B191:D191)</f>
        <v>#DIV/0!</v>
      </c>
      <c r="G191" s="1"/>
      <c r="H191" s="1"/>
    </row>
    <row r="192" spans="1:8" x14ac:dyDescent="0.25">
      <c r="G192" s="1"/>
      <c r="H192" s="1"/>
    </row>
    <row r="193" spans="1:8" ht="18.75" x14ac:dyDescent="0.3">
      <c r="A193" s="12" t="s">
        <v>432</v>
      </c>
    </row>
    <row r="194" spans="1:8" x14ac:dyDescent="0.25">
      <c r="A194" t="s">
        <v>372</v>
      </c>
      <c r="C194" s="24">
        <f>'Cereals-all-year'!K2</f>
        <v>134280440000</v>
      </c>
    </row>
    <row r="195" spans="1:8" ht="15.75" thickBot="1" x14ac:dyDescent="0.3">
      <c r="A195" t="s">
        <v>373</v>
      </c>
      <c r="C195" s="23">
        <f>'Cereals-all-year'!K3</f>
        <v>46690000000</v>
      </c>
    </row>
    <row r="196" spans="1:8" x14ac:dyDescent="0.25">
      <c r="A196" s="853"/>
      <c r="B196" s="798" t="s">
        <v>374</v>
      </c>
      <c r="C196" s="848"/>
      <c r="D196" s="848"/>
      <c r="E196" s="848"/>
      <c r="F196" s="849"/>
      <c r="G196" s="855" t="s">
        <v>367</v>
      </c>
      <c r="H196" s="22"/>
    </row>
    <row r="197" spans="1:8" x14ac:dyDescent="0.25">
      <c r="A197" s="854"/>
      <c r="B197" s="15" t="s">
        <v>375</v>
      </c>
      <c r="C197" s="16" t="s">
        <v>376</v>
      </c>
      <c r="D197" s="16" t="s">
        <v>377</v>
      </c>
      <c r="E197" s="16" t="s">
        <v>378</v>
      </c>
      <c r="F197" s="16" t="s">
        <v>379</v>
      </c>
      <c r="G197" s="856"/>
      <c r="H197" s="22"/>
    </row>
    <row r="198" spans="1:8" x14ac:dyDescent="0.25">
      <c r="A198" s="13" t="s">
        <v>139</v>
      </c>
      <c r="B198" s="43" t="e">
        <f>R37+R67</f>
        <v>#DIV/0!</v>
      </c>
      <c r="C198" s="14">
        <f>N100</f>
        <v>0</v>
      </c>
      <c r="D198" s="43">
        <f>Z135</f>
        <v>0</v>
      </c>
      <c r="E198" s="14" t="e">
        <f>E167</f>
        <v>#DIV/0!</v>
      </c>
      <c r="F198" s="48" t="e">
        <f>SUM(B198:E198)</f>
        <v>#DIV/0!</v>
      </c>
      <c r="G198" s="150" t="e">
        <f>F198/$C$195</f>
        <v>#DIV/0!</v>
      </c>
      <c r="H198" s="61"/>
    </row>
    <row r="199" spans="1:8" x14ac:dyDescent="0.25">
      <c r="A199" s="13" t="s">
        <v>140</v>
      </c>
      <c r="B199" s="43" t="e">
        <f t="shared" ref="B199:B221" si="150">R38+R68</f>
        <v>#DIV/0!</v>
      </c>
      <c r="C199" s="14">
        <f t="shared" ref="C199:C221" si="151">N101</f>
        <v>0</v>
      </c>
      <c r="D199" s="14">
        <f t="shared" ref="D199:D221" si="152">Z136</f>
        <v>0</v>
      </c>
      <c r="E199" s="14" t="e">
        <f t="shared" ref="E199:E221" si="153">E168</f>
        <v>#DIV/0!</v>
      </c>
      <c r="F199" s="48" t="e">
        <f t="shared" ref="F199:F221" si="154">SUM(B199:E199)</f>
        <v>#DIV/0!</v>
      </c>
      <c r="G199" s="150" t="e">
        <f t="shared" ref="G199:G221" si="155">F199/$C$195</f>
        <v>#DIV/0!</v>
      </c>
      <c r="H199" s="61"/>
    </row>
    <row r="200" spans="1:8" x14ac:dyDescent="0.25">
      <c r="A200" s="13" t="s">
        <v>141</v>
      </c>
      <c r="B200" s="43" t="e">
        <f t="shared" si="150"/>
        <v>#DIV/0!</v>
      </c>
      <c r="C200" s="14">
        <f t="shared" si="151"/>
        <v>0</v>
      </c>
      <c r="D200" s="14">
        <f t="shared" si="152"/>
        <v>0</v>
      </c>
      <c r="E200" s="14" t="e">
        <f t="shared" si="153"/>
        <v>#DIV/0!</v>
      </c>
      <c r="F200" s="48" t="e">
        <f t="shared" si="154"/>
        <v>#DIV/0!</v>
      </c>
      <c r="G200" s="150" t="e">
        <f t="shared" si="155"/>
        <v>#DIV/0!</v>
      </c>
      <c r="H200" s="61"/>
    </row>
    <row r="201" spans="1:8" x14ac:dyDescent="0.25">
      <c r="A201" s="13" t="s">
        <v>142</v>
      </c>
      <c r="B201" s="43" t="e">
        <f t="shared" si="150"/>
        <v>#DIV/0!</v>
      </c>
      <c r="C201" s="14">
        <f t="shared" si="151"/>
        <v>0</v>
      </c>
      <c r="D201" s="14">
        <f t="shared" si="152"/>
        <v>0</v>
      </c>
      <c r="E201" s="14" t="e">
        <f t="shared" si="153"/>
        <v>#DIV/0!</v>
      </c>
      <c r="F201" s="48" t="e">
        <f t="shared" si="154"/>
        <v>#DIV/0!</v>
      </c>
      <c r="G201" s="150" t="e">
        <f t="shared" si="155"/>
        <v>#DIV/0!</v>
      </c>
      <c r="H201" s="61"/>
    </row>
    <row r="202" spans="1:8" x14ac:dyDescent="0.25">
      <c r="A202" s="13" t="s">
        <v>143</v>
      </c>
      <c r="B202" s="43" t="e">
        <f t="shared" si="150"/>
        <v>#DIV/0!</v>
      </c>
      <c r="C202" s="14">
        <f t="shared" si="151"/>
        <v>0</v>
      </c>
      <c r="D202" s="14">
        <f t="shared" si="152"/>
        <v>0</v>
      </c>
      <c r="E202" s="14" t="e">
        <f t="shared" si="153"/>
        <v>#DIV/0!</v>
      </c>
      <c r="F202" s="48" t="e">
        <f t="shared" si="154"/>
        <v>#DIV/0!</v>
      </c>
      <c r="G202" s="150" t="e">
        <f t="shared" si="155"/>
        <v>#DIV/0!</v>
      </c>
      <c r="H202" s="61"/>
    </row>
    <row r="203" spans="1:8" x14ac:dyDescent="0.25">
      <c r="A203" s="13" t="s">
        <v>144</v>
      </c>
      <c r="B203" s="43" t="e">
        <f t="shared" si="150"/>
        <v>#DIV/0!</v>
      </c>
      <c r="C203" s="14">
        <f t="shared" si="151"/>
        <v>0</v>
      </c>
      <c r="D203" s="14">
        <f t="shared" si="152"/>
        <v>0</v>
      </c>
      <c r="E203" s="14" t="e">
        <f t="shared" si="153"/>
        <v>#DIV/0!</v>
      </c>
      <c r="F203" s="48" t="e">
        <f t="shared" si="154"/>
        <v>#DIV/0!</v>
      </c>
      <c r="G203" s="150" t="e">
        <f t="shared" si="155"/>
        <v>#DIV/0!</v>
      </c>
      <c r="H203" s="61"/>
    </row>
    <row r="204" spans="1:8" x14ac:dyDescent="0.25">
      <c r="A204" s="13" t="s">
        <v>145</v>
      </c>
      <c r="B204" s="43" t="e">
        <f t="shared" si="150"/>
        <v>#DIV/0!</v>
      </c>
      <c r="C204" s="14">
        <f t="shared" si="151"/>
        <v>0</v>
      </c>
      <c r="D204" s="14">
        <f t="shared" si="152"/>
        <v>0</v>
      </c>
      <c r="E204" s="14" t="e">
        <f t="shared" si="153"/>
        <v>#DIV/0!</v>
      </c>
      <c r="F204" s="48" t="e">
        <f t="shared" si="154"/>
        <v>#DIV/0!</v>
      </c>
      <c r="G204" s="150" t="e">
        <f t="shared" si="155"/>
        <v>#DIV/0!</v>
      </c>
      <c r="H204" s="61"/>
    </row>
    <row r="205" spans="1:8" x14ac:dyDescent="0.25">
      <c r="A205" s="13" t="s">
        <v>146</v>
      </c>
      <c r="B205" s="43" t="e">
        <f t="shared" si="150"/>
        <v>#DIV/0!</v>
      </c>
      <c r="C205" s="14">
        <f t="shared" si="151"/>
        <v>0</v>
      </c>
      <c r="D205" s="14">
        <f t="shared" si="152"/>
        <v>0</v>
      </c>
      <c r="E205" s="14" t="e">
        <f t="shared" si="153"/>
        <v>#DIV/0!</v>
      </c>
      <c r="F205" s="48" t="e">
        <f t="shared" si="154"/>
        <v>#DIV/0!</v>
      </c>
      <c r="G205" s="150" t="e">
        <f t="shared" si="155"/>
        <v>#DIV/0!</v>
      </c>
      <c r="H205" s="61"/>
    </row>
    <row r="206" spans="1:8" x14ac:dyDescent="0.25">
      <c r="A206" s="13" t="s">
        <v>147</v>
      </c>
      <c r="B206" s="43" t="e">
        <f t="shared" si="150"/>
        <v>#DIV/0!</v>
      </c>
      <c r="C206" s="14">
        <f t="shared" si="151"/>
        <v>0</v>
      </c>
      <c r="D206" s="14">
        <f t="shared" si="152"/>
        <v>0</v>
      </c>
      <c r="E206" s="14" t="e">
        <f t="shared" si="153"/>
        <v>#DIV/0!</v>
      </c>
      <c r="F206" s="48" t="e">
        <f t="shared" si="154"/>
        <v>#DIV/0!</v>
      </c>
      <c r="G206" s="150" t="e">
        <f t="shared" si="155"/>
        <v>#DIV/0!</v>
      </c>
      <c r="H206" s="61"/>
    </row>
    <row r="207" spans="1:8" x14ac:dyDescent="0.25">
      <c r="A207" s="13" t="s">
        <v>148</v>
      </c>
      <c r="B207" s="43" t="e">
        <f t="shared" si="150"/>
        <v>#DIV/0!</v>
      </c>
      <c r="C207" s="14">
        <f t="shared" si="151"/>
        <v>0</v>
      </c>
      <c r="D207" s="14">
        <f t="shared" si="152"/>
        <v>0</v>
      </c>
      <c r="E207" s="14" t="e">
        <f t="shared" si="153"/>
        <v>#DIV/0!</v>
      </c>
      <c r="F207" s="48" t="e">
        <f t="shared" si="154"/>
        <v>#DIV/0!</v>
      </c>
      <c r="G207" s="150" t="e">
        <f t="shared" si="155"/>
        <v>#DIV/0!</v>
      </c>
      <c r="H207" s="61"/>
    </row>
    <row r="208" spans="1:8" x14ac:dyDescent="0.25">
      <c r="A208" s="13" t="s">
        <v>149</v>
      </c>
      <c r="B208" s="43" t="e">
        <f t="shared" si="150"/>
        <v>#DIV/0!</v>
      </c>
      <c r="C208" s="14">
        <f t="shared" si="151"/>
        <v>0</v>
      </c>
      <c r="D208" s="14">
        <f t="shared" si="152"/>
        <v>0</v>
      </c>
      <c r="E208" s="14" t="e">
        <f t="shared" si="153"/>
        <v>#DIV/0!</v>
      </c>
      <c r="F208" s="48" t="e">
        <f t="shared" si="154"/>
        <v>#DIV/0!</v>
      </c>
      <c r="G208" s="150" t="e">
        <f t="shared" si="155"/>
        <v>#DIV/0!</v>
      </c>
      <c r="H208" s="61"/>
    </row>
    <row r="209" spans="1:17" x14ac:dyDescent="0.25">
      <c r="A209" s="13" t="s">
        <v>150</v>
      </c>
      <c r="B209" s="43" t="e">
        <f t="shared" si="150"/>
        <v>#DIV/0!</v>
      </c>
      <c r="C209" s="14">
        <f t="shared" si="151"/>
        <v>0</v>
      </c>
      <c r="D209" s="14">
        <f t="shared" si="152"/>
        <v>0</v>
      </c>
      <c r="E209" s="14" t="e">
        <f t="shared" si="153"/>
        <v>#DIV/0!</v>
      </c>
      <c r="F209" s="48" t="e">
        <f t="shared" si="154"/>
        <v>#DIV/0!</v>
      </c>
      <c r="G209" s="150" t="e">
        <f t="shared" si="155"/>
        <v>#DIV/0!</v>
      </c>
      <c r="H209" s="61"/>
    </row>
    <row r="210" spans="1:17" x14ac:dyDescent="0.25">
      <c r="A210" s="13" t="s">
        <v>151</v>
      </c>
      <c r="B210" s="43" t="e">
        <f t="shared" si="150"/>
        <v>#DIV/0!</v>
      </c>
      <c r="C210" s="14">
        <f t="shared" si="151"/>
        <v>0</v>
      </c>
      <c r="D210" s="14">
        <f t="shared" si="152"/>
        <v>0</v>
      </c>
      <c r="E210" s="14" t="e">
        <f t="shared" si="153"/>
        <v>#DIV/0!</v>
      </c>
      <c r="F210" s="48" t="e">
        <f t="shared" si="154"/>
        <v>#DIV/0!</v>
      </c>
      <c r="G210" s="150" t="e">
        <f t="shared" si="155"/>
        <v>#DIV/0!</v>
      </c>
      <c r="H210" s="61"/>
    </row>
    <row r="211" spans="1:17" x14ac:dyDescent="0.25">
      <c r="A211" s="13" t="s">
        <v>152</v>
      </c>
      <c r="B211" s="43" t="e">
        <f t="shared" si="150"/>
        <v>#DIV/0!</v>
      </c>
      <c r="C211" s="14">
        <f t="shared" si="151"/>
        <v>0</v>
      </c>
      <c r="D211" s="14">
        <f t="shared" si="152"/>
        <v>0</v>
      </c>
      <c r="E211" s="14" t="e">
        <f t="shared" si="153"/>
        <v>#DIV/0!</v>
      </c>
      <c r="F211" s="48" t="e">
        <f t="shared" si="154"/>
        <v>#DIV/0!</v>
      </c>
      <c r="G211" s="150" t="e">
        <f t="shared" si="155"/>
        <v>#DIV/0!</v>
      </c>
      <c r="H211" s="61"/>
    </row>
    <row r="212" spans="1:17" x14ac:dyDescent="0.25">
      <c r="A212" s="13" t="s">
        <v>153</v>
      </c>
      <c r="B212" s="43" t="e">
        <f t="shared" si="150"/>
        <v>#DIV/0!</v>
      </c>
      <c r="C212" s="14">
        <f t="shared" si="151"/>
        <v>0</v>
      </c>
      <c r="D212" s="14">
        <f t="shared" si="152"/>
        <v>0</v>
      </c>
      <c r="E212" s="14" t="e">
        <f t="shared" si="153"/>
        <v>#DIV/0!</v>
      </c>
      <c r="F212" s="48" t="e">
        <f t="shared" si="154"/>
        <v>#DIV/0!</v>
      </c>
      <c r="G212" s="150" t="e">
        <f t="shared" si="155"/>
        <v>#DIV/0!</v>
      </c>
      <c r="H212" s="61"/>
    </row>
    <row r="213" spans="1:17" x14ac:dyDescent="0.25">
      <c r="A213" s="13" t="s">
        <v>154</v>
      </c>
      <c r="B213" s="43" t="e">
        <f t="shared" si="150"/>
        <v>#DIV/0!</v>
      </c>
      <c r="C213" s="14">
        <f t="shared" si="151"/>
        <v>0</v>
      </c>
      <c r="D213" s="14">
        <f t="shared" si="152"/>
        <v>0</v>
      </c>
      <c r="E213" s="14" t="e">
        <f t="shared" si="153"/>
        <v>#DIV/0!</v>
      </c>
      <c r="F213" s="48" t="e">
        <f t="shared" si="154"/>
        <v>#DIV/0!</v>
      </c>
      <c r="G213" s="150" t="e">
        <f t="shared" si="155"/>
        <v>#DIV/0!</v>
      </c>
      <c r="H213" s="61"/>
      <c r="K213" s="1" t="s">
        <v>380</v>
      </c>
    </row>
    <row r="214" spans="1:17" x14ac:dyDescent="0.25">
      <c r="A214" s="13" t="s">
        <v>155</v>
      </c>
      <c r="B214" s="43" t="e">
        <f t="shared" si="150"/>
        <v>#DIV/0!</v>
      </c>
      <c r="C214" s="14">
        <f t="shared" si="151"/>
        <v>0</v>
      </c>
      <c r="D214" s="14">
        <f t="shared" si="152"/>
        <v>0</v>
      </c>
      <c r="E214" s="14" t="e">
        <f t="shared" si="153"/>
        <v>#DIV/0!</v>
      </c>
      <c r="F214" s="48" t="e">
        <f t="shared" si="154"/>
        <v>#DIV/0!</v>
      </c>
      <c r="G214" s="150" t="e">
        <f t="shared" si="155"/>
        <v>#DIV/0!</v>
      </c>
      <c r="H214" s="61"/>
      <c r="K214" t="s">
        <v>381</v>
      </c>
      <c r="L214" t="s">
        <v>382</v>
      </c>
      <c r="M214" t="s">
        <v>383</v>
      </c>
      <c r="N214" t="s">
        <v>384</v>
      </c>
      <c r="O214" t="s">
        <v>385</v>
      </c>
      <c r="P214" t="s">
        <v>386</v>
      </c>
      <c r="Q214" t="s">
        <v>213</v>
      </c>
    </row>
    <row r="215" spans="1:17" ht="43.35" customHeight="1" x14ac:dyDescent="0.25">
      <c r="A215" s="13" t="s">
        <v>156</v>
      </c>
      <c r="B215" s="43" t="e">
        <f t="shared" si="150"/>
        <v>#DIV/0!</v>
      </c>
      <c r="C215" s="14">
        <f t="shared" si="151"/>
        <v>0</v>
      </c>
      <c r="D215" s="14">
        <f t="shared" si="152"/>
        <v>0</v>
      </c>
      <c r="E215" s="14" t="e">
        <f t="shared" si="153"/>
        <v>#DIV/0!</v>
      </c>
      <c r="F215" s="48" t="e">
        <f t="shared" si="154"/>
        <v>#DIV/0!</v>
      </c>
      <c r="G215" s="150" t="e">
        <f t="shared" si="155"/>
        <v>#DIV/0!</v>
      </c>
      <c r="H215" s="61"/>
      <c r="J215" t="s">
        <v>387</v>
      </c>
      <c r="K215" s="186">
        <v>425</v>
      </c>
      <c r="L215" s="186">
        <v>395</v>
      </c>
      <c r="M215" s="186">
        <v>478</v>
      </c>
      <c r="N215" s="186">
        <v>460</v>
      </c>
      <c r="O215" s="186">
        <v>405</v>
      </c>
      <c r="P215" s="186">
        <v>539</v>
      </c>
      <c r="Q215" s="187">
        <f>SUMPRODUCT(K215:P215,K216:P216)/Q216</f>
        <v>450.92541087231353</v>
      </c>
    </row>
    <row r="216" spans="1:17" x14ac:dyDescent="0.25">
      <c r="A216" s="13" t="s">
        <v>157</v>
      </c>
      <c r="B216" s="43" t="e">
        <f t="shared" si="150"/>
        <v>#DIV/0!</v>
      </c>
      <c r="C216" s="14">
        <f t="shared" si="151"/>
        <v>0</v>
      </c>
      <c r="D216" s="14">
        <f t="shared" si="152"/>
        <v>0</v>
      </c>
      <c r="E216" s="14" t="e">
        <f t="shared" si="153"/>
        <v>#DIV/0!</v>
      </c>
      <c r="F216" s="48" t="e">
        <f t="shared" si="154"/>
        <v>#DIV/0!</v>
      </c>
      <c r="G216" s="150" t="e">
        <f t="shared" si="155"/>
        <v>#DIV/0!</v>
      </c>
      <c r="H216" s="61"/>
      <c r="J216" t="s">
        <v>388</v>
      </c>
      <c r="K216">
        <v>11.7</v>
      </c>
      <c r="L216">
        <v>12.3</v>
      </c>
      <c r="M216">
        <v>22.8</v>
      </c>
      <c r="N216">
        <v>45</v>
      </c>
      <c r="O216">
        <v>43.9</v>
      </c>
      <c r="P216">
        <v>22.5</v>
      </c>
      <c r="Q216" s="9">
        <f>SUM(K216:P216)</f>
        <v>158.19999999999999</v>
      </c>
    </row>
    <row r="217" spans="1:17" x14ac:dyDescent="0.25">
      <c r="A217" s="13" t="s">
        <v>158</v>
      </c>
      <c r="B217" s="43" t="e">
        <f t="shared" si="150"/>
        <v>#DIV/0!</v>
      </c>
      <c r="C217" s="14">
        <f t="shared" si="151"/>
        <v>0</v>
      </c>
      <c r="D217" s="14">
        <f t="shared" si="152"/>
        <v>0</v>
      </c>
      <c r="E217" s="14" t="e">
        <f t="shared" si="153"/>
        <v>#DIV/0!</v>
      </c>
      <c r="F217" s="48" t="e">
        <f t="shared" si="154"/>
        <v>#DIV/0!</v>
      </c>
      <c r="G217" s="150" t="e">
        <f t="shared" si="155"/>
        <v>#DIV/0!</v>
      </c>
      <c r="H217" s="61"/>
    </row>
    <row r="218" spans="1:17" x14ac:dyDescent="0.25">
      <c r="A218" s="13" t="s">
        <v>159</v>
      </c>
      <c r="B218" s="43" t="e">
        <f t="shared" si="150"/>
        <v>#DIV/0!</v>
      </c>
      <c r="C218" s="14">
        <f t="shared" si="151"/>
        <v>0</v>
      </c>
      <c r="D218" s="14">
        <f t="shared" si="152"/>
        <v>0</v>
      </c>
      <c r="E218" s="14" t="e">
        <f t="shared" si="153"/>
        <v>#DIV/0!</v>
      </c>
      <c r="F218" s="48" t="e">
        <f t="shared" si="154"/>
        <v>#DIV/0!</v>
      </c>
      <c r="G218" s="150" t="e">
        <f t="shared" si="155"/>
        <v>#DIV/0!</v>
      </c>
      <c r="H218" s="61"/>
      <c r="J218" t="s">
        <v>82</v>
      </c>
      <c r="K218" s="20" t="s">
        <v>389</v>
      </c>
      <c r="O218" s="20" t="s">
        <v>390</v>
      </c>
    </row>
    <row r="219" spans="1:17" x14ac:dyDescent="0.25">
      <c r="A219" s="13" t="s">
        <v>160</v>
      </c>
      <c r="B219" s="43" t="e">
        <f t="shared" si="150"/>
        <v>#DIV/0!</v>
      </c>
      <c r="C219" s="14">
        <f t="shared" si="151"/>
        <v>0</v>
      </c>
      <c r="D219" s="14">
        <f t="shared" si="152"/>
        <v>0</v>
      </c>
      <c r="E219" s="14" t="e">
        <f t="shared" si="153"/>
        <v>#DIV/0!</v>
      </c>
      <c r="F219" s="48" t="e">
        <f t="shared" si="154"/>
        <v>#DIV/0!</v>
      </c>
      <c r="G219" s="150" t="e">
        <f t="shared" si="155"/>
        <v>#DIV/0!</v>
      </c>
      <c r="H219" s="61"/>
      <c r="J219" s="838" t="s">
        <v>391</v>
      </c>
      <c r="K219" s="838"/>
      <c r="L219" s="838"/>
    </row>
    <row r="220" spans="1:17" x14ac:dyDescent="0.25">
      <c r="A220" s="13" t="s">
        <v>161</v>
      </c>
      <c r="B220" s="43" t="e">
        <f t="shared" si="150"/>
        <v>#DIV/0!</v>
      </c>
      <c r="C220" s="14">
        <f t="shared" si="151"/>
        <v>0</v>
      </c>
      <c r="D220" s="14">
        <f t="shared" si="152"/>
        <v>0</v>
      </c>
      <c r="E220" s="14" t="e">
        <f t="shared" si="153"/>
        <v>#DIV/0!</v>
      </c>
      <c r="F220" s="48" t="e">
        <f t="shared" si="154"/>
        <v>#DIV/0!</v>
      </c>
      <c r="G220" s="150" t="e">
        <f t="shared" si="155"/>
        <v>#DIV/0!</v>
      </c>
      <c r="H220" s="61"/>
      <c r="L220" t="s">
        <v>392</v>
      </c>
    </row>
    <row r="221" spans="1:17" x14ac:dyDescent="0.25">
      <c r="A221" s="13" t="s">
        <v>162</v>
      </c>
      <c r="B221" s="43" t="e">
        <f t="shared" si="150"/>
        <v>#DIV/0!</v>
      </c>
      <c r="C221" s="14">
        <f t="shared" si="151"/>
        <v>0</v>
      </c>
      <c r="D221" s="14">
        <f t="shared" si="152"/>
        <v>0</v>
      </c>
      <c r="E221" s="14" t="e">
        <f t="shared" si="153"/>
        <v>#DIV/0!</v>
      </c>
      <c r="F221" s="48" t="e">
        <f t="shared" si="154"/>
        <v>#DIV/0!</v>
      </c>
      <c r="G221" s="150" t="e">
        <f t="shared" si="155"/>
        <v>#DIV/0!</v>
      </c>
      <c r="H221" s="61"/>
      <c r="L221" s="188">
        <f>Q215</f>
        <v>450.92541087231353</v>
      </c>
    </row>
    <row r="222" spans="1:17" x14ac:dyDescent="0.25">
      <c r="A222" s="144" t="s">
        <v>163</v>
      </c>
      <c r="B222" s="46" t="e">
        <f>SUM(B198:B221)</f>
        <v>#DIV/0!</v>
      </c>
      <c r="C222" s="46">
        <f t="shared" ref="C222:E222" si="156">SUM(C198:C221)</f>
        <v>0</v>
      </c>
      <c r="D222" s="46">
        <f t="shared" si="156"/>
        <v>0</v>
      </c>
      <c r="E222" s="46" t="e">
        <f t="shared" si="156"/>
        <v>#DIV/0!</v>
      </c>
      <c r="F222" s="48" t="e">
        <f>SUM(B222:E222)</f>
        <v>#DIV/0!</v>
      </c>
      <c r="G222" s="150" t="e">
        <f t="shared" ref="G222" si="157">F222/$C$195</f>
        <v>#DIV/0!</v>
      </c>
      <c r="H222" s="61"/>
    </row>
    <row r="223" spans="1:17" ht="15.75" thickBot="1" x14ac:dyDescent="0.3">
      <c r="A223" s="145" t="s">
        <v>393</v>
      </c>
      <c r="B223" s="165" t="e">
        <f>B222/'Summary-all-crops'!$C$3</f>
        <v>#DIV/0!</v>
      </c>
      <c r="C223" s="165">
        <f>C222/'Summary-all-crops'!$C$3</f>
        <v>0</v>
      </c>
      <c r="D223" s="165">
        <f>D222/'Summary-all-crops'!$C$3</f>
        <v>0</v>
      </c>
      <c r="E223" s="165" t="e">
        <f>E222/'Summary-all-crops'!$C$3</f>
        <v>#DIV/0!</v>
      </c>
      <c r="F223" s="165" t="e">
        <f>F222/'Summary-all-crops'!$C$3</f>
        <v>#DIV/0!</v>
      </c>
      <c r="G223" s="166"/>
    </row>
    <row r="224" spans="1:17" x14ac:dyDescent="0.25">
      <c r="F224" s="92" t="e">
        <f>F222*K1</f>
        <v>#DIV/0!</v>
      </c>
      <c r="G224" s="147" t="e">
        <f>SUM(F198:F221)-F222</f>
        <v>#DIV/0!</v>
      </c>
    </row>
    <row r="226" spans="1:17" x14ac:dyDescent="0.25">
      <c r="A226" s="845" t="s">
        <v>433</v>
      </c>
      <c r="B226" s="845"/>
      <c r="C226" s="845"/>
      <c r="D226" s="845"/>
      <c r="E226" s="845"/>
      <c r="F226" s="845"/>
      <c r="G226" s="845"/>
      <c r="H226" s="845"/>
      <c r="I226" s="845"/>
      <c r="J226" s="845"/>
      <c r="K226" s="845"/>
      <c r="L226" s="845"/>
      <c r="M226" s="845"/>
      <c r="N226" s="845"/>
      <c r="O226" s="845"/>
      <c r="P226" s="845"/>
      <c r="Q226" s="845"/>
    </row>
    <row r="227" spans="1:17" x14ac:dyDescent="0.25">
      <c r="A227" s="24">
        <f>N61</f>
        <v>0</v>
      </c>
      <c r="B227" s="62" t="s">
        <v>434</v>
      </c>
      <c r="C227" s="6"/>
      <c r="D227" s="6"/>
      <c r="E227" s="6"/>
      <c r="F227" s="6"/>
      <c r="G227" s="6"/>
      <c r="H227" s="6"/>
      <c r="I227" s="6"/>
      <c r="J227" s="6"/>
      <c r="K227" s="6"/>
      <c r="L227" s="6"/>
      <c r="M227" s="6"/>
      <c r="N227" s="6"/>
      <c r="O227" s="6"/>
      <c r="P227" s="6"/>
      <c r="Q227" s="6"/>
    </row>
    <row r="228" spans="1:17" x14ac:dyDescent="0.25">
      <c r="A228" s="24" t="e">
        <f>N91</f>
        <v>#DIV/0!</v>
      </c>
      <c r="B228" s="62" t="s">
        <v>435</v>
      </c>
      <c r="C228" s="6"/>
      <c r="D228" s="6"/>
      <c r="E228" s="6"/>
      <c r="F228" s="6"/>
      <c r="G228" s="6"/>
      <c r="H228" s="6"/>
      <c r="I228" s="6"/>
      <c r="J228" s="6"/>
      <c r="K228" s="6"/>
      <c r="L228" s="6"/>
      <c r="M228" s="6"/>
      <c r="N228" s="6"/>
      <c r="O228" s="6"/>
      <c r="P228" s="6"/>
      <c r="Q228" s="6"/>
    </row>
    <row r="229" spans="1:17" x14ac:dyDescent="0.25">
      <c r="A229" s="24" t="e">
        <f>F222</f>
        <v>#DIV/0!</v>
      </c>
      <c r="B229" s="6" t="s">
        <v>397</v>
      </c>
      <c r="C229" s="24" t="e">
        <f>A229*K1</f>
        <v>#DIV/0!</v>
      </c>
      <c r="D229" s="6" t="s">
        <v>398</v>
      </c>
      <c r="E229" s="6"/>
      <c r="F229" s="176" t="e">
        <f>G222</f>
        <v>#DIV/0!</v>
      </c>
      <c r="G229" s="6" t="s">
        <v>399</v>
      </c>
      <c r="H229" s="6"/>
      <c r="I229" s="6"/>
      <c r="J229" s="6"/>
      <c r="K229" s="6"/>
      <c r="L229" s="6"/>
      <c r="M229" s="6"/>
      <c r="N229" s="6"/>
      <c r="O229" s="6"/>
      <c r="P229" s="6"/>
      <c r="Q229" s="6"/>
    </row>
  </sheetData>
  <dataConsolidate/>
  <mergeCells count="43">
    <mergeCell ref="AC13:AH16"/>
    <mergeCell ref="V133:V134"/>
    <mergeCell ref="N133:Q133"/>
    <mergeCell ref="J219:L219"/>
    <mergeCell ref="A226:Q226"/>
    <mergeCell ref="Z133:Z134"/>
    <mergeCell ref="A164:A166"/>
    <mergeCell ref="B164:E164"/>
    <mergeCell ref="A196:A197"/>
    <mergeCell ref="B196:F196"/>
    <mergeCell ref="G196:G197"/>
    <mergeCell ref="W133:W134"/>
    <mergeCell ref="A132:A133"/>
    <mergeCell ref="B132:F132"/>
    <mergeCell ref="C133:E133"/>
    <mergeCell ref="F133:I133"/>
    <mergeCell ref="J133:M133"/>
    <mergeCell ref="R133:R134"/>
    <mergeCell ref="S133:S134"/>
    <mergeCell ref="T133:T134"/>
    <mergeCell ref="U133:U134"/>
    <mergeCell ref="K98:N98"/>
    <mergeCell ref="C92:E92"/>
    <mergeCell ref="A98:A99"/>
    <mergeCell ref="B98:B99"/>
    <mergeCell ref="C98:F98"/>
    <mergeCell ref="G98:J98"/>
    <mergeCell ref="A21:B21"/>
    <mergeCell ref="D20:E20"/>
    <mergeCell ref="A1:E1"/>
    <mergeCell ref="O65:R65"/>
    <mergeCell ref="A29:D29"/>
    <mergeCell ref="A30:B30"/>
    <mergeCell ref="B35:B36"/>
    <mergeCell ref="C35:F35"/>
    <mergeCell ref="G35:J35"/>
    <mergeCell ref="K35:N35"/>
    <mergeCell ref="O35:R35"/>
    <mergeCell ref="C62:E62"/>
    <mergeCell ref="B65:B66"/>
    <mergeCell ref="C65:F65"/>
    <mergeCell ref="G65:J65"/>
    <mergeCell ref="K65:N65"/>
  </mergeCells>
  <hyperlinks>
    <hyperlink ref="O64" r:id="rId1" display="https://www.semanticscholar.org/paper/Differences-in-grain%2Fstraw-ratio%2C-protein-content-Konvalina-Stehno/c8920241b02879926ffb06363c1fe2306dde4d96/figure/4" xr:uid="{800EC0A9-386A-4F2F-B6A4-F92C129664C1}"/>
    <hyperlink ref="H64" r:id="rId2" xr:uid="{9EDD11DE-447E-4F0B-B388-817E3C43755D}"/>
    <hyperlink ref="X64" r:id="rId3" xr:uid="{5E2DF187-7828-466C-B3B9-D4D1335DD025}"/>
    <hyperlink ref="K218" r:id="rId4" xr:uid="{1021A53E-1140-41F0-ADBD-3BED2EDDA144}"/>
    <hyperlink ref="O218" r:id="rId5" xr:uid="{08F1DEAD-0F32-40C3-A958-5E6950F0F9CF}"/>
    <hyperlink ref="I131" r:id="rId6" xr:uid="{FEC989EF-E141-4DA9-B922-F08A57782A03}"/>
    <hyperlink ref="H126" r:id="rId7" xr:uid="{2E9B5818-077C-4034-895A-2FB18C6B9F5B}"/>
    <hyperlink ref="H128" r:id="rId8" location=":~:text=The%20study%2C%20published%20today%20in,estimate%20of%20%2451%20per%20ton. " xr:uid="{1F8498C6-FD3F-4208-966C-462C0B87545C}"/>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FA124-B978-4B83-8325-6B61953AAF80}">
  <dimension ref="A1:AO232"/>
  <sheetViews>
    <sheetView topLeftCell="A217" workbookViewId="0">
      <selection activeCell="AC12" sqref="AC12:AH15"/>
    </sheetView>
  </sheetViews>
  <sheetFormatPr defaultRowHeight="15" x14ac:dyDescent="0.25"/>
  <cols>
    <col min="1" max="1" width="15.85546875" customWidth="1"/>
    <col min="2" max="2" width="25.5703125" customWidth="1"/>
    <col min="3" max="3" width="24.5703125" customWidth="1"/>
    <col min="4" max="4" width="18.85546875" customWidth="1"/>
    <col min="5" max="5" width="23.140625" customWidth="1"/>
    <col min="6" max="6" width="22" customWidth="1"/>
    <col min="7" max="7" width="19" customWidth="1"/>
    <col min="8" max="8" width="13.5703125" customWidth="1"/>
    <col min="9" max="9" width="12.140625" customWidth="1"/>
    <col min="10" max="10" width="20.140625" customWidth="1"/>
    <col min="11" max="11" width="16.425781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21.140625" customWidth="1"/>
    <col min="23" max="23" width="14.140625" bestFit="1" customWidth="1"/>
    <col min="24" max="24" width="22.42578125" customWidth="1"/>
    <col min="25" max="25" width="25.42578125" bestFit="1" customWidth="1"/>
    <col min="26" max="26" width="13.85546875" customWidth="1"/>
    <col min="27" max="28" width="16.5703125" bestFit="1" customWidth="1"/>
    <col min="29" max="29" width="17.85546875" bestFit="1" customWidth="1"/>
    <col min="30" max="30" width="9.85546875" customWidth="1"/>
    <col min="31" max="31" width="10.140625" customWidth="1"/>
    <col min="32" max="32" width="13.5703125" customWidth="1"/>
    <col min="33" max="33" width="21.85546875" customWidth="1"/>
    <col min="36" max="36" width="13.5703125" customWidth="1"/>
    <col min="37" max="37" width="10.5703125" customWidth="1"/>
    <col min="38" max="38" width="10.5703125" bestFit="1" customWidth="1"/>
  </cols>
  <sheetData>
    <row r="1" spans="1:34" ht="18.75" x14ac:dyDescent="0.3">
      <c r="A1" s="841" t="s">
        <v>255</v>
      </c>
      <c r="B1" s="841"/>
      <c r="C1" s="841"/>
      <c r="D1" s="841"/>
      <c r="E1" s="841"/>
      <c r="F1" s="12"/>
      <c r="G1" s="12"/>
      <c r="H1" s="58"/>
      <c r="J1" s="1" t="s">
        <v>400</v>
      </c>
      <c r="K1" s="445">
        <f>'Prices,exch.rates,harvest index'!M2</f>
        <v>2.8759999999999999</v>
      </c>
      <c r="L1" s="1" t="s">
        <v>257</v>
      </c>
      <c r="M1" s="1"/>
      <c r="N1" s="1"/>
      <c r="O1" s="1"/>
    </row>
    <row r="2" spans="1:34" x14ac:dyDescent="0.25">
      <c r="A2" s="3" t="s">
        <v>260</v>
      </c>
      <c r="B2" s="8" t="s">
        <v>261</v>
      </c>
      <c r="C2" s="8"/>
      <c r="D2" s="8"/>
      <c r="E2" s="4"/>
      <c r="G2" s="3"/>
      <c r="H2" s="3"/>
    </row>
    <row r="3" spans="1:34" x14ac:dyDescent="0.25">
      <c r="A3" s="3"/>
      <c r="B3" s="10" t="s">
        <v>263</v>
      </c>
      <c r="C3" s="10"/>
      <c r="D3" s="10"/>
      <c r="E3" s="10"/>
      <c r="F3" s="1"/>
      <c r="G3" s="1"/>
      <c r="H3" s="1"/>
      <c r="I3" s="1"/>
      <c r="J3" s="1"/>
      <c r="K3" s="1"/>
      <c r="L3" s="1"/>
      <c r="M3" s="1"/>
      <c r="N3" s="1"/>
      <c r="O3" s="1"/>
      <c r="P3" s="1"/>
      <c r="Q3" s="1"/>
    </row>
    <row r="4" spans="1:34" x14ac:dyDescent="0.25">
      <c r="A4" s="3"/>
      <c r="B4" s="7" t="s">
        <v>265</v>
      </c>
      <c r="C4" s="62"/>
      <c r="D4" s="62"/>
      <c r="E4" s="62"/>
      <c r="F4" s="1"/>
      <c r="G4" s="1"/>
      <c r="H4" s="1"/>
      <c r="I4" s="1"/>
      <c r="J4" s="1"/>
      <c r="K4" s="1"/>
      <c r="L4" s="1"/>
      <c r="M4" s="1"/>
      <c r="N4" s="1"/>
      <c r="O4" s="1"/>
      <c r="P4" s="1"/>
      <c r="Q4" s="1"/>
    </row>
    <row r="5" spans="1:34" x14ac:dyDescent="0.25">
      <c r="A5" s="3"/>
      <c r="B5" s="183" t="s">
        <v>266</v>
      </c>
      <c r="C5" s="136"/>
      <c r="D5" s="136"/>
      <c r="E5" s="136"/>
      <c r="F5" s="1"/>
      <c r="G5" s="1"/>
      <c r="H5" s="1"/>
      <c r="I5" s="1"/>
      <c r="J5" s="1" t="s">
        <v>267</v>
      </c>
      <c r="K5" s="445">
        <f>'Prices,exch.rates,harvest index'!N2</f>
        <v>1.43</v>
      </c>
      <c r="L5" s="1" t="s">
        <v>257</v>
      </c>
      <c r="M5" s="1"/>
      <c r="N5" s="1"/>
      <c r="O5" s="1"/>
      <c r="P5" s="1"/>
      <c r="Q5" s="1"/>
    </row>
    <row r="6" spans="1:34" x14ac:dyDescent="0.25">
      <c r="A6" s="3"/>
      <c r="B6" s="293" t="s">
        <v>268</v>
      </c>
      <c r="C6" s="294"/>
      <c r="D6" s="294"/>
      <c r="E6" s="294"/>
      <c r="F6" s="1"/>
      <c r="G6" s="1"/>
      <c r="H6" s="1"/>
      <c r="I6" s="1"/>
      <c r="J6" s="1"/>
      <c r="K6" s="1"/>
      <c r="L6" s="1"/>
      <c r="M6" s="1"/>
      <c r="N6" s="1"/>
      <c r="O6" s="1"/>
      <c r="P6" s="1"/>
      <c r="Q6" s="1"/>
    </row>
    <row r="7" spans="1:34" x14ac:dyDescent="0.25">
      <c r="A7" s="7" t="s">
        <v>269</v>
      </c>
      <c r="B7" s="7"/>
      <c r="C7" s="7"/>
      <c r="D7" s="7"/>
      <c r="E7" s="7"/>
      <c r="F7" s="7"/>
      <c r="G7" s="7"/>
      <c r="H7" s="7"/>
      <c r="I7" s="6"/>
      <c r="J7" s="6"/>
      <c r="K7" s="6"/>
      <c r="L7" s="6"/>
      <c r="M7" s="6"/>
      <c r="N7" s="6"/>
      <c r="O7" s="6"/>
      <c r="P7" s="6"/>
      <c r="Q7" s="6"/>
      <c r="R7" s="6"/>
      <c r="S7" s="6"/>
      <c r="T7" s="6"/>
    </row>
    <row r="8" spans="1:34" ht="14.45" customHeight="1" x14ac:dyDescent="0.25">
      <c r="A8" s="7" t="s">
        <v>270</v>
      </c>
      <c r="B8" s="7"/>
      <c r="C8" s="7"/>
      <c r="D8" s="7"/>
      <c r="E8" s="7"/>
      <c r="F8" s="7"/>
      <c r="G8" s="7"/>
      <c r="H8" s="7"/>
      <c r="I8" s="7"/>
      <c r="J8" s="7"/>
      <c r="K8" s="7"/>
      <c r="L8" s="7"/>
      <c r="M8" s="7"/>
      <c r="N8" s="7"/>
      <c r="O8" s="7"/>
      <c r="P8" s="7"/>
      <c r="Q8" s="7"/>
      <c r="R8" s="7"/>
      <c r="S8" s="7"/>
      <c r="T8" s="7"/>
    </row>
    <row r="9" spans="1:34" ht="14.45" customHeight="1" x14ac:dyDescent="0.25">
      <c r="A9" s="7"/>
      <c r="B9" s="7"/>
      <c r="C9" s="7"/>
      <c r="D9" s="7"/>
      <c r="E9" s="7"/>
      <c r="F9" s="7"/>
      <c r="G9" s="7"/>
      <c r="H9" s="7"/>
      <c r="I9" s="7"/>
      <c r="J9" s="7"/>
      <c r="K9" s="7"/>
      <c r="L9" s="7"/>
      <c r="M9" s="7"/>
      <c r="N9" s="7"/>
      <c r="O9" s="7"/>
      <c r="P9" s="7"/>
      <c r="Q9" s="7"/>
      <c r="R9" s="7"/>
      <c r="S9" s="7"/>
      <c r="T9" s="7"/>
    </row>
    <row r="10" spans="1:34" ht="14.45" customHeight="1" x14ac:dyDescent="0.25">
      <c r="A10" s="7"/>
      <c r="B10" s="7"/>
      <c r="C10" s="7"/>
      <c r="D10" s="7"/>
      <c r="E10" s="7"/>
      <c r="F10" s="7"/>
      <c r="G10" s="7"/>
      <c r="H10" s="7"/>
      <c r="I10" s="7"/>
      <c r="J10" s="7"/>
      <c r="K10" s="7"/>
      <c r="L10" s="7"/>
      <c r="M10" s="7"/>
      <c r="N10" s="7"/>
      <c r="O10" s="7"/>
      <c r="P10" s="7"/>
      <c r="Q10" s="7"/>
      <c r="R10" s="7"/>
      <c r="S10" s="7"/>
      <c r="T10" s="7"/>
    </row>
    <row r="11" spans="1:34" ht="14.45" customHeight="1" x14ac:dyDescent="0.25">
      <c r="A11" s="3"/>
      <c r="B11" s="3"/>
      <c r="C11" s="3"/>
      <c r="D11" s="3"/>
      <c r="E11" s="3"/>
      <c r="F11" s="3"/>
      <c r="G11" s="3"/>
      <c r="H11" s="3"/>
      <c r="I11" s="3"/>
      <c r="J11" s="3"/>
      <c r="K11" s="3"/>
      <c r="L11" s="3"/>
      <c r="M11" s="3"/>
      <c r="N11" s="3"/>
      <c r="O11" s="3"/>
      <c r="P11" s="3"/>
      <c r="Q11" s="3"/>
      <c r="R11" s="3"/>
      <c r="S11" s="3"/>
      <c r="T11" s="3"/>
    </row>
    <row r="12" spans="1:34" ht="27" customHeight="1" x14ac:dyDescent="0.25">
      <c r="A12" s="194" t="s">
        <v>436</v>
      </c>
      <c r="B12" s="15" t="s">
        <v>103</v>
      </c>
      <c r="C12" s="15" t="s">
        <v>437</v>
      </c>
      <c r="D12" s="195" t="s">
        <v>438</v>
      </c>
      <c r="E12" s="195" t="s">
        <v>439</v>
      </c>
      <c r="F12" s="194" t="s">
        <v>440</v>
      </c>
      <c r="G12" s="194" t="s">
        <v>441</v>
      </c>
      <c r="H12" s="3"/>
      <c r="I12" s="3"/>
      <c r="J12" s="3"/>
      <c r="K12" s="3"/>
      <c r="L12" s="3"/>
      <c r="M12" s="3"/>
      <c r="N12" s="3"/>
      <c r="O12" s="3"/>
      <c r="P12" s="3"/>
      <c r="Q12" s="3"/>
      <c r="R12" s="3"/>
      <c r="S12" s="3"/>
      <c r="T12" s="3"/>
      <c r="U12" s="3"/>
      <c r="AC12" s="852" t="s">
        <v>1258</v>
      </c>
      <c r="AD12" s="852"/>
      <c r="AE12" s="852"/>
      <c r="AF12" s="852"/>
      <c r="AG12" s="852"/>
      <c r="AH12" s="852"/>
    </row>
    <row r="13" spans="1:34" ht="14.45" customHeight="1" x14ac:dyDescent="0.25">
      <c r="A13" s="199" t="s">
        <v>442</v>
      </c>
      <c r="B13" s="707">
        <f>'Prices,exch.rates,harvest index'!I21</f>
        <v>0</v>
      </c>
      <c r="C13" s="707">
        <f>'Prices,exch.rates,harvest index'!J21</f>
        <v>0</v>
      </c>
      <c r="D13" s="707">
        <f>'Prices,exch.rates,harvest index'!E21</f>
        <v>0</v>
      </c>
      <c r="E13" s="14"/>
      <c r="F13" s="43">
        <f>'Prices,exch.rates,harvest index'!F21</f>
        <v>0</v>
      </c>
      <c r="G13" s="216"/>
      <c r="H13" s="3"/>
      <c r="I13" s="3"/>
      <c r="J13" s="3"/>
      <c r="K13" s="3"/>
      <c r="L13" s="3"/>
      <c r="M13" s="3"/>
      <c r="N13" s="3"/>
      <c r="O13" s="3"/>
      <c r="P13" s="3"/>
      <c r="Q13" s="3"/>
      <c r="R13" s="3"/>
      <c r="S13" s="3"/>
      <c r="T13" s="3"/>
      <c r="U13" s="3"/>
      <c r="V13" s="3"/>
      <c r="AC13" s="852"/>
      <c r="AD13" s="852"/>
      <c r="AE13" s="852"/>
      <c r="AF13" s="852"/>
      <c r="AG13" s="852"/>
      <c r="AH13" s="852"/>
    </row>
    <row r="14" spans="1:34" ht="14.45" customHeight="1" x14ac:dyDescent="0.25">
      <c r="A14" s="199" t="s">
        <v>443</v>
      </c>
      <c r="B14" s="707">
        <f>'Prices,exch.rates,harvest index'!I23</f>
        <v>0</v>
      </c>
      <c r="C14" s="707">
        <f>'Prices,exch.rates,harvest index'!J23</f>
        <v>0</v>
      </c>
      <c r="D14" s="707">
        <f>'Prices,exch.rates,harvest index'!E23</f>
        <v>0</v>
      </c>
      <c r="E14" s="14"/>
      <c r="F14" s="43">
        <f>'Prices,exch.rates,harvest index'!F23</f>
        <v>0</v>
      </c>
      <c r="G14" s="14"/>
      <c r="H14" s="3"/>
      <c r="I14" s="3"/>
      <c r="J14" s="3"/>
      <c r="K14" s="3"/>
      <c r="L14" s="3"/>
      <c r="M14" s="3"/>
      <c r="N14" s="3"/>
      <c r="O14" s="3"/>
      <c r="P14" s="3"/>
      <c r="Q14" s="3"/>
      <c r="R14" s="3"/>
      <c r="S14" s="3"/>
      <c r="T14" s="3"/>
      <c r="U14" s="3"/>
      <c r="V14" s="3"/>
      <c r="Z14" s="430"/>
      <c r="AC14" s="852"/>
      <c r="AD14" s="852"/>
      <c r="AE14" s="852"/>
      <c r="AF14" s="852"/>
      <c r="AG14" s="852"/>
      <c r="AH14" s="852"/>
    </row>
    <row r="15" spans="1:34" ht="14.45" customHeight="1" x14ac:dyDescent="0.25">
      <c r="A15" s="199" t="s">
        <v>444</v>
      </c>
      <c r="B15" s="707">
        <f>'Prices,exch.rates,harvest index'!I20</f>
        <v>0</v>
      </c>
      <c r="C15" s="707">
        <f>'Prices,exch.rates,harvest index'!J20</f>
        <v>0</v>
      </c>
      <c r="D15" s="707">
        <f>'Prices,exch.rates,harvest index'!E20</f>
        <v>0</v>
      </c>
      <c r="E15" s="14"/>
      <c r="F15" s="43">
        <f>'Prices,exch.rates,harvest index'!F20</f>
        <v>0</v>
      </c>
      <c r="G15" s="14"/>
      <c r="H15" s="3"/>
      <c r="I15" s="3"/>
      <c r="J15" s="3"/>
      <c r="K15" s="3"/>
      <c r="L15" s="3"/>
      <c r="M15" s="3"/>
      <c r="N15" s="3"/>
      <c r="O15" s="3"/>
      <c r="P15" s="3"/>
      <c r="Q15" s="3"/>
      <c r="R15" s="3"/>
      <c r="S15" s="3"/>
      <c r="T15" s="3"/>
      <c r="U15" s="3"/>
      <c r="V15" s="3"/>
      <c r="Z15" s="430"/>
      <c r="AC15" s="852"/>
      <c r="AD15" s="852"/>
      <c r="AE15" s="852"/>
      <c r="AF15" s="852"/>
      <c r="AG15" s="852"/>
      <c r="AH15" s="852"/>
    </row>
    <row r="16" spans="1:34" ht="14.45" customHeight="1" x14ac:dyDescent="0.25">
      <c r="A16" s="199" t="s">
        <v>446</v>
      </c>
      <c r="B16" s="707">
        <f>'Prices,exch.rates,harvest index'!I22</f>
        <v>0</v>
      </c>
      <c r="C16" s="707">
        <f>'Prices,exch.rates,harvest index'!J22</f>
        <v>0</v>
      </c>
      <c r="D16" s="707">
        <f>'Prices,exch.rates,harvest index'!E22</f>
        <v>0</v>
      </c>
      <c r="E16" s="14"/>
      <c r="F16" s="43">
        <f>'Prices,exch.rates,harvest index'!F22</f>
        <v>0</v>
      </c>
      <c r="G16" s="14"/>
      <c r="H16" s="3"/>
      <c r="I16" s="3"/>
      <c r="J16" s="3"/>
      <c r="K16" s="3"/>
      <c r="L16" s="3"/>
      <c r="M16" s="3"/>
      <c r="N16" s="3"/>
      <c r="O16" s="3"/>
      <c r="P16" s="3"/>
      <c r="Q16" s="3"/>
      <c r="R16" s="3"/>
      <c r="S16" s="3"/>
      <c r="T16" s="3"/>
      <c r="U16" s="3"/>
      <c r="W16" s="1" t="s">
        <v>136</v>
      </c>
      <c r="X16" s="1" t="s">
        <v>137</v>
      </c>
      <c r="Y16" s="1" t="s">
        <v>289</v>
      </c>
      <c r="Z16" s="22" t="s">
        <v>290</v>
      </c>
      <c r="AA16" s="1" t="s">
        <v>291</v>
      </c>
      <c r="AB16" s="15" t="s">
        <v>292</v>
      </c>
      <c r="AC16" s="15" t="s">
        <v>200</v>
      </c>
      <c r="AD16" s="1" t="s">
        <v>293</v>
      </c>
      <c r="AE16" s="1" t="s">
        <v>294</v>
      </c>
      <c r="AF16" s="1" t="s">
        <v>295</v>
      </c>
      <c r="AG16" s="1"/>
      <c r="AH16" s="1"/>
    </row>
    <row r="17" spans="1:41" ht="14.45" customHeight="1" x14ac:dyDescent="0.25">
      <c r="A17" s="199" t="s">
        <v>447</v>
      </c>
      <c r="B17" s="707">
        <f>'Prices,exch.rates,harvest index'!I24</f>
        <v>0</v>
      </c>
      <c r="C17" s="707">
        <f>'Prices,exch.rates,harvest index'!J24</f>
        <v>0</v>
      </c>
      <c r="D17" s="707">
        <f>'Prices,exch.rates,harvest index'!E24</f>
        <v>0</v>
      </c>
      <c r="E17" s="14"/>
      <c r="F17" s="43">
        <f>'Prices,exch.rates,harvest index'!F24</f>
        <v>0</v>
      </c>
      <c r="G17" s="14"/>
      <c r="H17" s="3"/>
      <c r="I17" s="3"/>
      <c r="J17" s="3"/>
      <c r="K17" s="3"/>
      <c r="L17" s="3"/>
      <c r="M17" s="3"/>
      <c r="N17" s="3"/>
      <c r="O17" s="3"/>
      <c r="P17" s="3"/>
      <c r="Q17" s="3"/>
      <c r="R17" s="3"/>
      <c r="S17" s="3"/>
      <c r="T17" s="3"/>
      <c r="U17" s="3"/>
      <c r="V17" s="13" t="s">
        <v>139</v>
      </c>
      <c r="W17" s="295">
        <v>19.531180887870732</v>
      </c>
      <c r="X17" s="295">
        <v>16.983638252167314</v>
      </c>
      <c r="Y17" s="295">
        <v>13.586913344463746</v>
      </c>
      <c r="Z17" s="95">
        <f>'Yield-data'!E5</f>
        <v>0</v>
      </c>
      <c r="AA17" s="9">
        <f>Z17*'Area&amp;production data'!H5</f>
        <v>0</v>
      </c>
      <c r="AB17" s="206">
        <f>'Yield-penalty-by-LD-class'!F4</f>
        <v>0</v>
      </c>
      <c r="AC17" s="206">
        <f>'Yield-penalty-by-LD-class'!G4</f>
        <v>0</v>
      </c>
      <c r="AD17" s="9">
        <f>((W17-X17)/X17)-AB17</f>
        <v>0.14999981734645826</v>
      </c>
      <c r="AE17" s="9">
        <f>((X17-Y17)/Y17)-AC17</f>
        <v>0.24999974766804783</v>
      </c>
      <c r="AF17" s="95">
        <f>SUMPRODUCT(W17:Y17,C37:E37)-Z17</f>
        <v>0</v>
      </c>
    </row>
    <row r="18" spans="1:41" ht="14.45" customHeight="1" x14ac:dyDescent="0.25">
      <c r="A18" s="199" t="s">
        <v>448</v>
      </c>
      <c r="B18" s="707">
        <f>'Prices,exch.rates,harvest index'!I25</f>
        <v>0</v>
      </c>
      <c r="C18" s="707">
        <f>'Prices,exch.rates,harvest index'!J25</f>
        <v>0</v>
      </c>
      <c r="D18" s="707">
        <f>'Prices,exch.rates,harvest index'!E25</f>
        <v>0</v>
      </c>
      <c r="E18" s="14"/>
      <c r="F18" s="43">
        <f>'Prices,exch.rates,harvest index'!F25</f>
        <v>0</v>
      </c>
      <c r="G18" s="14"/>
      <c r="H18" s="3"/>
      <c r="I18" s="3"/>
      <c r="J18" s="3"/>
      <c r="K18" s="3"/>
      <c r="L18" s="3"/>
      <c r="M18" s="3"/>
      <c r="N18" s="3"/>
      <c r="O18" s="3"/>
      <c r="P18" s="3"/>
      <c r="Q18" s="3"/>
      <c r="R18" s="3"/>
      <c r="S18" s="3"/>
      <c r="T18" s="3"/>
      <c r="U18" s="3"/>
      <c r="V18" s="13" t="s">
        <v>140</v>
      </c>
      <c r="W18" s="295">
        <v>16.560463223441506</v>
      </c>
      <c r="X18" s="295">
        <v>14.400412935726987</v>
      </c>
      <c r="Y18" s="295">
        <v>11.520338429085095</v>
      </c>
      <c r="Z18" s="95">
        <f>'Yield-data'!E6</f>
        <v>0</v>
      </c>
      <c r="AA18" s="9">
        <f>Z18*'Area&amp;production data'!H6</f>
        <v>0</v>
      </c>
      <c r="AB18" s="206">
        <f>'Yield-penalty-by-LD-class'!F5</f>
        <v>0</v>
      </c>
      <c r="AC18" s="206">
        <f>'Yield-penalty-by-LD-class'!G5</f>
        <v>0</v>
      </c>
      <c r="AD18" s="95">
        <f t="shared" ref="AD18:AE40" si="0">((W18-X18)/X18)-AB18</f>
        <v>0.14999919081177873</v>
      </c>
      <c r="AE18" s="9">
        <f t="shared" si="0"/>
        <v>0.24999912323501219</v>
      </c>
      <c r="AF18" s="95">
        <f t="shared" ref="AF18:AF40" si="1">SUMPRODUCT(W18:Y18,C38:E38)-Z18</f>
        <v>0</v>
      </c>
    </row>
    <row r="19" spans="1:41" ht="31.5" customHeight="1" x14ac:dyDescent="0.25">
      <c r="A19" s="194" t="s">
        <v>449</v>
      </c>
      <c r="B19" s="422">
        <f>SUM(B13:B18)</f>
        <v>0</v>
      </c>
      <c r="C19" s="422">
        <f>SUM(C13:C18)</f>
        <v>0</v>
      </c>
      <c r="D19" s="307" t="e">
        <f>SUMPRODUCT($C13:$C18,D13:D18)/$C19</f>
        <v>#DIV/0!</v>
      </c>
      <c r="E19" s="198" t="e">
        <f>SUMPRODUCT($C13:$C18,E13:E18)/$C19</f>
        <v>#DIV/0!</v>
      </c>
      <c r="F19" s="307" t="e">
        <f>SUMPRODUCT($C13:$C18,F13:F18)/$C19</f>
        <v>#DIV/0!</v>
      </c>
      <c r="G19" s="198" t="e">
        <f>SUMPRODUCT($C13:$C18,G13:G18)/$C19</f>
        <v>#DIV/0!</v>
      </c>
      <c r="J19" s="22"/>
      <c r="K19" s="44"/>
      <c r="L19" s="44"/>
      <c r="M19" s="49"/>
      <c r="N19" s="1"/>
      <c r="R19" s="18"/>
      <c r="S19" s="44"/>
      <c r="T19" s="449"/>
      <c r="V19" s="13" t="s">
        <v>141</v>
      </c>
      <c r="W19" s="295">
        <v>37.629828070285569</v>
      </c>
      <c r="X19" s="295">
        <v>32.721611028733811</v>
      </c>
      <c r="Y19" s="295">
        <v>26.177306150998394</v>
      </c>
      <c r="Z19" s="95">
        <f>'Yield-data'!E7</f>
        <v>0</v>
      </c>
      <c r="AA19" s="9">
        <f>Z19*'Area&amp;production data'!H7</f>
        <v>0</v>
      </c>
      <c r="AB19" s="206">
        <f>'Yield-penalty-by-LD-class'!F6</f>
        <v>0</v>
      </c>
      <c r="AC19" s="206">
        <f>'Yield-penalty-by-LD-class'!G6</f>
        <v>0</v>
      </c>
      <c r="AD19" s="95">
        <f t="shared" si="0"/>
        <v>0.14999924781337043</v>
      </c>
      <c r="AE19" s="9">
        <f t="shared" si="0"/>
        <v>0.2499991725651961</v>
      </c>
      <c r="AF19" s="95">
        <f t="shared" si="1"/>
        <v>0</v>
      </c>
    </row>
    <row r="20" spans="1:41" ht="15.75" x14ac:dyDescent="0.25">
      <c r="A20" s="86"/>
      <c r="B20" s="201"/>
      <c r="C20" s="201"/>
      <c r="D20" s="814" t="s">
        <v>450</v>
      </c>
      <c r="E20" s="814"/>
      <c r="F20" s="784" t="s">
        <v>451</v>
      </c>
      <c r="G20" s="784"/>
      <c r="J20" s="22"/>
      <c r="K20" s="44"/>
      <c r="L20" s="1"/>
      <c r="M20" s="49"/>
      <c r="N20" s="1"/>
      <c r="O20" s="449"/>
      <c r="Q20" s="18"/>
      <c r="T20" s="2"/>
      <c r="V20" s="13" t="s">
        <v>142</v>
      </c>
      <c r="W20" s="295">
        <v>25.974053421909051</v>
      </c>
      <c r="X20" s="295">
        <v>22.586148117591517</v>
      </c>
      <c r="Y20" s="295">
        <v>18.068930726925529</v>
      </c>
      <c r="Z20" s="95">
        <f>'Yield-data'!E8</f>
        <v>0</v>
      </c>
      <c r="AA20" s="9">
        <f>Z20*'Area&amp;production data'!H8</f>
        <v>0</v>
      </c>
      <c r="AB20" s="206">
        <f>'Yield-penalty-by-LD-class'!F7</f>
        <v>0</v>
      </c>
      <c r="AC20" s="206">
        <f>'Yield-penalty-by-LD-class'!G7</f>
        <v>0</v>
      </c>
      <c r="AD20" s="95">
        <f t="shared" si="0"/>
        <v>0.14999925116398313</v>
      </c>
      <c r="AE20" s="9">
        <f t="shared" si="0"/>
        <v>0.24999915373711781</v>
      </c>
      <c r="AF20" s="95">
        <f t="shared" si="1"/>
        <v>0</v>
      </c>
    </row>
    <row r="21" spans="1:41" ht="28.5" customHeight="1" x14ac:dyDescent="0.35">
      <c r="A21" s="843" t="s">
        <v>296</v>
      </c>
      <c r="B21" s="843"/>
      <c r="C21" s="18"/>
      <c r="D21" s="18">
        <v>2021</v>
      </c>
      <c r="E21" s="18">
        <v>2010</v>
      </c>
      <c r="F21" s="18">
        <v>2021</v>
      </c>
      <c r="G21" s="18">
        <v>2010</v>
      </c>
      <c r="K21" s="440"/>
      <c r="L21" s="441"/>
      <c r="P21" s="18"/>
      <c r="S21" s="450"/>
      <c r="T21" s="451"/>
      <c r="U21" s="91"/>
      <c r="V21" s="13" t="s">
        <v>143</v>
      </c>
      <c r="W21" s="295">
        <v>29.525781061868763</v>
      </c>
      <c r="X21" s="295">
        <v>25.674610775546224</v>
      </c>
      <c r="Y21" s="295">
        <v>20.539703639994041</v>
      </c>
      <c r="Z21" s="95">
        <f>'Yield-data'!E9</f>
        <v>0</v>
      </c>
      <c r="AA21" s="9">
        <f>Z21*'Area&amp;production data'!H9</f>
        <v>0</v>
      </c>
      <c r="AB21" s="206">
        <f>'Yield-penalty-by-LD-class'!F8</f>
        <v>0</v>
      </c>
      <c r="AC21" s="206">
        <f>'Yield-penalty-by-LD-class'!G8</f>
        <v>0</v>
      </c>
      <c r="AD21" s="95">
        <f t="shared" si="0"/>
        <v>0.14999916921780893</v>
      </c>
      <c r="AE21" s="9">
        <f t="shared" si="0"/>
        <v>0.24999908594366033</v>
      </c>
      <c r="AF21" s="95">
        <f t="shared" si="1"/>
        <v>0</v>
      </c>
    </row>
    <row r="22" spans="1:41" x14ac:dyDescent="0.25">
      <c r="A22" s="1" t="s">
        <v>452</v>
      </c>
      <c r="B22" s="1"/>
      <c r="C22" s="1"/>
      <c r="D22" s="214" t="e">
        <f>D19/K1</f>
        <v>#DIV/0!</v>
      </c>
      <c r="E22" s="312" t="e">
        <f>F19/K5</f>
        <v>#DIV/0!</v>
      </c>
      <c r="F22" s="214" t="e">
        <f>D19</f>
        <v>#DIV/0!</v>
      </c>
      <c r="G22" s="312" t="e">
        <f>F19</f>
        <v>#DIV/0!</v>
      </c>
      <c r="K22" s="246"/>
      <c r="L22" s="441"/>
      <c r="S22" s="450"/>
      <c r="T22" s="451"/>
      <c r="U22" s="91"/>
      <c r="V22" s="13" t="s">
        <v>144</v>
      </c>
      <c r="W22" s="295">
        <v>31.761053933095102</v>
      </c>
      <c r="X22" s="295">
        <v>27.618324713138271</v>
      </c>
      <c r="Y22" s="295">
        <v>22.094673502790677</v>
      </c>
      <c r="Z22" s="95">
        <f>'Yield-data'!E10</f>
        <v>0</v>
      </c>
      <c r="AA22" s="9">
        <f>Z22*'Area&amp;production data'!H10</f>
        <v>0</v>
      </c>
      <c r="AB22" s="206">
        <f>'Yield-penalty-by-LD-class'!F9</f>
        <v>0</v>
      </c>
      <c r="AC22" s="206">
        <f>'Yield-penalty-by-LD-class'!G9</f>
        <v>0</v>
      </c>
      <c r="AD22" s="95">
        <f t="shared" si="0"/>
        <v>0.1499992944172352</v>
      </c>
      <c r="AE22" s="9">
        <f t="shared" si="0"/>
        <v>0.2499992231000801</v>
      </c>
      <c r="AF22" s="95">
        <f t="shared" si="1"/>
        <v>0</v>
      </c>
    </row>
    <row r="23" spans="1:41" x14ac:dyDescent="0.25">
      <c r="A23" s="1" t="s">
        <v>453</v>
      </c>
      <c r="B23" s="1"/>
      <c r="C23" s="1"/>
      <c r="D23" s="214" t="e">
        <f>E19/K1</f>
        <v>#DIV/0!</v>
      </c>
      <c r="E23" s="312" t="e">
        <f>G19/K5</f>
        <v>#DIV/0!</v>
      </c>
      <c r="F23" s="214" t="e">
        <f>E19</f>
        <v>#DIV/0!</v>
      </c>
      <c r="G23" s="312" t="e">
        <f>G19</f>
        <v>#DIV/0!</v>
      </c>
      <c r="K23" s="246"/>
      <c r="L23" s="441"/>
      <c r="S23" s="450"/>
      <c r="T23" s="451"/>
      <c r="V23" s="13" t="s">
        <v>145</v>
      </c>
      <c r="W23" s="295">
        <v>46.212531270863764</v>
      </c>
      <c r="X23" s="295">
        <v>40.184838196244037</v>
      </c>
      <c r="Y23" s="295">
        <v>32.147893546148545</v>
      </c>
      <c r="Z23" s="95">
        <f>'Yield-data'!E11</f>
        <v>0</v>
      </c>
      <c r="AA23" s="9">
        <f>Z23*'Area&amp;production data'!H11</f>
        <v>0</v>
      </c>
      <c r="AB23" s="206">
        <f>'Yield-penalty-by-LD-class'!F10</f>
        <v>0</v>
      </c>
      <c r="AC23" s="206">
        <f>'Yield-penalty-by-LD-class'!G10</f>
        <v>0</v>
      </c>
      <c r="AD23" s="95">
        <f t="shared" si="0"/>
        <v>0.14999918738463697</v>
      </c>
      <c r="AE23" s="9">
        <f t="shared" si="0"/>
        <v>0.24999910611743184</v>
      </c>
      <c r="AF23" s="95">
        <f t="shared" si="1"/>
        <v>0</v>
      </c>
    </row>
    <row r="24" spans="1:41" x14ac:dyDescent="0.25">
      <c r="A24" s="1"/>
      <c r="B24" s="1"/>
      <c r="C24" s="1"/>
      <c r="D24" s="80" t="s">
        <v>454</v>
      </c>
      <c r="E24" s="17" t="s">
        <v>300</v>
      </c>
      <c r="F24" s="126"/>
      <c r="K24" s="246"/>
      <c r="L24" s="441"/>
      <c r="S24" s="450"/>
      <c r="T24" s="451"/>
      <c r="V24" s="13" t="s">
        <v>146</v>
      </c>
      <c r="W24" s="295">
        <v>47.152425982238952</v>
      </c>
      <c r="X24" s="295">
        <v>41.002127770732919</v>
      </c>
      <c r="Y24" s="295">
        <v>32.801716969423659</v>
      </c>
      <c r="Z24" s="95">
        <f>'Yield-data'!E12</f>
        <v>0</v>
      </c>
      <c r="AA24" s="9">
        <f>Z24*'Area&amp;production data'!H12</f>
        <v>0</v>
      </c>
      <c r="AB24" s="206">
        <f>'Yield-penalty-by-LD-class'!F11</f>
        <v>0</v>
      </c>
      <c r="AC24" s="206">
        <f>'Yield-penalty-by-LD-class'!G11</f>
        <v>0</v>
      </c>
      <c r="AD24" s="95">
        <f t="shared" si="0"/>
        <v>0.14999948895081686</v>
      </c>
      <c r="AE24" s="9">
        <f t="shared" si="0"/>
        <v>0.249999437802397</v>
      </c>
      <c r="AF24" s="95">
        <f t="shared" si="1"/>
        <v>0</v>
      </c>
    </row>
    <row r="25" spans="1:41" x14ac:dyDescent="0.25">
      <c r="A25" s="1" t="s">
        <v>301</v>
      </c>
      <c r="B25" s="1"/>
      <c r="C25" s="1"/>
      <c r="D25" s="124" t="e">
        <f>(F22-G22)/($F$21-$G$21)/K1</f>
        <v>#DIV/0!</v>
      </c>
      <c r="E25" s="124" t="e">
        <f>(F23-G23)/(F21-G21)/K5</f>
        <v>#DIV/0!</v>
      </c>
      <c r="M25" s="44"/>
      <c r="N25" s="44"/>
      <c r="O25" s="44"/>
      <c r="P25" s="44"/>
      <c r="Q25" s="44"/>
      <c r="S25" s="450"/>
      <c r="T25" s="451"/>
      <c r="V25" s="13" t="s">
        <v>147</v>
      </c>
      <c r="W25" s="295">
        <v>34.204540196385892</v>
      </c>
      <c r="X25" s="295">
        <v>29.743098595810103</v>
      </c>
      <c r="Y25" s="295">
        <v>23.794495204050325</v>
      </c>
      <c r="Z25" s="95">
        <f>'Yield-data'!E13</f>
        <v>0</v>
      </c>
      <c r="AA25" s="9">
        <f>Z25*'Area&amp;production data'!H13</f>
        <v>0</v>
      </c>
      <c r="AB25" s="206">
        <f>'Yield-penalty-by-LD-class'!F12</f>
        <v>0</v>
      </c>
      <c r="AC25" s="206">
        <f>'Yield-penalty-by-LD-class'!G12</f>
        <v>0</v>
      </c>
      <c r="AD25" s="95">
        <f t="shared" si="0"/>
        <v>0.14999922036382149</v>
      </c>
      <c r="AE25" s="9">
        <f t="shared" si="0"/>
        <v>0.24999914226998188</v>
      </c>
      <c r="AF25" s="95">
        <f t="shared" si="1"/>
        <v>0</v>
      </c>
    </row>
    <row r="26" spans="1:41" x14ac:dyDescent="0.25">
      <c r="A26" s="1" t="s">
        <v>302</v>
      </c>
      <c r="B26" s="1"/>
      <c r="C26" s="1"/>
      <c r="D26" s="124" t="e">
        <f>D25*$F$27</f>
        <v>#DIV/0!</v>
      </c>
      <c r="E26" s="124" t="e">
        <f>E25*$F$27</f>
        <v>#DIV/0!</v>
      </c>
      <c r="F26" s="1"/>
      <c r="M26" s="1"/>
      <c r="N26" s="1"/>
      <c r="O26" s="1"/>
      <c r="P26" s="1"/>
      <c r="Q26" s="1"/>
      <c r="S26" s="450"/>
      <c r="T26" s="451"/>
      <c r="V26" s="13" t="s">
        <v>148</v>
      </c>
      <c r="W26" s="295">
        <v>30.940619843933245</v>
      </c>
      <c r="X26" s="295">
        <v>25.783859400162942</v>
      </c>
      <c r="Y26" s="295">
        <v>18.417049095789395</v>
      </c>
      <c r="Z26" s="95">
        <f>'Yield-data'!E14</f>
        <v>0</v>
      </c>
      <c r="AA26" s="9">
        <f>Z26*'Area&amp;production data'!H14</f>
        <v>0</v>
      </c>
      <c r="AB26" s="206">
        <f>'Yield-penalty-by-LD-class'!F13</f>
        <v>0</v>
      </c>
      <c r="AC26" s="206">
        <f>'Yield-penalty-by-LD-class'!G13</f>
        <v>0</v>
      </c>
      <c r="AD26" s="95">
        <f t="shared" si="0"/>
        <v>0.19999955645653708</v>
      </c>
      <c r="AE26" s="9">
        <f t="shared" si="0"/>
        <v>0.39999949319013262</v>
      </c>
      <c r="AF26" s="95">
        <f t="shared" si="1"/>
        <v>0</v>
      </c>
    </row>
    <row r="27" spans="1:41" x14ac:dyDescent="0.25">
      <c r="A27" s="1" t="s">
        <v>303</v>
      </c>
      <c r="B27" s="1"/>
      <c r="C27" s="176">
        <f>'Cereals-all-year'!C24</f>
        <v>6.0970000000000003E-2</v>
      </c>
      <c r="D27" s="1"/>
      <c r="E27" s="1" t="s">
        <v>304</v>
      </c>
      <c r="F27" s="78">
        <f>1/(1+C27)</f>
        <v>0.94253371914380235</v>
      </c>
      <c r="M27" s="452"/>
      <c r="N27" s="452"/>
      <c r="O27" s="452"/>
      <c r="P27" s="452"/>
      <c r="S27" s="450"/>
      <c r="T27" s="451"/>
      <c r="V27" s="13" t="s">
        <v>149</v>
      </c>
      <c r="W27" s="295">
        <v>28.971683302370767</v>
      </c>
      <c r="X27" s="295">
        <v>24.143077535537984</v>
      </c>
      <c r="Y27" s="295">
        <v>17.245061060583829</v>
      </c>
      <c r="Z27" s="95">
        <f>'Yield-data'!E15</f>
        <v>0</v>
      </c>
      <c r="AA27" s="9">
        <f>Z27*'Area&amp;production data'!H15</f>
        <v>0</v>
      </c>
      <c r="AB27" s="206">
        <f>'Yield-penalty-by-LD-class'!F14</f>
        <v>0</v>
      </c>
      <c r="AC27" s="206">
        <f>'Yield-penalty-by-LD-class'!G14</f>
        <v>0</v>
      </c>
      <c r="AD27" s="95">
        <f t="shared" si="0"/>
        <v>0.19999959656034741</v>
      </c>
      <c r="AE27" s="9">
        <f t="shared" si="0"/>
        <v>0.39999953904023017</v>
      </c>
      <c r="AF27" s="95">
        <f t="shared" si="1"/>
        <v>0</v>
      </c>
    </row>
    <row r="28" spans="1:41" ht="28.5" customHeight="1" x14ac:dyDescent="0.25">
      <c r="A28" s="1"/>
      <c r="B28" s="1"/>
      <c r="C28" s="1"/>
      <c r="D28" s="1"/>
      <c r="E28" s="1"/>
      <c r="M28" s="452"/>
      <c r="N28" s="452"/>
      <c r="O28" s="452"/>
      <c r="P28" s="452"/>
      <c r="S28" s="450"/>
      <c r="T28" s="451"/>
      <c r="V28" s="13" t="s">
        <v>150</v>
      </c>
      <c r="W28" s="295">
        <v>34.268625617681636</v>
      </c>
      <c r="X28" s="295">
        <v>28.557195511351608</v>
      </c>
      <c r="Y28" s="295">
        <v>20.398002016039491</v>
      </c>
      <c r="Z28" s="95">
        <f>'Yield-data'!E16</f>
        <v>0</v>
      </c>
      <c r="AA28" s="9">
        <f>Z28*'Area&amp;production data'!H16</f>
        <v>0</v>
      </c>
      <c r="AB28" s="206">
        <f>'Yield-penalty-by-LD-class'!F15</f>
        <v>0</v>
      </c>
      <c r="AC28" s="206">
        <f>'Yield-penalty-by-LD-class'!G15</f>
        <v>0</v>
      </c>
      <c r="AD28" s="95">
        <f t="shared" si="0"/>
        <v>0.19999968498516282</v>
      </c>
      <c r="AE28" s="9">
        <f t="shared" si="0"/>
        <v>0.39999964157746065</v>
      </c>
      <c r="AF28" s="95">
        <f t="shared" si="1"/>
        <v>0</v>
      </c>
    </row>
    <row r="29" spans="1:41" ht="28.5" customHeight="1" x14ac:dyDescent="0.25">
      <c r="A29" s="844" t="s">
        <v>305</v>
      </c>
      <c r="B29" s="844"/>
      <c r="C29" s="844"/>
      <c r="D29" s="844"/>
      <c r="E29" s="18"/>
      <c r="M29" s="452"/>
      <c r="N29" s="452"/>
      <c r="O29" s="452"/>
      <c r="P29" s="452"/>
      <c r="S29" s="450"/>
      <c r="T29" s="451"/>
      <c r="V29" s="13" t="s">
        <v>151</v>
      </c>
      <c r="W29" s="295">
        <v>27.049401201206503</v>
      </c>
      <c r="X29" s="295">
        <v>22.541167667672084</v>
      </c>
      <c r="Y29" s="295">
        <v>16.100836290383008</v>
      </c>
      <c r="Z29" s="95">
        <f>'Yield-data'!E17</f>
        <v>0</v>
      </c>
      <c r="AA29" s="9">
        <f>Z29*'Area&amp;production data'!H17</f>
        <v>0</v>
      </c>
      <c r="AB29" s="206">
        <f>'Yield-penalty-by-LD-class'!F16</f>
        <v>0</v>
      </c>
      <c r="AC29" s="206">
        <f>'Yield-penalty-by-LD-class'!G16</f>
        <v>0</v>
      </c>
      <c r="AD29" s="95">
        <f t="shared" si="0"/>
        <v>0.20000000000000009</v>
      </c>
      <c r="AE29" s="9">
        <f t="shared" si="0"/>
        <v>0.39999980504962168</v>
      </c>
      <c r="AF29" s="95">
        <f t="shared" si="1"/>
        <v>0</v>
      </c>
    </row>
    <row r="30" spans="1:41" x14ac:dyDescent="0.25">
      <c r="A30" s="844" t="s">
        <v>306</v>
      </c>
      <c r="B30" s="844"/>
      <c r="C30" s="18"/>
      <c r="D30" s="18"/>
      <c r="E30" s="18"/>
      <c r="M30" s="452"/>
      <c r="N30" s="452"/>
      <c r="O30" s="452"/>
      <c r="P30" s="452"/>
      <c r="S30" s="450"/>
      <c r="T30" s="451"/>
      <c r="V30" s="13" t="s">
        <v>152</v>
      </c>
      <c r="W30" s="295">
        <v>31.392239458913973</v>
      </c>
      <c r="X30" s="295">
        <v>26.160214113893765</v>
      </c>
      <c r="Y30" s="295">
        <v>18.685877413975138</v>
      </c>
      <c r="Z30" s="95">
        <f>'Yield-data'!E18</f>
        <v>0</v>
      </c>
      <c r="AA30" s="9">
        <f>Z30*'Area&amp;production data'!H18</f>
        <v>0</v>
      </c>
      <c r="AB30" s="206">
        <f>'Yield-penalty-by-LD-class'!F17</f>
        <v>0</v>
      </c>
      <c r="AC30" s="206">
        <f>'Yield-penalty-by-LD-class'!G17</f>
        <v>0</v>
      </c>
      <c r="AD30" s="95">
        <f t="shared" si="0"/>
        <v>0.19999933189543218</v>
      </c>
      <c r="AE30" s="9">
        <f t="shared" si="0"/>
        <v>0.39999923655330105</v>
      </c>
      <c r="AF30" s="95">
        <f t="shared" si="1"/>
        <v>0</v>
      </c>
    </row>
    <row r="31" spans="1:41" ht="27.6" customHeight="1" x14ac:dyDescent="0.25">
      <c r="A31" s="3" t="s">
        <v>455</v>
      </c>
      <c r="B31" s="3"/>
      <c r="C31" s="3"/>
      <c r="D31" s="3"/>
      <c r="E31" s="3"/>
      <c r="M31" s="441"/>
      <c r="N31" s="441"/>
      <c r="O31" s="441"/>
      <c r="P31" s="441"/>
      <c r="Q31" s="35"/>
      <c r="V31" s="13" t="s">
        <v>153</v>
      </c>
      <c r="W31" s="295">
        <v>51.779044848823176</v>
      </c>
      <c r="X31" s="295">
        <v>43.149212628281312</v>
      </c>
      <c r="Y31" s="295">
        <v>30.82087240639904</v>
      </c>
      <c r="Z31" s="95">
        <f>'Yield-data'!E19</f>
        <v>0</v>
      </c>
      <c r="AA31" s="9">
        <f>Z31*'Area&amp;production data'!H19</f>
        <v>0</v>
      </c>
      <c r="AB31" s="206">
        <f>'Yield-penalty-by-LD-class'!F18</f>
        <v>0</v>
      </c>
      <c r="AC31" s="206">
        <f>'Yield-penalty-by-LD-class'!G18</f>
        <v>0</v>
      </c>
      <c r="AD31" s="95">
        <f t="shared" si="0"/>
        <v>0.19999976117491444</v>
      </c>
      <c r="AE31" s="9">
        <f t="shared" si="0"/>
        <v>0.39999971640396065</v>
      </c>
      <c r="AF31" s="95">
        <f t="shared" si="1"/>
        <v>0</v>
      </c>
      <c r="AH31" s="2"/>
      <c r="AL31" s="1"/>
      <c r="AM31" s="1"/>
      <c r="AN31" s="1"/>
      <c r="AO31" s="22"/>
    </row>
    <row r="32" spans="1:41" x14ac:dyDescent="0.25">
      <c r="A32" s="1" t="s">
        <v>308</v>
      </c>
      <c r="F32" s="1"/>
      <c r="V32" s="13" t="s">
        <v>154</v>
      </c>
      <c r="W32" s="295">
        <v>33.96680296280843</v>
      </c>
      <c r="X32" s="295">
        <v>28.305673445876245</v>
      </c>
      <c r="Y32" s="295">
        <v>20.218341187078376</v>
      </c>
      <c r="Z32" s="95">
        <f>'Yield-data'!E20</f>
        <v>0</v>
      </c>
      <c r="AA32" s="9">
        <f>Z32*'Area&amp;production data'!H20</f>
        <v>0</v>
      </c>
      <c r="AB32" s="206">
        <f>'Yield-penalty-by-LD-class'!F19</f>
        <v>0</v>
      </c>
      <c r="AC32" s="206">
        <f>'Yield-penalty-by-LD-class'!G19</f>
        <v>0</v>
      </c>
      <c r="AD32" s="95">
        <f t="shared" si="0"/>
        <v>0.19999981727185986</v>
      </c>
      <c r="AE32" s="9">
        <f t="shared" si="0"/>
        <v>0.3999997914748078</v>
      </c>
      <c r="AF32" s="95">
        <f t="shared" si="1"/>
        <v>0</v>
      </c>
      <c r="AL32" s="49"/>
      <c r="AM32" s="49"/>
      <c r="AN32" s="49"/>
      <c r="AO32" s="49"/>
    </row>
    <row r="33" spans="1:41" x14ac:dyDescent="0.25">
      <c r="V33" s="13" t="s">
        <v>155</v>
      </c>
      <c r="W33" s="295">
        <v>33.585673133365752</v>
      </c>
      <c r="X33" s="295">
        <v>27.988068194158323</v>
      </c>
      <c r="Y33" s="295">
        <v>19.991482228756276</v>
      </c>
      <c r="Z33" s="95">
        <f>'Yield-data'!E21</f>
        <v>0</v>
      </c>
      <c r="AA33" s="9">
        <f>Z33*'Area&amp;production data'!H21</f>
        <v>0</v>
      </c>
      <c r="AB33" s="206">
        <f>'Yield-penalty-by-LD-class'!F20</f>
        <v>0</v>
      </c>
      <c r="AC33" s="206">
        <f>'Yield-penalty-by-LD-class'!G20</f>
        <v>0</v>
      </c>
      <c r="AD33" s="95">
        <f t="shared" si="0"/>
        <v>0.19999968916667718</v>
      </c>
      <c r="AE33" s="9">
        <f t="shared" si="0"/>
        <v>0.39999965354742667</v>
      </c>
      <c r="AF33" s="95">
        <f t="shared" si="1"/>
        <v>0</v>
      </c>
      <c r="AL33" s="83"/>
      <c r="AM33" s="83"/>
      <c r="AN33" s="83"/>
    </row>
    <row r="34" spans="1:41" ht="19.350000000000001" customHeight="1" x14ac:dyDescent="0.25">
      <c r="A34" s="1" t="s">
        <v>456</v>
      </c>
      <c r="D34" s="1"/>
      <c r="F34" s="1"/>
      <c r="G34" s="60"/>
      <c r="H34" s="60"/>
      <c r="J34" s="246"/>
      <c r="K34" s="246"/>
      <c r="L34" s="442"/>
      <c r="V34" s="13" t="s">
        <v>156</v>
      </c>
      <c r="W34" s="295">
        <v>36.352368517888443</v>
      </c>
      <c r="X34" s="295">
        <v>30.293648825161295</v>
      </c>
      <c r="Y34" s="295">
        <v>21.63832659915348</v>
      </c>
      <c r="Z34" s="95">
        <f>'Yield-data'!E22</f>
        <v>0</v>
      </c>
      <c r="AA34" s="9">
        <f>Z34*'Area&amp;production data'!H22</f>
        <v>0</v>
      </c>
      <c r="AB34" s="206">
        <f>'Yield-penalty-by-LD-class'!F21</f>
        <v>0</v>
      </c>
      <c r="AC34" s="206">
        <f>'Yield-penalty-by-LD-class'!G21</f>
        <v>0</v>
      </c>
      <c r="AD34" s="95">
        <f t="shared" si="0"/>
        <v>0.19999966751099649</v>
      </c>
      <c r="AE34" s="9">
        <f t="shared" si="0"/>
        <v>0.39999961116893495</v>
      </c>
      <c r="AF34" s="95">
        <f t="shared" si="1"/>
        <v>0</v>
      </c>
    </row>
    <row r="35" spans="1:41" ht="44.45" customHeight="1" x14ac:dyDescent="0.25">
      <c r="A35" s="1" t="s">
        <v>101</v>
      </c>
      <c r="B35" s="814" t="s">
        <v>457</v>
      </c>
      <c r="C35" s="814" t="s">
        <v>458</v>
      </c>
      <c r="D35" s="814"/>
      <c r="E35" s="814"/>
      <c r="F35" s="814"/>
      <c r="G35" s="814" t="s">
        <v>459</v>
      </c>
      <c r="H35" s="814"/>
      <c r="I35" s="814"/>
      <c r="J35" s="814"/>
      <c r="K35" s="814" t="s">
        <v>460</v>
      </c>
      <c r="L35" s="814"/>
      <c r="M35" s="814"/>
      <c r="N35" s="814"/>
      <c r="O35" s="814" t="s">
        <v>461</v>
      </c>
      <c r="P35" s="814"/>
      <c r="Q35" s="814"/>
      <c r="R35" s="814"/>
      <c r="S35" s="17" t="s">
        <v>120</v>
      </c>
      <c r="T35" s="44"/>
      <c r="V35" s="13" t="s">
        <v>157</v>
      </c>
      <c r="W35" s="295">
        <v>37.183864907612268</v>
      </c>
      <c r="X35" s="295">
        <v>28.602974300580261</v>
      </c>
      <c r="Y35" s="295">
        <v>19.068650327873332</v>
      </c>
      <c r="Z35" s="95">
        <f>'Yield-data'!E23</f>
        <v>0</v>
      </c>
      <c r="AA35" s="9">
        <f>Z35*'Area&amp;production data'!H23</f>
        <v>0</v>
      </c>
      <c r="AB35" s="206">
        <f>'Yield-penalty-by-LD-class'!F22</f>
        <v>0</v>
      </c>
      <c r="AC35" s="206">
        <f>'Yield-penalty-by-LD-class'!G22</f>
        <v>0</v>
      </c>
      <c r="AD35" s="95">
        <f t="shared" si="0"/>
        <v>0.29999994115499828</v>
      </c>
      <c r="AE35" s="9">
        <f t="shared" si="0"/>
        <v>0.49999993752941524</v>
      </c>
      <c r="AF35" s="95">
        <f t="shared" si="1"/>
        <v>0</v>
      </c>
      <c r="AM35" s="52"/>
      <c r="AN35" s="1"/>
      <c r="AO35" s="1"/>
    </row>
    <row r="36" spans="1:41" x14ac:dyDescent="0.25">
      <c r="A36" s="1"/>
      <c r="B36" s="814"/>
      <c r="C36" s="1" t="s">
        <v>136</v>
      </c>
      <c r="D36" s="1" t="s">
        <v>137</v>
      </c>
      <c r="E36" s="1" t="s">
        <v>138</v>
      </c>
      <c r="F36" s="1" t="s">
        <v>120</v>
      </c>
      <c r="G36" s="1" t="s">
        <v>136</v>
      </c>
      <c r="H36" s="1" t="s">
        <v>137</v>
      </c>
      <c r="I36" s="1" t="s">
        <v>289</v>
      </c>
      <c r="J36" s="1" t="s">
        <v>120</v>
      </c>
      <c r="K36" s="1" t="s">
        <v>136</v>
      </c>
      <c r="L36" s="1" t="s">
        <v>137</v>
      </c>
      <c r="M36" s="1" t="s">
        <v>289</v>
      </c>
      <c r="N36" s="1" t="s">
        <v>120</v>
      </c>
      <c r="O36" s="1" t="s">
        <v>136</v>
      </c>
      <c r="P36" s="1" t="s">
        <v>137</v>
      </c>
      <c r="Q36" s="1" t="s">
        <v>289</v>
      </c>
      <c r="R36" s="1" t="s">
        <v>120</v>
      </c>
      <c r="V36" s="13" t="s">
        <v>158</v>
      </c>
      <c r="W36" s="295">
        <v>38.925726721845521</v>
      </c>
      <c r="X36" s="295">
        <v>29.942878044360477</v>
      </c>
      <c r="Y36" s="295">
        <v>19.961926101687109</v>
      </c>
      <c r="Z36" s="95">
        <f>'Yield-data'!E24</f>
        <v>0</v>
      </c>
      <c r="AA36" s="9">
        <f>Z36*'Area&amp;production data'!H24</f>
        <v>0</v>
      </c>
      <c r="AB36" s="206">
        <f>'Yield-penalty-by-LD-class'!F23</f>
        <v>0</v>
      </c>
      <c r="AC36" s="206">
        <f>'Yield-penalty-by-LD-class'!G23</f>
        <v>0</v>
      </c>
      <c r="AD36" s="95">
        <f t="shared" si="0"/>
        <v>0.29999950786884694</v>
      </c>
      <c r="AE36" s="9">
        <f t="shared" si="0"/>
        <v>0.49999944353214565</v>
      </c>
      <c r="AF36" s="95">
        <f t="shared" si="1"/>
        <v>0</v>
      </c>
    </row>
    <row r="37" spans="1:41" x14ac:dyDescent="0.25">
      <c r="A37" s="13" t="s">
        <v>139</v>
      </c>
      <c r="B37" s="67">
        <f>'Area&amp;production data'!H5</f>
        <v>0</v>
      </c>
      <c r="C37" s="169">
        <f>'Area&amp;production data'!BE5</f>
        <v>0</v>
      </c>
      <c r="D37" s="169">
        <f>'Area&amp;production data'!BF5</f>
        <v>0</v>
      </c>
      <c r="E37" s="169">
        <f>'Area&amp;production data'!BG5</f>
        <v>0</v>
      </c>
      <c r="F37" s="25">
        <f>SUM(C37:E37)</f>
        <v>0</v>
      </c>
      <c r="G37" s="180">
        <f t="shared" ref="G37:G60" si="2">$W17-W17</f>
        <v>0</v>
      </c>
      <c r="H37" s="180">
        <f t="shared" ref="H37:H60" si="3">$W17-X17</f>
        <v>2.5475426357034188</v>
      </c>
      <c r="I37" s="180">
        <f t="shared" ref="I37:I60" si="4">$W17-Y17</f>
        <v>5.9442675434069869</v>
      </c>
      <c r="J37" s="81">
        <f>SUMPRODUCT(C37:E37,G37:I37)</f>
        <v>0</v>
      </c>
      <c r="K37" s="38">
        <f t="shared" ref="K37:M37" si="5">G37*C37*$B37</f>
        <v>0</v>
      </c>
      <c r="L37" s="38">
        <f t="shared" si="5"/>
        <v>0</v>
      </c>
      <c r="M37" s="38">
        <f t="shared" si="5"/>
        <v>0</v>
      </c>
      <c r="N37" s="38">
        <f>SUM(K37:M37)</f>
        <v>0</v>
      </c>
      <c r="O37" s="38" t="e">
        <f t="shared" ref="O37:Q37" si="6">$D$22*K37</f>
        <v>#DIV/0!</v>
      </c>
      <c r="P37" s="38" t="e">
        <f t="shared" si="6"/>
        <v>#DIV/0!</v>
      </c>
      <c r="Q37" s="38" t="e">
        <f t="shared" si="6"/>
        <v>#DIV/0!</v>
      </c>
      <c r="R37" s="24" t="e">
        <f>SUM(O37:Q37)</f>
        <v>#DIV/0!</v>
      </c>
      <c r="V37" s="13" t="s">
        <v>159</v>
      </c>
      <c r="W37" s="295">
        <v>31.472170091538594</v>
      </c>
      <c r="X37" s="295">
        <v>24.209362454770968</v>
      </c>
      <c r="Y37" s="295">
        <v>16.139575470032462</v>
      </c>
      <c r="Z37" s="95">
        <f>'Yield-data'!E25</f>
        <v>0</v>
      </c>
      <c r="AA37" s="9">
        <f>Z37*'Area&amp;production data'!H25</f>
        <v>0</v>
      </c>
      <c r="AB37" s="206">
        <f>'Yield-penalty-by-LD-class'!F24</f>
        <v>0</v>
      </c>
      <c r="AC37" s="206">
        <f>'Yield-penalty-by-LD-class'!G24</f>
        <v>0</v>
      </c>
      <c r="AD37" s="95">
        <f t="shared" si="0"/>
        <v>0.29999995457692591</v>
      </c>
      <c r="AE37" s="9">
        <f t="shared" si="0"/>
        <v>0.49999995351316856</v>
      </c>
      <c r="AF37" s="95">
        <f t="shared" si="1"/>
        <v>0</v>
      </c>
    </row>
    <row r="38" spans="1:41" x14ac:dyDescent="0.25">
      <c r="A38" s="13" t="s">
        <v>140</v>
      </c>
      <c r="B38" s="67">
        <f>'Area&amp;production data'!H6</f>
        <v>0</v>
      </c>
      <c r="C38" s="169">
        <f>'Area&amp;production data'!BE6</f>
        <v>0</v>
      </c>
      <c r="D38" s="169">
        <f>'Area&amp;production data'!BF6</f>
        <v>0</v>
      </c>
      <c r="E38" s="169">
        <f>'Area&amp;production data'!BG6</f>
        <v>0</v>
      </c>
      <c r="F38" s="25">
        <f t="shared" ref="F38:F60" si="7">SUM(C38:E38)</f>
        <v>0</v>
      </c>
      <c r="G38" s="180">
        <f t="shared" si="2"/>
        <v>0</v>
      </c>
      <c r="H38" s="180">
        <f t="shared" si="3"/>
        <v>2.1600502877145189</v>
      </c>
      <c r="I38" s="180">
        <f t="shared" si="4"/>
        <v>5.0401247943564105</v>
      </c>
      <c r="J38" s="81">
        <f t="shared" ref="J38:J60" si="8">SUMPRODUCT(C38:E38,G38:I38)</f>
        <v>0</v>
      </c>
      <c r="K38" s="38">
        <f t="shared" ref="K38:K60" si="9">G38*C38*$B38</f>
        <v>0</v>
      </c>
      <c r="L38" s="38">
        <f t="shared" ref="L38:L60" si="10">H38*D38*$B38</f>
        <v>0</v>
      </c>
      <c r="M38" s="38">
        <f t="shared" ref="M38:M60" si="11">I38*E38*$B38</f>
        <v>0</v>
      </c>
      <c r="N38" s="38">
        <f t="shared" ref="N38:N60" si="12">SUM(K38:M38)</f>
        <v>0</v>
      </c>
      <c r="O38" s="38" t="e">
        <f t="shared" ref="O38:O60" si="13">$D$22*K38</f>
        <v>#DIV/0!</v>
      </c>
      <c r="P38" s="38" t="e">
        <f t="shared" ref="P38:P60" si="14">$D$22*L38</f>
        <v>#DIV/0!</v>
      </c>
      <c r="Q38" s="38" t="e">
        <f t="shared" ref="Q38:Q60" si="15">$D$22*M38</f>
        <v>#DIV/0!</v>
      </c>
      <c r="R38" s="24" t="e">
        <f t="shared" ref="R38:R60" si="16">SUM(O38:Q38)</f>
        <v>#DIV/0!</v>
      </c>
      <c r="V38" s="13" t="s">
        <v>160</v>
      </c>
      <c r="W38" s="295">
        <v>42.109263329534507</v>
      </c>
      <c r="X38" s="295">
        <v>32.3917426960993</v>
      </c>
      <c r="Y38" s="295">
        <v>21.594496147350583</v>
      </c>
      <c r="Z38" s="95">
        <f>'Yield-data'!E26</f>
        <v>0</v>
      </c>
      <c r="AA38" s="9">
        <f>Z38*'Area&amp;production data'!H26</f>
        <v>0</v>
      </c>
      <c r="AB38" s="206">
        <f>'Yield-penalty-by-LD-class'!F25</f>
        <v>0</v>
      </c>
      <c r="AC38" s="206">
        <f>'Yield-penalty-by-LD-class'!G25</f>
        <v>0</v>
      </c>
      <c r="AD38" s="95">
        <f t="shared" si="0"/>
        <v>0.29999993284107607</v>
      </c>
      <c r="AE38" s="9">
        <f t="shared" si="0"/>
        <v>0.49999992938355386</v>
      </c>
      <c r="AF38" s="95">
        <f t="shared" si="1"/>
        <v>0</v>
      </c>
    </row>
    <row r="39" spans="1:41" x14ac:dyDescent="0.25">
      <c r="A39" s="13" t="s">
        <v>141</v>
      </c>
      <c r="B39" s="67">
        <f>'Area&amp;production data'!H7</f>
        <v>0</v>
      </c>
      <c r="C39" s="169">
        <f>'Area&amp;production data'!BE7</f>
        <v>0</v>
      </c>
      <c r="D39" s="169">
        <f>'Area&amp;production data'!BF7</f>
        <v>0</v>
      </c>
      <c r="E39" s="169">
        <f>'Area&amp;production data'!BG7</f>
        <v>0</v>
      </c>
      <c r="F39" s="25">
        <f t="shared" si="7"/>
        <v>0</v>
      </c>
      <c r="G39" s="180">
        <f t="shared" si="2"/>
        <v>0</v>
      </c>
      <c r="H39" s="180">
        <f t="shared" si="3"/>
        <v>4.9082170415517581</v>
      </c>
      <c r="I39" s="180">
        <f t="shared" si="4"/>
        <v>11.452521919287175</v>
      </c>
      <c r="J39" s="81">
        <f t="shared" si="8"/>
        <v>0</v>
      </c>
      <c r="K39" s="38">
        <f t="shared" si="9"/>
        <v>0</v>
      </c>
      <c r="L39" s="38">
        <f t="shared" si="10"/>
        <v>0</v>
      </c>
      <c r="M39" s="38">
        <f t="shared" si="11"/>
        <v>0</v>
      </c>
      <c r="N39" s="38">
        <f t="shared" si="12"/>
        <v>0</v>
      </c>
      <c r="O39" s="38" t="e">
        <f t="shared" si="13"/>
        <v>#DIV/0!</v>
      </c>
      <c r="P39" s="38" t="e">
        <f t="shared" si="14"/>
        <v>#DIV/0!</v>
      </c>
      <c r="Q39" s="38" t="e">
        <f t="shared" si="15"/>
        <v>#DIV/0!</v>
      </c>
      <c r="R39" s="24" t="e">
        <f t="shared" si="16"/>
        <v>#DIV/0!</v>
      </c>
      <c r="V39" s="13" t="s">
        <v>161</v>
      </c>
      <c r="W39" s="295">
        <v>16.265853762272421</v>
      </c>
      <c r="X39" s="295">
        <v>12.512195121951201</v>
      </c>
      <c r="Y39" s="295">
        <v>8.3414633618997325</v>
      </c>
      <c r="Z39" s="95">
        <f>'Yield-data'!E27</f>
        <v>0</v>
      </c>
      <c r="AA39" s="9">
        <f>Z39*'Area&amp;production data'!H27</f>
        <v>0</v>
      </c>
      <c r="AB39" s="206">
        <f>'Yield-penalty-by-LD-class'!F26</f>
        <v>0</v>
      </c>
      <c r="AC39" s="206">
        <f>'Yield-penalty-by-LD-class'!G26</f>
        <v>0</v>
      </c>
      <c r="AD39" s="95">
        <f t="shared" si="0"/>
        <v>0.30000000829078016</v>
      </c>
      <c r="AE39" s="9">
        <f t="shared" si="0"/>
        <v>0.50000000948294077</v>
      </c>
      <c r="AF39" s="95">
        <f t="shared" si="1"/>
        <v>0</v>
      </c>
    </row>
    <row r="40" spans="1:41" x14ac:dyDescent="0.25">
      <c r="A40" s="13" t="s">
        <v>142</v>
      </c>
      <c r="B40" s="67">
        <f>'Area&amp;production data'!H8</f>
        <v>0</v>
      </c>
      <c r="C40" s="169">
        <f>'Area&amp;production data'!BE8</f>
        <v>0</v>
      </c>
      <c r="D40" s="169">
        <f>'Area&amp;production data'!BF8</f>
        <v>0</v>
      </c>
      <c r="E40" s="169">
        <f>'Area&amp;production data'!BG8</f>
        <v>0</v>
      </c>
      <c r="F40" s="25">
        <f t="shared" si="7"/>
        <v>0</v>
      </c>
      <c r="G40" s="180">
        <f t="shared" si="2"/>
        <v>0</v>
      </c>
      <c r="H40" s="180">
        <f t="shared" si="3"/>
        <v>3.3879053043175347</v>
      </c>
      <c r="I40" s="180">
        <f t="shared" si="4"/>
        <v>7.9051226949835218</v>
      </c>
      <c r="J40" s="81">
        <f t="shared" si="8"/>
        <v>0</v>
      </c>
      <c r="K40" s="38">
        <f t="shared" si="9"/>
        <v>0</v>
      </c>
      <c r="L40" s="38">
        <f t="shared" si="10"/>
        <v>0</v>
      </c>
      <c r="M40" s="38">
        <f t="shared" si="11"/>
        <v>0</v>
      </c>
      <c r="N40" s="38">
        <f t="shared" si="12"/>
        <v>0</v>
      </c>
      <c r="O40" s="38" t="e">
        <f t="shared" si="13"/>
        <v>#DIV/0!</v>
      </c>
      <c r="P40" s="38" t="e">
        <f t="shared" si="14"/>
        <v>#DIV/0!</v>
      </c>
      <c r="Q40" s="38" t="e">
        <f t="shared" si="15"/>
        <v>#DIV/0!</v>
      </c>
      <c r="R40" s="24" t="e">
        <f t="shared" si="16"/>
        <v>#DIV/0!</v>
      </c>
      <c r="V40" s="13" t="s">
        <v>162</v>
      </c>
      <c r="W40" s="295">
        <v>18.213679897244919</v>
      </c>
      <c r="X40" s="295">
        <v>14.010523066122783</v>
      </c>
      <c r="Y40" s="295">
        <v>9.3403488970700419</v>
      </c>
      <c r="Z40" s="95">
        <f>'Yield-data'!E28</f>
        <v>0</v>
      </c>
      <c r="AA40" s="9">
        <f>Z40*'Area&amp;production data'!H28</f>
        <v>0</v>
      </c>
      <c r="AB40" s="206">
        <f>'Yield-penalty-by-LD-class'!F27</f>
        <v>0</v>
      </c>
      <c r="AC40" s="206">
        <f>'Yield-penalty-by-LD-class'!G27</f>
        <v>0</v>
      </c>
      <c r="AD40" s="95">
        <f t="shared" si="0"/>
        <v>0.29999999366799524</v>
      </c>
      <c r="AE40" s="9">
        <f t="shared" si="0"/>
        <v>0.49999997007796143</v>
      </c>
      <c r="AF40" s="95">
        <f t="shared" si="1"/>
        <v>0</v>
      </c>
    </row>
    <row r="41" spans="1:41" x14ac:dyDescent="0.25">
      <c r="A41" s="13" t="s">
        <v>143</v>
      </c>
      <c r="B41" s="67">
        <f>'Area&amp;production data'!H9</f>
        <v>0</v>
      </c>
      <c r="C41" s="169">
        <f>'Area&amp;production data'!BE9</f>
        <v>0</v>
      </c>
      <c r="D41" s="169">
        <f>'Area&amp;production data'!BF9</f>
        <v>0</v>
      </c>
      <c r="E41" s="169">
        <f>'Area&amp;production data'!BG9</f>
        <v>0</v>
      </c>
      <c r="F41" s="25">
        <f t="shared" si="7"/>
        <v>0</v>
      </c>
      <c r="G41" s="180">
        <f t="shared" si="2"/>
        <v>0</v>
      </c>
      <c r="H41" s="180">
        <f t="shared" si="3"/>
        <v>3.8511702863225388</v>
      </c>
      <c r="I41" s="180">
        <f t="shared" si="4"/>
        <v>8.9860774218747217</v>
      </c>
      <c r="J41" s="81">
        <f t="shared" si="8"/>
        <v>0</v>
      </c>
      <c r="K41" s="38">
        <f t="shared" si="9"/>
        <v>0</v>
      </c>
      <c r="L41" s="38">
        <f t="shared" si="10"/>
        <v>0</v>
      </c>
      <c r="M41" s="38">
        <f t="shared" si="11"/>
        <v>0</v>
      </c>
      <c r="N41" s="38">
        <f t="shared" si="12"/>
        <v>0</v>
      </c>
      <c r="O41" s="38" t="e">
        <f t="shared" si="13"/>
        <v>#DIV/0!</v>
      </c>
      <c r="P41" s="38" t="e">
        <f t="shared" si="14"/>
        <v>#DIV/0!</v>
      </c>
      <c r="Q41" s="38" t="e">
        <f t="shared" si="15"/>
        <v>#DIV/0!</v>
      </c>
      <c r="R41" s="24" t="e">
        <f t="shared" si="16"/>
        <v>#DIV/0!</v>
      </c>
      <c r="V41" s="447" t="s">
        <v>163</v>
      </c>
      <c r="W41" s="28" t="e">
        <f>SUMPRODUCT($B$37:$B$60,W17:W40)/$B$61</f>
        <v>#DIV/0!</v>
      </c>
      <c r="X41" s="28" t="e">
        <f t="shared" ref="X41:Y41" si="17">SUMPRODUCT($B$37:$B$60,X17:X40)/$B$61</f>
        <v>#DIV/0!</v>
      </c>
      <c r="Y41" s="28" t="e">
        <f t="shared" si="17"/>
        <v>#DIV/0!</v>
      </c>
      <c r="Z41" s="28" t="e">
        <f>SUMPRODUCT($B$37:$B$60,Z17:Z40)/$B$61</f>
        <v>#DIV/0!</v>
      </c>
      <c r="AA41" s="565">
        <f>SUM(AA17:AA40)</f>
        <v>0</v>
      </c>
      <c r="AB41" s="26" t="e">
        <f>SUMPRODUCT(AB17:AB40,B33:B56)/B57</f>
        <v>#DIV/0!</v>
      </c>
      <c r="AC41" s="26" t="e">
        <f>SUMPRODUCT(AC17:AC40,B33:B56)/B57</f>
        <v>#DIV/0!</v>
      </c>
      <c r="AD41" s="124">
        <f>SUM(AD17:AD40)</f>
        <v>4.9499903108924599</v>
      </c>
      <c r="AE41" s="124">
        <f>SUM(AE17:AE40)</f>
        <v>8.8499889239639877</v>
      </c>
      <c r="AF41" s="124">
        <f>SUM(AF17:AF40)</f>
        <v>0</v>
      </c>
    </row>
    <row r="42" spans="1:41" x14ac:dyDescent="0.25">
      <c r="A42" s="13" t="s">
        <v>144</v>
      </c>
      <c r="B42" s="67">
        <f>'Area&amp;production data'!H10</f>
        <v>0</v>
      </c>
      <c r="C42" s="169">
        <f>'Area&amp;production data'!BE10</f>
        <v>0</v>
      </c>
      <c r="D42" s="169">
        <f>'Area&amp;production data'!BF10</f>
        <v>0</v>
      </c>
      <c r="E42" s="169">
        <f>'Area&amp;production data'!BG10</f>
        <v>0</v>
      </c>
      <c r="F42" s="25">
        <f t="shared" si="7"/>
        <v>0</v>
      </c>
      <c r="G42" s="180">
        <f t="shared" si="2"/>
        <v>0</v>
      </c>
      <c r="H42" s="180">
        <f t="shared" si="3"/>
        <v>4.1427292199568306</v>
      </c>
      <c r="I42" s="180">
        <f t="shared" si="4"/>
        <v>9.6663804303044252</v>
      </c>
      <c r="J42" s="81">
        <f t="shared" si="8"/>
        <v>0</v>
      </c>
      <c r="K42" s="38">
        <f t="shared" si="9"/>
        <v>0</v>
      </c>
      <c r="L42" s="38">
        <f t="shared" si="10"/>
        <v>0</v>
      </c>
      <c r="M42" s="38">
        <f t="shared" si="11"/>
        <v>0</v>
      </c>
      <c r="N42" s="38">
        <f t="shared" si="12"/>
        <v>0</v>
      </c>
      <c r="O42" s="38" t="e">
        <f t="shared" si="13"/>
        <v>#DIV/0!</v>
      </c>
      <c r="P42" s="38" t="e">
        <f t="shared" si="14"/>
        <v>#DIV/0!</v>
      </c>
      <c r="Q42" s="38" t="e">
        <f t="shared" si="15"/>
        <v>#DIV/0!</v>
      </c>
      <c r="R42" s="24" t="e">
        <f t="shared" si="16"/>
        <v>#DIV/0!</v>
      </c>
      <c r="AB42" s="26"/>
      <c r="AC42" s="26"/>
      <c r="AD42" s="140"/>
      <c r="AE42" s="140"/>
      <c r="AF42" s="95"/>
    </row>
    <row r="43" spans="1:41" x14ac:dyDescent="0.25">
      <c r="A43" s="13" t="s">
        <v>145</v>
      </c>
      <c r="B43" s="67">
        <f>'Area&amp;production data'!H11</f>
        <v>0</v>
      </c>
      <c r="C43" s="169">
        <f>'Area&amp;production data'!BE11</f>
        <v>0</v>
      </c>
      <c r="D43" s="169">
        <f>'Area&amp;production data'!BF11</f>
        <v>0</v>
      </c>
      <c r="E43" s="169">
        <f>'Area&amp;production data'!BG11</f>
        <v>0</v>
      </c>
      <c r="F43" s="25">
        <f t="shared" si="7"/>
        <v>0</v>
      </c>
      <c r="G43" s="180">
        <f t="shared" si="2"/>
        <v>0</v>
      </c>
      <c r="H43" s="180">
        <f t="shared" si="3"/>
        <v>6.0276930746197266</v>
      </c>
      <c r="I43" s="180">
        <f t="shared" si="4"/>
        <v>14.064637724715219</v>
      </c>
      <c r="J43" s="81">
        <f t="shared" si="8"/>
        <v>0</v>
      </c>
      <c r="K43" s="38">
        <f t="shared" si="9"/>
        <v>0</v>
      </c>
      <c r="L43" s="38">
        <f t="shared" si="10"/>
        <v>0</v>
      </c>
      <c r="M43" s="38">
        <f t="shared" si="11"/>
        <v>0</v>
      </c>
      <c r="N43" s="38">
        <f t="shared" si="12"/>
        <v>0</v>
      </c>
      <c r="O43" s="38" t="e">
        <f t="shared" si="13"/>
        <v>#DIV/0!</v>
      </c>
      <c r="P43" s="38" t="e">
        <f t="shared" si="14"/>
        <v>#DIV/0!</v>
      </c>
      <c r="Q43" s="38" t="e">
        <f t="shared" si="15"/>
        <v>#DIV/0!</v>
      </c>
      <c r="R43" s="24" t="e">
        <f t="shared" si="16"/>
        <v>#DIV/0!</v>
      </c>
    </row>
    <row r="44" spans="1:41" x14ac:dyDescent="0.25">
      <c r="A44" s="13" t="s">
        <v>146</v>
      </c>
      <c r="B44" s="67">
        <f>'Area&amp;production data'!H12</f>
        <v>0</v>
      </c>
      <c r="C44" s="169">
        <f>'Area&amp;production data'!BE12</f>
        <v>0</v>
      </c>
      <c r="D44" s="169">
        <f>'Area&amp;production data'!BF12</f>
        <v>0</v>
      </c>
      <c r="E44" s="169">
        <f>'Area&amp;production data'!BG12</f>
        <v>0</v>
      </c>
      <c r="F44" s="25">
        <f t="shared" si="7"/>
        <v>0</v>
      </c>
      <c r="G44" s="180">
        <f t="shared" si="2"/>
        <v>0</v>
      </c>
      <c r="H44" s="180">
        <f t="shared" si="3"/>
        <v>6.1502982115060334</v>
      </c>
      <c r="I44" s="180">
        <f t="shared" si="4"/>
        <v>14.350709012815294</v>
      </c>
      <c r="J44" s="81">
        <f t="shared" si="8"/>
        <v>0</v>
      </c>
      <c r="K44" s="38">
        <f t="shared" si="9"/>
        <v>0</v>
      </c>
      <c r="L44" s="38">
        <f t="shared" si="10"/>
        <v>0</v>
      </c>
      <c r="M44" s="38">
        <f t="shared" si="11"/>
        <v>0</v>
      </c>
      <c r="N44" s="38">
        <f t="shared" si="12"/>
        <v>0</v>
      </c>
      <c r="O44" s="38" t="e">
        <f t="shared" si="13"/>
        <v>#DIV/0!</v>
      </c>
      <c r="P44" s="38" t="e">
        <f t="shared" si="14"/>
        <v>#DIV/0!</v>
      </c>
      <c r="Q44" s="38" t="e">
        <f t="shared" si="15"/>
        <v>#DIV/0!</v>
      </c>
      <c r="R44" s="24" t="e">
        <f t="shared" si="16"/>
        <v>#DIV/0!</v>
      </c>
    </row>
    <row r="45" spans="1:41" x14ac:dyDescent="0.25">
      <c r="A45" s="13" t="s">
        <v>147</v>
      </c>
      <c r="B45" s="67">
        <f>'Area&amp;production data'!H13</f>
        <v>0</v>
      </c>
      <c r="C45" s="169">
        <f>'Area&amp;production data'!BE13</f>
        <v>0</v>
      </c>
      <c r="D45" s="169">
        <f>'Area&amp;production data'!BF13</f>
        <v>0</v>
      </c>
      <c r="E45" s="169">
        <f>'Area&amp;production data'!BG13</f>
        <v>0</v>
      </c>
      <c r="F45" s="25">
        <f t="shared" si="7"/>
        <v>0</v>
      </c>
      <c r="G45" s="180">
        <f t="shared" si="2"/>
        <v>0</v>
      </c>
      <c r="H45" s="180">
        <f t="shared" si="3"/>
        <v>4.4614416005757889</v>
      </c>
      <c r="I45" s="180">
        <f t="shared" si="4"/>
        <v>10.410044992335568</v>
      </c>
      <c r="J45" s="81">
        <f t="shared" si="8"/>
        <v>0</v>
      </c>
      <c r="K45" s="38">
        <f t="shared" si="9"/>
        <v>0</v>
      </c>
      <c r="L45" s="38">
        <f t="shared" si="10"/>
        <v>0</v>
      </c>
      <c r="M45" s="38">
        <f t="shared" si="11"/>
        <v>0</v>
      </c>
      <c r="N45" s="38">
        <f t="shared" si="12"/>
        <v>0</v>
      </c>
      <c r="O45" s="38" t="e">
        <f t="shared" si="13"/>
        <v>#DIV/0!</v>
      </c>
      <c r="P45" s="38" t="e">
        <f t="shared" si="14"/>
        <v>#DIV/0!</v>
      </c>
      <c r="Q45" s="38" t="e">
        <f t="shared" si="15"/>
        <v>#DIV/0!</v>
      </c>
      <c r="R45" s="24" t="e">
        <f t="shared" si="16"/>
        <v>#DIV/0!</v>
      </c>
    </row>
    <row r="46" spans="1:41" x14ac:dyDescent="0.25">
      <c r="A46" s="13" t="s">
        <v>148</v>
      </c>
      <c r="B46" s="67">
        <f>'Area&amp;production data'!H14</f>
        <v>0</v>
      </c>
      <c r="C46" s="169">
        <f>'Area&amp;production data'!BE14</f>
        <v>0</v>
      </c>
      <c r="D46" s="169">
        <f>'Area&amp;production data'!BF14</f>
        <v>0</v>
      </c>
      <c r="E46" s="169">
        <f>'Area&amp;production data'!BG14</f>
        <v>0</v>
      </c>
      <c r="F46" s="25">
        <f t="shared" si="7"/>
        <v>0</v>
      </c>
      <c r="G46" s="180">
        <f t="shared" si="2"/>
        <v>0</v>
      </c>
      <c r="H46" s="180">
        <f t="shared" si="3"/>
        <v>5.1567604437703025</v>
      </c>
      <c r="I46" s="180">
        <f t="shared" si="4"/>
        <v>12.52357074814385</v>
      </c>
      <c r="J46" s="81">
        <f t="shared" si="8"/>
        <v>0</v>
      </c>
      <c r="K46" s="38">
        <f t="shared" si="9"/>
        <v>0</v>
      </c>
      <c r="L46" s="38">
        <f t="shared" si="10"/>
        <v>0</v>
      </c>
      <c r="M46" s="38">
        <f t="shared" si="11"/>
        <v>0</v>
      </c>
      <c r="N46" s="38">
        <f t="shared" si="12"/>
        <v>0</v>
      </c>
      <c r="O46" s="38" t="e">
        <f t="shared" si="13"/>
        <v>#DIV/0!</v>
      </c>
      <c r="P46" s="38" t="e">
        <f t="shared" si="14"/>
        <v>#DIV/0!</v>
      </c>
      <c r="Q46" s="38" t="e">
        <f t="shared" si="15"/>
        <v>#DIV/0!</v>
      </c>
      <c r="R46" s="24" t="e">
        <f t="shared" si="16"/>
        <v>#DIV/0!</v>
      </c>
    </row>
    <row r="47" spans="1:41" x14ac:dyDescent="0.25">
      <c r="A47" s="13" t="s">
        <v>149</v>
      </c>
      <c r="B47" s="67">
        <f>'Area&amp;production data'!H15</f>
        <v>0</v>
      </c>
      <c r="C47" s="169">
        <f>'Area&amp;production data'!BE15</f>
        <v>0</v>
      </c>
      <c r="D47" s="169">
        <f>'Area&amp;production data'!BF15</f>
        <v>0</v>
      </c>
      <c r="E47" s="169">
        <f>'Area&amp;production data'!BG15</f>
        <v>0</v>
      </c>
      <c r="F47" s="25">
        <f t="shared" si="7"/>
        <v>0</v>
      </c>
      <c r="G47" s="180">
        <f t="shared" si="2"/>
        <v>0</v>
      </c>
      <c r="H47" s="180">
        <f t="shared" si="3"/>
        <v>4.8286057668327835</v>
      </c>
      <c r="I47" s="180">
        <f t="shared" si="4"/>
        <v>11.726622241786938</v>
      </c>
      <c r="J47" s="81">
        <f t="shared" si="8"/>
        <v>0</v>
      </c>
      <c r="K47" s="38">
        <f t="shared" si="9"/>
        <v>0</v>
      </c>
      <c r="L47" s="38">
        <f t="shared" si="10"/>
        <v>0</v>
      </c>
      <c r="M47" s="38">
        <f t="shared" si="11"/>
        <v>0</v>
      </c>
      <c r="N47" s="38">
        <f t="shared" si="12"/>
        <v>0</v>
      </c>
      <c r="O47" s="38" t="e">
        <f t="shared" si="13"/>
        <v>#DIV/0!</v>
      </c>
      <c r="P47" s="38" t="e">
        <f t="shared" si="14"/>
        <v>#DIV/0!</v>
      </c>
      <c r="Q47" s="38" t="e">
        <f t="shared" si="15"/>
        <v>#DIV/0!</v>
      </c>
      <c r="R47" s="24" t="e">
        <f t="shared" si="16"/>
        <v>#DIV/0!</v>
      </c>
      <c r="T47" s="1"/>
    </row>
    <row r="48" spans="1:41" x14ac:dyDescent="0.25">
      <c r="A48" s="13" t="s">
        <v>150</v>
      </c>
      <c r="B48" s="67">
        <f>'Area&amp;production data'!H16</f>
        <v>0</v>
      </c>
      <c r="C48" s="169">
        <f>'Area&amp;production data'!BE16</f>
        <v>0</v>
      </c>
      <c r="D48" s="169">
        <f>'Area&amp;production data'!BF16</f>
        <v>0</v>
      </c>
      <c r="E48" s="169">
        <f>'Area&amp;production data'!BG16</f>
        <v>0</v>
      </c>
      <c r="F48" s="25">
        <f t="shared" si="7"/>
        <v>0</v>
      </c>
      <c r="G48" s="180">
        <f t="shared" si="2"/>
        <v>0</v>
      </c>
      <c r="H48" s="180">
        <f t="shared" si="3"/>
        <v>5.7114301063300275</v>
      </c>
      <c r="I48" s="180">
        <f t="shared" si="4"/>
        <v>13.870623601642144</v>
      </c>
      <c r="J48" s="81">
        <f t="shared" si="8"/>
        <v>0</v>
      </c>
      <c r="K48" s="38">
        <f t="shared" si="9"/>
        <v>0</v>
      </c>
      <c r="L48" s="38">
        <f t="shared" si="10"/>
        <v>0</v>
      </c>
      <c r="M48" s="38">
        <f t="shared" si="11"/>
        <v>0</v>
      </c>
      <c r="N48" s="38">
        <f t="shared" si="12"/>
        <v>0</v>
      </c>
      <c r="O48" s="38" t="e">
        <f t="shared" si="13"/>
        <v>#DIV/0!</v>
      </c>
      <c r="P48" s="38" t="e">
        <f t="shared" si="14"/>
        <v>#DIV/0!</v>
      </c>
      <c r="Q48" s="38" t="e">
        <f t="shared" si="15"/>
        <v>#DIV/0!</v>
      </c>
      <c r="R48" s="24" t="e">
        <f t="shared" si="16"/>
        <v>#DIV/0!</v>
      </c>
      <c r="U48" s="1"/>
      <c r="X48" s="2"/>
      <c r="Y48" s="2"/>
      <c r="AA48" s="76"/>
      <c r="AB48" s="76"/>
    </row>
    <row r="49" spans="1:31" s="1" customFormat="1" x14ac:dyDescent="0.25">
      <c r="A49" s="13" t="s">
        <v>151</v>
      </c>
      <c r="B49" s="67">
        <f>'Area&amp;production data'!H17</f>
        <v>0</v>
      </c>
      <c r="C49" s="169">
        <f>'Area&amp;production data'!BE17</f>
        <v>0</v>
      </c>
      <c r="D49" s="169">
        <f>'Area&amp;production data'!BF17</f>
        <v>0</v>
      </c>
      <c r="E49" s="169">
        <f>'Area&amp;production data'!BG17</f>
        <v>0</v>
      </c>
      <c r="F49" s="25">
        <f t="shared" si="7"/>
        <v>0</v>
      </c>
      <c r="G49" s="180">
        <f t="shared" si="2"/>
        <v>0</v>
      </c>
      <c r="H49" s="180">
        <f t="shared" si="3"/>
        <v>4.508233533534419</v>
      </c>
      <c r="I49" s="180">
        <f t="shared" si="4"/>
        <v>10.948564910823496</v>
      </c>
      <c r="J49" s="81">
        <f t="shared" si="8"/>
        <v>0</v>
      </c>
      <c r="K49" s="38">
        <f t="shared" si="9"/>
        <v>0</v>
      </c>
      <c r="L49" s="38">
        <f t="shared" si="10"/>
        <v>0</v>
      </c>
      <c r="M49" s="38">
        <f t="shared" si="11"/>
        <v>0</v>
      </c>
      <c r="N49" s="38">
        <f t="shared" si="12"/>
        <v>0</v>
      </c>
      <c r="O49" s="38" t="e">
        <f t="shared" si="13"/>
        <v>#DIV/0!</v>
      </c>
      <c r="P49" s="38" t="e">
        <f t="shared" si="14"/>
        <v>#DIV/0!</v>
      </c>
      <c r="Q49" s="38" t="e">
        <f t="shared" si="15"/>
        <v>#DIV/0!</v>
      </c>
      <c r="R49" s="24" t="e">
        <f t="shared" si="16"/>
        <v>#DIV/0!</v>
      </c>
      <c r="S49"/>
      <c r="T49"/>
      <c r="V49" s="189"/>
      <c r="Z49"/>
      <c r="AA49"/>
      <c r="AB49"/>
      <c r="AC49"/>
      <c r="AD49"/>
      <c r="AE49"/>
    </row>
    <row r="50" spans="1:31" x14ac:dyDescent="0.25">
      <c r="A50" s="13" t="s">
        <v>152</v>
      </c>
      <c r="B50" s="67">
        <f>'Area&amp;production data'!H18</f>
        <v>0</v>
      </c>
      <c r="C50" s="169">
        <f>'Area&amp;production data'!BE18</f>
        <v>0</v>
      </c>
      <c r="D50" s="169">
        <f>'Area&amp;production data'!BF18</f>
        <v>0</v>
      </c>
      <c r="E50" s="169">
        <f>'Area&amp;production data'!BG18</f>
        <v>0</v>
      </c>
      <c r="F50" s="25">
        <f t="shared" si="7"/>
        <v>0</v>
      </c>
      <c r="G50" s="180">
        <f t="shared" si="2"/>
        <v>0</v>
      </c>
      <c r="H50" s="180">
        <f t="shared" si="3"/>
        <v>5.2320253450202081</v>
      </c>
      <c r="I50" s="180">
        <f t="shared" si="4"/>
        <v>12.706362044938835</v>
      </c>
      <c r="J50" s="81">
        <f t="shared" si="8"/>
        <v>0</v>
      </c>
      <c r="K50" s="38">
        <f t="shared" si="9"/>
        <v>0</v>
      </c>
      <c r="L50" s="38">
        <f t="shared" si="10"/>
        <v>0</v>
      </c>
      <c r="M50" s="38">
        <f t="shared" si="11"/>
        <v>0</v>
      </c>
      <c r="N50" s="38">
        <f t="shared" si="12"/>
        <v>0</v>
      </c>
      <c r="O50" s="38" t="e">
        <f t="shared" si="13"/>
        <v>#DIV/0!</v>
      </c>
      <c r="P50" s="38" t="e">
        <f t="shared" si="14"/>
        <v>#DIV/0!</v>
      </c>
      <c r="Q50" s="38" t="e">
        <f t="shared" si="15"/>
        <v>#DIV/0!</v>
      </c>
      <c r="R50" s="24" t="e">
        <f t="shared" si="16"/>
        <v>#DIV/0!</v>
      </c>
    </row>
    <row r="51" spans="1:31" x14ac:dyDescent="0.25">
      <c r="A51" s="13" t="s">
        <v>153</v>
      </c>
      <c r="B51" s="67">
        <f>'Area&amp;production data'!H19</f>
        <v>0</v>
      </c>
      <c r="C51" s="169">
        <f>'Area&amp;production data'!BE19</f>
        <v>0</v>
      </c>
      <c r="D51" s="169">
        <f>'Area&amp;production data'!BF19</f>
        <v>0</v>
      </c>
      <c r="E51" s="169">
        <f>'Area&amp;production data'!BG19</f>
        <v>0</v>
      </c>
      <c r="F51" s="25">
        <f t="shared" si="7"/>
        <v>0</v>
      </c>
      <c r="G51" s="180">
        <f t="shared" si="2"/>
        <v>0</v>
      </c>
      <c r="H51" s="180">
        <f t="shared" si="3"/>
        <v>8.6298322205418643</v>
      </c>
      <c r="I51" s="180">
        <f t="shared" si="4"/>
        <v>20.958172442424136</v>
      </c>
      <c r="J51" s="81">
        <f t="shared" si="8"/>
        <v>0</v>
      </c>
      <c r="K51" s="38">
        <f t="shared" si="9"/>
        <v>0</v>
      </c>
      <c r="L51" s="38">
        <f t="shared" si="10"/>
        <v>0</v>
      </c>
      <c r="M51" s="38">
        <f t="shared" si="11"/>
        <v>0</v>
      </c>
      <c r="N51" s="38">
        <f t="shared" si="12"/>
        <v>0</v>
      </c>
      <c r="O51" s="38" t="e">
        <f t="shared" si="13"/>
        <v>#DIV/0!</v>
      </c>
      <c r="P51" s="38" t="e">
        <f t="shared" si="14"/>
        <v>#DIV/0!</v>
      </c>
      <c r="Q51" s="38" t="e">
        <f t="shared" si="15"/>
        <v>#DIV/0!</v>
      </c>
      <c r="R51" s="24" t="e">
        <f t="shared" si="16"/>
        <v>#DIV/0!</v>
      </c>
      <c r="S51" s="39" t="e">
        <f>SUM(O61:Q61)=R61</f>
        <v>#DIV/0!</v>
      </c>
    </row>
    <row r="52" spans="1:31" x14ac:dyDescent="0.25">
      <c r="A52" s="13" t="s">
        <v>154</v>
      </c>
      <c r="B52" s="67">
        <f>'Area&amp;production data'!H20</f>
        <v>0</v>
      </c>
      <c r="C52" s="169">
        <f>'Area&amp;production data'!BE20</f>
        <v>0</v>
      </c>
      <c r="D52" s="169">
        <f>'Area&amp;production data'!BF20</f>
        <v>0</v>
      </c>
      <c r="E52" s="169">
        <f>'Area&amp;production data'!BG20</f>
        <v>0</v>
      </c>
      <c r="F52" s="25">
        <f t="shared" si="7"/>
        <v>0</v>
      </c>
      <c r="G52" s="180">
        <f t="shared" si="2"/>
        <v>0</v>
      </c>
      <c r="H52" s="180">
        <f t="shared" si="3"/>
        <v>5.6611295169321849</v>
      </c>
      <c r="I52" s="180">
        <f t="shared" si="4"/>
        <v>13.748461775730053</v>
      </c>
      <c r="J52" s="81">
        <f t="shared" si="8"/>
        <v>0</v>
      </c>
      <c r="K52" s="38">
        <f t="shared" si="9"/>
        <v>0</v>
      </c>
      <c r="L52" s="38">
        <f t="shared" si="10"/>
        <v>0</v>
      </c>
      <c r="M52" s="38">
        <f t="shared" si="11"/>
        <v>0</v>
      </c>
      <c r="N52" s="38">
        <f t="shared" si="12"/>
        <v>0</v>
      </c>
      <c r="O52" s="38" t="e">
        <f t="shared" si="13"/>
        <v>#DIV/0!</v>
      </c>
      <c r="P52" s="38" t="e">
        <f t="shared" si="14"/>
        <v>#DIV/0!</v>
      </c>
      <c r="Q52" s="38" t="e">
        <f t="shared" si="15"/>
        <v>#DIV/0!</v>
      </c>
      <c r="R52" s="24" t="e">
        <f t="shared" si="16"/>
        <v>#DIV/0!</v>
      </c>
    </row>
    <row r="53" spans="1:31" x14ac:dyDescent="0.25">
      <c r="A53" s="13" t="s">
        <v>155</v>
      </c>
      <c r="B53" s="67">
        <f>'Area&amp;production data'!H21</f>
        <v>0</v>
      </c>
      <c r="C53" s="169">
        <f>'Area&amp;production data'!BE21</f>
        <v>0</v>
      </c>
      <c r="D53" s="169">
        <f>'Area&amp;production data'!BF21</f>
        <v>0</v>
      </c>
      <c r="E53" s="169">
        <f>'Area&amp;production data'!BG21</f>
        <v>0</v>
      </c>
      <c r="F53" s="25">
        <f t="shared" si="7"/>
        <v>0</v>
      </c>
      <c r="G53" s="180">
        <f t="shared" si="2"/>
        <v>0</v>
      </c>
      <c r="H53" s="180">
        <f t="shared" si="3"/>
        <v>5.5976049392074287</v>
      </c>
      <c r="I53" s="180">
        <f t="shared" si="4"/>
        <v>13.594190904609476</v>
      </c>
      <c r="J53" s="81">
        <f t="shared" si="8"/>
        <v>0</v>
      </c>
      <c r="K53" s="38">
        <f t="shared" si="9"/>
        <v>0</v>
      </c>
      <c r="L53" s="38">
        <f t="shared" si="10"/>
        <v>0</v>
      </c>
      <c r="M53" s="38">
        <f t="shared" si="11"/>
        <v>0</v>
      </c>
      <c r="N53" s="38">
        <f t="shared" si="12"/>
        <v>0</v>
      </c>
      <c r="O53" s="38" t="e">
        <f t="shared" si="13"/>
        <v>#DIV/0!</v>
      </c>
      <c r="P53" s="38" t="e">
        <f t="shared" si="14"/>
        <v>#DIV/0!</v>
      </c>
      <c r="Q53" s="38" t="e">
        <f t="shared" si="15"/>
        <v>#DIV/0!</v>
      </c>
      <c r="R53" s="24" t="e">
        <f t="shared" si="16"/>
        <v>#DIV/0!</v>
      </c>
    </row>
    <row r="54" spans="1:31" x14ac:dyDescent="0.25">
      <c r="A54" s="13" t="s">
        <v>156</v>
      </c>
      <c r="B54" s="67">
        <f>'Area&amp;production data'!H22</f>
        <v>0</v>
      </c>
      <c r="C54" s="169">
        <f>'Area&amp;production data'!BE22</f>
        <v>0</v>
      </c>
      <c r="D54" s="169">
        <f>'Area&amp;production data'!BF22</f>
        <v>0</v>
      </c>
      <c r="E54" s="169">
        <f>'Area&amp;production data'!BG22</f>
        <v>0</v>
      </c>
      <c r="F54" s="25">
        <f t="shared" si="7"/>
        <v>0</v>
      </c>
      <c r="G54" s="180">
        <f t="shared" si="2"/>
        <v>0</v>
      </c>
      <c r="H54" s="180">
        <f t="shared" si="3"/>
        <v>6.0587196927271485</v>
      </c>
      <c r="I54" s="180">
        <f t="shared" si="4"/>
        <v>14.714041918734964</v>
      </c>
      <c r="J54" s="81">
        <f t="shared" si="8"/>
        <v>0</v>
      </c>
      <c r="K54" s="38">
        <f t="shared" si="9"/>
        <v>0</v>
      </c>
      <c r="L54" s="38">
        <f t="shared" si="10"/>
        <v>0</v>
      </c>
      <c r="M54" s="38">
        <f t="shared" si="11"/>
        <v>0</v>
      </c>
      <c r="N54" s="38">
        <f t="shared" si="12"/>
        <v>0</v>
      </c>
      <c r="O54" s="38" t="e">
        <f t="shared" si="13"/>
        <v>#DIV/0!</v>
      </c>
      <c r="P54" s="38" t="e">
        <f t="shared" si="14"/>
        <v>#DIV/0!</v>
      </c>
      <c r="Q54" s="38" t="e">
        <f t="shared" si="15"/>
        <v>#DIV/0!</v>
      </c>
      <c r="R54" s="24" t="e">
        <f t="shared" si="16"/>
        <v>#DIV/0!</v>
      </c>
      <c r="S54" s="17" t="s">
        <v>120</v>
      </c>
      <c r="T54" s="44"/>
      <c r="U54" s="22"/>
    </row>
    <row r="55" spans="1:31" x14ac:dyDescent="0.25">
      <c r="A55" s="13" t="s">
        <v>157</v>
      </c>
      <c r="B55" s="67">
        <f>'Area&amp;production data'!H23</f>
        <v>0</v>
      </c>
      <c r="C55" s="169">
        <f>'Area&amp;production data'!BE23</f>
        <v>0</v>
      </c>
      <c r="D55" s="169">
        <f>'Area&amp;production data'!BF23</f>
        <v>0</v>
      </c>
      <c r="E55" s="169">
        <f>'Area&amp;production data'!BG23</f>
        <v>0</v>
      </c>
      <c r="F55" s="25">
        <f t="shared" si="7"/>
        <v>0</v>
      </c>
      <c r="G55" s="180">
        <f t="shared" si="2"/>
        <v>0</v>
      </c>
      <c r="H55" s="180">
        <f t="shared" si="3"/>
        <v>8.580890607032007</v>
      </c>
      <c r="I55" s="180">
        <f t="shared" si="4"/>
        <v>18.115214579738936</v>
      </c>
      <c r="J55" s="81">
        <f t="shared" si="8"/>
        <v>0</v>
      </c>
      <c r="K55" s="38">
        <f t="shared" si="9"/>
        <v>0</v>
      </c>
      <c r="L55" s="38">
        <f t="shared" si="10"/>
        <v>0</v>
      </c>
      <c r="M55" s="38">
        <f t="shared" si="11"/>
        <v>0</v>
      </c>
      <c r="N55" s="38">
        <f t="shared" si="12"/>
        <v>0</v>
      </c>
      <c r="O55" s="38" t="e">
        <f t="shared" si="13"/>
        <v>#DIV/0!</v>
      </c>
      <c r="P55" s="38" t="e">
        <f t="shared" si="14"/>
        <v>#DIV/0!</v>
      </c>
      <c r="Q55" s="38" t="e">
        <f t="shared" si="15"/>
        <v>#DIV/0!</v>
      </c>
      <c r="R55" s="24" t="e">
        <f t="shared" si="16"/>
        <v>#DIV/0!</v>
      </c>
    </row>
    <row r="56" spans="1:31" x14ac:dyDescent="0.25">
      <c r="A56" s="13" t="s">
        <v>158</v>
      </c>
      <c r="B56" s="67">
        <f>'Area&amp;production data'!H24</f>
        <v>0</v>
      </c>
      <c r="C56" s="169">
        <f>'Area&amp;production data'!BE24</f>
        <v>0</v>
      </c>
      <c r="D56" s="169">
        <f>'Area&amp;production data'!BF24</f>
        <v>0</v>
      </c>
      <c r="E56" s="169">
        <f>'Area&amp;production data'!BG24</f>
        <v>0</v>
      </c>
      <c r="F56" s="25">
        <f t="shared" si="7"/>
        <v>0</v>
      </c>
      <c r="G56" s="180">
        <f t="shared" si="2"/>
        <v>0</v>
      </c>
      <c r="H56" s="180">
        <f t="shared" si="3"/>
        <v>8.9828486774850447</v>
      </c>
      <c r="I56" s="180">
        <f t="shared" si="4"/>
        <v>18.963800620158413</v>
      </c>
      <c r="J56" s="81">
        <f t="shared" si="8"/>
        <v>0</v>
      </c>
      <c r="K56" s="38">
        <f t="shared" si="9"/>
        <v>0</v>
      </c>
      <c r="L56" s="38">
        <f t="shared" si="10"/>
        <v>0</v>
      </c>
      <c r="M56" s="38">
        <f t="shared" si="11"/>
        <v>0</v>
      </c>
      <c r="N56" s="38">
        <f t="shared" si="12"/>
        <v>0</v>
      </c>
      <c r="O56" s="38" t="e">
        <f t="shared" si="13"/>
        <v>#DIV/0!</v>
      </c>
      <c r="P56" s="38" t="e">
        <f t="shared" si="14"/>
        <v>#DIV/0!</v>
      </c>
      <c r="Q56" s="38" t="e">
        <f t="shared" si="15"/>
        <v>#DIV/0!</v>
      </c>
      <c r="R56" s="24" t="e">
        <f t="shared" si="16"/>
        <v>#DIV/0!</v>
      </c>
    </row>
    <row r="57" spans="1:31" x14ac:dyDescent="0.25">
      <c r="A57" s="13" t="s">
        <v>159</v>
      </c>
      <c r="B57" s="67">
        <f>'Area&amp;production data'!H25</f>
        <v>0</v>
      </c>
      <c r="C57" s="169">
        <f>'Area&amp;production data'!BE25</f>
        <v>0</v>
      </c>
      <c r="D57" s="169">
        <f>'Area&amp;production data'!BF25</f>
        <v>0</v>
      </c>
      <c r="E57" s="169">
        <f>'Area&amp;production data'!BG25</f>
        <v>0</v>
      </c>
      <c r="F57" s="25">
        <f t="shared" si="7"/>
        <v>0</v>
      </c>
      <c r="G57" s="180">
        <f t="shared" si="2"/>
        <v>0</v>
      </c>
      <c r="H57" s="180">
        <f t="shared" si="3"/>
        <v>7.2628076367676258</v>
      </c>
      <c r="I57" s="180">
        <f t="shared" si="4"/>
        <v>15.332594621506132</v>
      </c>
      <c r="J57" s="81">
        <f t="shared" si="8"/>
        <v>0</v>
      </c>
      <c r="K57" s="38">
        <f t="shared" si="9"/>
        <v>0</v>
      </c>
      <c r="L57" s="38">
        <f t="shared" si="10"/>
        <v>0</v>
      </c>
      <c r="M57" s="38">
        <f t="shared" si="11"/>
        <v>0</v>
      </c>
      <c r="N57" s="38">
        <f t="shared" si="12"/>
        <v>0</v>
      </c>
      <c r="O57" s="38" t="e">
        <f t="shared" si="13"/>
        <v>#DIV/0!</v>
      </c>
      <c r="P57" s="38" t="e">
        <f t="shared" si="14"/>
        <v>#DIV/0!</v>
      </c>
      <c r="Q57" s="38" t="e">
        <f t="shared" si="15"/>
        <v>#DIV/0!</v>
      </c>
      <c r="R57" s="24" t="e">
        <f t="shared" si="16"/>
        <v>#DIV/0!</v>
      </c>
    </row>
    <row r="58" spans="1:31" x14ac:dyDescent="0.25">
      <c r="A58" s="13" t="s">
        <v>160</v>
      </c>
      <c r="B58" s="67">
        <f>'Area&amp;production data'!H26</f>
        <v>0</v>
      </c>
      <c r="C58" s="169">
        <f>'Area&amp;production data'!BE26</f>
        <v>0</v>
      </c>
      <c r="D58" s="169">
        <f>'Area&amp;production data'!BF26</f>
        <v>0</v>
      </c>
      <c r="E58" s="169">
        <f>'Area&amp;production data'!BG26</f>
        <v>0</v>
      </c>
      <c r="F58" s="25">
        <f t="shared" si="7"/>
        <v>0</v>
      </c>
      <c r="G58" s="180">
        <f t="shared" si="2"/>
        <v>0</v>
      </c>
      <c r="H58" s="180">
        <f t="shared" si="3"/>
        <v>9.7175206334352069</v>
      </c>
      <c r="I58" s="180">
        <f t="shared" si="4"/>
        <v>20.514767182183924</v>
      </c>
      <c r="J58" s="81">
        <f t="shared" si="8"/>
        <v>0</v>
      </c>
      <c r="K58" s="38">
        <f t="shared" si="9"/>
        <v>0</v>
      </c>
      <c r="L58" s="38">
        <f t="shared" si="10"/>
        <v>0</v>
      </c>
      <c r="M58" s="38">
        <f t="shared" si="11"/>
        <v>0</v>
      </c>
      <c r="N58" s="38">
        <f t="shared" si="12"/>
        <v>0</v>
      </c>
      <c r="O58" s="38" t="e">
        <f t="shared" si="13"/>
        <v>#DIV/0!</v>
      </c>
      <c r="P58" s="38" t="e">
        <f t="shared" si="14"/>
        <v>#DIV/0!</v>
      </c>
      <c r="Q58" s="38" t="e">
        <f t="shared" si="15"/>
        <v>#DIV/0!</v>
      </c>
      <c r="R58" s="24" t="e">
        <f t="shared" si="16"/>
        <v>#DIV/0!</v>
      </c>
      <c r="W58" s="1"/>
      <c r="X58" s="1"/>
      <c r="Y58" s="1"/>
    </row>
    <row r="59" spans="1:31" x14ac:dyDescent="0.25">
      <c r="A59" s="13" t="s">
        <v>161</v>
      </c>
      <c r="B59" s="67">
        <f>'Area&amp;production data'!H27</f>
        <v>0</v>
      </c>
      <c r="C59" s="169">
        <f>'Area&amp;production data'!BE27</f>
        <v>0</v>
      </c>
      <c r="D59" s="169">
        <f>'Area&amp;production data'!BF27</f>
        <v>0</v>
      </c>
      <c r="E59" s="169">
        <f>'Area&amp;production data'!BG27</f>
        <v>0</v>
      </c>
      <c r="F59" s="25">
        <f t="shared" si="7"/>
        <v>0</v>
      </c>
      <c r="G59" s="180">
        <f t="shared" si="2"/>
        <v>0</v>
      </c>
      <c r="H59" s="180">
        <f t="shared" si="3"/>
        <v>3.7536586403212198</v>
      </c>
      <c r="I59" s="180">
        <f t="shared" si="4"/>
        <v>7.9243904003726886</v>
      </c>
      <c r="J59" s="81">
        <f t="shared" si="8"/>
        <v>0</v>
      </c>
      <c r="K59" s="38">
        <f t="shared" si="9"/>
        <v>0</v>
      </c>
      <c r="L59" s="38">
        <f t="shared" si="10"/>
        <v>0</v>
      </c>
      <c r="M59" s="38">
        <f t="shared" si="11"/>
        <v>0</v>
      </c>
      <c r="N59" s="38">
        <f t="shared" si="12"/>
        <v>0</v>
      </c>
      <c r="O59" s="38" t="e">
        <f t="shared" si="13"/>
        <v>#DIV/0!</v>
      </c>
      <c r="P59" s="38" t="e">
        <f t="shared" si="14"/>
        <v>#DIV/0!</v>
      </c>
      <c r="Q59" s="38" t="e">
        <f t="shared" si="15"/>
        <v>#DIV/0!</v>
      </c>
      <c r="R59" s="24" t="e">
        <f t="shared" si="16"/>
        <v>#DIV/0!</v>
      </c>
      <c r="V59" s="1"/>
      <c r="W59" s="126"/>
    </row>
    <row r="60" spans="1:31" x14ac:dyDescent="0.25">
      <c r="A60" s="13" t="s">
        <v>162</v>
      </c>
      <c r="B60" s="67">
        <f>'Area&amp;production data'!H28</f>
        <v>0</v>
      </c>
      <c r="C60" s="169">
        <f>'Area&amp;production data'!BE28</f>
        <v>0</v>
      </c>
      <c r="D60" s="169">
        <f>'Area&amp;production data'!BF28</f>
        <v>0</v>
      </c>
      <c r="E60" s="169">
        <f>'Area&amp;production data'!BG28</f>
        <v>0</v>
      </c>
      <c r="F60" s="25">
        <f t="shared" si="7"/>
        <v>0</v>
      </c>
      <c r="G60" s="180">
        <f t="shared" si="2"/>
        <v>0</v>
      </c>
      <c r="H60" s="180">
        <f t="shared" si="3"/>
        <v>4.2031568311221363</v>
      </c>
      <c r="I60" s="180">
        <f t="shared" si="4"/>
        <v>8.8733310001748773</v>
      </c>
      <c r="J60" s="81">
        <f t="shared" si="8"/>
        <v>0</v>
      </c>
      <c r="K60" s="38">
        <f t="shared" si="9"/>
        <v>0</v>
      </c>
      <c r="L60" s="38">
        <f t="shared" si="10"/>
        <v>0</v>
      </c>
      <c r="M60" s="38">
        <f t="shared" si="11"/>
        <v>0</v>
      </c>
      <c r="N60" s="38">
        <f t="shared" si="12"/>
        <v>0</v>
      </c>
      <c r="O60" s="38" t="e">
        <f t="shared" si="13"/>
        <v>#DIV/0!</v>
      </c>
      <c r="P60" s="38" t="e">
        <f t="shared" si="14"/>
        <v>#DIV/0!</v>
      </c>
      <c r="Q60" s="38" t="e">
        <f t="shared" si="15"/>
        <v>#DIV/0!</v>
      </c>
      <c r="R60" s="24" t="e">
        <f t="shared" si="16"/>
        <v>#DIV/0!</v>
      </c>
      <c r="V60" s="1"/>
      <c r="W60" s="126"/>
      <c r="X60" s="1"/>
      <c r="Y60" s="1"/>
      <c r="Z60" s="1"/>
      <c r="AA60" s="1"/>
      <c r="AB60" s="1"/>
      <c r="AC60" s="1"/>
      <c r="AE60" s="1"/>
    </row>
    <row r="61" spans="1:31" x14ac:dyDescent="0.25">
      <c r="A61" s="1" t="s">
        <v>163</v>
      </c>
      <c r="B61" s="24">
        <f>SUM(B37:B60)</f>
        <v>0</v>
      </c>
      <c r="C61" s="51" t="e">
        <f>SUMPRODUCT($B$37:$B$60,C37:C60)/$B$61</f>
        <v>#DIV/0!</v>
      </c>
      <c r="D61" s="51" t="e">
        <f>SUMPRODUCT($B$37:$B$60,D37:D60)/$B$61</f>
        <v>#DIV/0!</v>
      </c>
      <c r="E61" s="51" t="e">
        <f>SUMPRODUCT($B$37:$B$60,E37:E60)/$B$61</f>
        <v>#DIV/0!</v>
      </c>
      <c r="F61" s="27" t="e">
        <f>SUM(C61:E61)</f>
        <v>#DIV/0!</v>
      </c>
      <c r="G61" s="28" t="e">
        <f>SUMPRODUCT($B$37:$B$60,G37:G60)/$B$61</f>
        <v>#DIV/0!</v>
      </c>
      <c r="H61" s="10" t="e">
        <f>SUMPRODUCT($B$37:$B$60,H37:H60)/$B$61</f>
        <v>#DIV/0!</v>
      </c>
      <c r="I61" s="10" t="e">
        <f>SUMPRODUCT($B$37:$B$60,I37:I60)/$B$61</f>
        <v>#DIV/0!</v>
      </c>
      <c r="J61" s="81" t="e">
        <f>SUMPRODUCT(C61:E61,G61:I61)</f>
        <v>#DIV/0!</v>
      </c>
      <c r="K61" s="38" t="e">
        <f>('Area&amp;production data'!$Y29/'Yield-data'!$E59)*#REF!</f>
        <v>#DIV/0!</v>
      </c>
      <c r="L61" s="38">
        <f t="shared" ref="L61:R61" si="18">SUM(L37:L60)</f>
        <v>0</v>
      </c>
      <c r="M61" s="38">
        <f t="shared" si="18"/>
        <v>0</v>
      </c>
      <c r="N61" s="38">
        <f t="shared" si="18"/>
        <v>0</v>
      </c>
      <c r="O61" s="38" t="e">
        <f t="shared" si="18"/>
        <v>#DIV/0!</v>
      </c>
      <c r="P61" s="38" t="e">
        <f t="shared" si="18"/>
        <v>#DIV/0!</v>
      </c>
      <c r="Q61" s="38" t="e">
        <f t="shared" si="18"/>
        <v>#DIV/0!</v>
      </c>
      <c r="R61" s="24" t="e">
        <f t="shared" si="18"/>
        <v>#DIV/0!</v>
      </c>
    </row>
    <row r="62" spans="1:31" x14ac:dyDescent="0.25">
      <c r="A62" s="17" t="s">
        <v>8</v>
      </c>
      <c r="B62" s="29" t="b">
        <f>B61='Area&amp;production data'!H29</f>
        <v>1</v>
      </c>
      <c r="C62" s="842"/>
      <c r="D62" s="842"/>
      <c r="E62" s="842"/>
      <c r="F62" s="6"/>
      <c r="N62" s="252" t="b">
        <f>SUM(L61:M61)=N61</f>
        <v>1</v>
      </c>
      <c r="X62" s="39" t="e">
        <f>SUM(O61:Q61)=R61</f>
        <v>#DIV/0!</v>
      </c>
      <c r="AD62" s="1"/>
    </row>
    <row r="63" spans="1:31" x14ac:dyDescent="0.25">
      <c r="A63" s="17"/>
      <c r="C63" s="21"/>
      <c r="D63" s="21"/>
      <c r="E63" s="21"/>
      <c r="N63" s="30" t="e">
        <f>N61/'Area&amp;production data'!Y29</f>
        <v>#DIV/0!</v>
      </c>
    </row>
    <row r="64" spans="1:31" x14ac:dyDescent="0.25">
      <c r="A64" s="1" t="s">
        <v>462</v>
      </c>
      <c r="D64" s="3" t="s">
        <v>463</v>
      </c>
      <c r="E64" s="1"/>
      <c r="F64" s="54">
        <v>0</v>
      </c>
      <c r="G64" t="s">
        <v>96</v>
      </c>
      <c r="H64" s="20" t="s">
        <v>464</v>
      </c>
      <c r="O64" s="20" t="s">
        <v>320</v>
      </c>
      <c r="P64" s="20"/>
    </row>
    <row r="65" spans="1:23" x14ac:dyDescent="0.25">
      <c r="A65" s="1" t="s">
        <v>101</v>
      </c>
      <c r="B65" s="814" t="s">
        <v>457</v>
      </c>
      <c r="C65" s="814" t="s">
        <v>458</v>
      </c>
      <c r="D65" s="814"/>
      <c r="E65" s="814"/>
      <c r="F65" s="814"/>
      <c r="G65" s="814" t="s">
        <v>465</v>
      </c>
      <c r="H65" s="814"/>
      <c r="I65" s="814"/>
      <c r="J65" s="814"/>
      <c r="K65" s="814" t="s">
        <v>466</v>
      </c>
      <c r="L65" s="814"/>
      <c r="M65" s="814"/>
      <c r="N65" s="814"/>
      <c r="O65" s="814" t="s">
        <v>467</v>
      </c>
      <c r="P65" s="814"/>
      <c r="Q65" s="814"/>
      <c r="R65" s="814"/>
      <c r="V65" s="22"/>
      <c r="W65" s="22"/>
    </row>
    <row r="66" spans="1:23" x14ac:dyDescent="0.25">
      <c r="A66" s="1"/>
      <c r="B66" s="814"/>
      <c r="C66" s="1" t="s">
        <v>136</v>
      </c>
      <c r="D66" s="1" t="s">
        <v>137</v>
      </c>
      <c r="E66" s="1" t="s">
        <v>138</v>
      </c>
      <c r="F66" s="1" t="s">
        <v>120</v>
      </c>
      <c r="G66" s="1" t="s">
        <v>136</v>
      </c>
      <c r="H66" s="1" t="s">
        <v>137</v>
      </c>
      <c r="I66" s="1" t="s">
        <v>289</v>
      </c>
      <c r="J66" s="1" t="s">
        <v>120</v>
      </c>
      <c r="K66" s="1" t="s">
        <v>136</v>
      </c>
      <c r="L66" s="1" t="s">
        <v>137</v>
      </c>
      <c r="M66" s="1" t="s">
        <v>289</v>
      </c>
      <c r="N66" s="1" t="s">
        <v>120</v>
      </c>
      <c r="O66" s="1" t="s">
        <v>136</v>
      </c>
      <c r="P66" s="1" t="s">
        <v>137</v>
      </c>
      <c r="Q66" s="1" t="s">
        <v>289</v>
      </c>
      <c r="R66" s="17"/>
    </row>
    <row r="67" spans="1:23" x14ac:dyDescent="0.25">
      <c r="A67" s="13" t="s">
        <v>139</v>
      </c>
      <c r="B67" s="36">
        <f>B37</f>
        <v>0</v>
      </c>
      <c r="C67" s="25">
        <f>C37</f>
        <v>0</v>
      </c>
      <c r="D67" s="25">
        <f>D37</f>
        <v>0</v>
      </c>
      <c r="E67" s="25">
        <f>E37</f>
        <v>0</v>
      </c>
      <c r="F67" s="25">
        <f>SUM(C67:E67)</f>
        <v>0</v>
      </c>
      <c r="G67" s="184">
        <f>$F$64*G37</f>
        <v>0</v>
      </c>
      <c r="H67" s="184">
        <f>$F$64*H37</f>
        <v>0</v>
      </c>
      <c r="I67" s="184">
        <f>$F$64*I37</f>
        <v>0</v>
      </c>
      <c r="J67" s="9">
        <f>SUMPRODUCT(C67:E67,G67:I67)</f>
        <v>0</v>
      </c>
      <c r="K67" s="26">
        <f t="shared" ref="K67:N67" si="19">G67*C67*$B67</f>
        <v>0</v>
      </c>
      <c r="L67" s="26">
        <f t="shared" si="19"/>
        <v>0</v>
      </c>
      <c r="M67" s="26">
        <f t="shared" si="19"/>
        <v>0</v>
      </c>
      <c r="N67" s="26">
        <f t="shared" si="19"/>
        <v>0</v>
      </c>
      <c r="O67" s="26" t="e">
        <f t="shared" ref="O67:Q67" si="20">$D$23*K67</f>
        <v>#DIV/0!</v>
      </c>
      <c r="P67" s="26" t="e">
        <f t="shared" si="20"/>
        <v>#DIV/0!</v>
      </c>
      <c r="Q67" s="26" t="e">
        <f t="shared" si="20"/>
        <v>#DIV/0!</v>
      </c>
      <c r="R67" s="26" t="e">
        <f>SUM(O67:Q67)</f>
        <v>#DIV/0!</v>
      </c>
    </row>
    <row r="68" spans="1:23" x14ac:dyDescent="0.25">
      <c r="A68" s="13" t="s">
        <v>140</v>
      </c>
      <c r="B68" s="36">
        <f t="shared" ref="B68:E68" si="21">B38</f>
        <v>0</v>
      </c>
      <c r="C68" s="25">
        <f t="shared" si="21"/>
        <v>0</v>
      </c>
      <c r="D68" s="25">
        <f t="shared" si="21"/>
        <v>0</v>
      </c>
      <c r="E68" s="25">
        <f t="shared" si="21"/>
        <v>0</v>
      </c>
      <c r="F68" s="25">
        <f t="shared" ref="F68:F90" si="22">SUM(C68:E68)</f>
        <v>0</v>
      </c>
      <c r="G68" s="184">
        <f t="shared" ref="G68:I68" si="23">$F$64*G38</f>
        <v>0</v>
      </c>
      <c r="H68" s="184">
        <f t="shared" si="23"/>
        <v>0</v>
      </c>
      <c r="I68" s="184">
        <f t="shared" si="23"/>
        <v>0</v>
      </c>
      <c r="J68" s="9">
        <f t="shared" ref="J68:J90" si="24">SUMPRODUCT(C68:E68,G68:I68)</f>
        <v>0</v>
      </c>
      <c r="K68" s="26">
        <f t="shared" ref="K68:K90" si="25">G68*C68*$B68</f>
        <v>0</v>
      </c>
      <c r="L68" s="26">
        <f t="shared" ref="L68:L90" si="26">H68*D68*$B68</f>
        <v>0</v>
      </c>
      <c r="M68" s="26">
        <f t="shared" ref="M68:M90" si="27">I68*E68*$B68</f>
        <v>0</v>
      </c>
      <c r="N68" s="26">
        <f t="shared" ref="N68:N90" si="28">J68*F68*$B68</f>
        <v>0</v>
      </c>
      <c r="O68" s="26" t="e">
        <f t="shared" ref="O68:O90" si="29">$D$23*K68</f>
        <v>#DIV/0!</v>
      </c>
      <c r="P68" s="26" t="e">
        <f t="shared" ref="P68:P90" si="30">$D$23*L68</f>
        <v>#DIV/0!</v>
      </c>
      <c r="Q68" s="26" t="e">
        <f t="shared" ref="Q68:Q90" si="31">$D$23*M68</f>
        <v>#DIV/0!</v>
      </c>
      <c r="R68" s="26" t="e">
        <f t="shared" ref="R68:R90" si="32">SUM(O68:Q68)</f>
        <v>#DIV/0!</v>
      </c>
    </row>
    <row r="69" spans="1:23" x14ac:dyDescent="0.25">
      <c r="A69" s="13" t="s">
        <v>141</v>
      </c>
      <c r="B69" s="36">
        <f t="shared" ref="B69:E69" si="33">B39</f>
        <v>0</v>
      </c>
      <c r="C69" s="25">
        <f t="shared" si="33"/>
        <v>0</v>
      </c>
      <c r="D69" s="25">
        <f t="shared" si="33"/>
        <v>0</v>
      </c>
      <c r="E69" s="25">
        <f t="shared" si="33"/>
        <v>0</v>
      </c>
      <c r="F69" s="25">
        <f t="shared" si="22"/>
        <v>0</v>
      </c>
      <c r="G69" s="184">
        <f t="shared" ref="G69:I69" si="34">$F$64*G39</f>
        <v>0</v>
      </c>
      <c r="H69" s="184">
        <f t="shared" si="34"/>
        <v>0</v>
      </c>
      <c r="I69" s="184">
        <f t="shared" si="34"/>
        <v>0</v>
      </c>
      <c r="J69" s="9">
        <f t="shared" si="24"/>
        <v>0</v>
      </c>
      <c r="K69" s="26">
        <f t="shared" si="25"/>
        <v>0</v>
      </c>
      <c r="L69" s="26">
        <f t="shared" si="26"/>
        <v>0</v>
      </c>
      <c r="M69" s="26">
        <f t="shared" si="27"/>
        <v>0</v>
      </c>
      <c r="N69" s="26">
        <f t="shared" si="28"/>
        <v>0</v>
      </c>
      <c r="O69" s="26" t="e">
        <f t="shared" si="29"/>
        <v>#DIV/0!</v>
      </c>
      <c r="P69" s="26" t="e">
        <f t="shared" si="30"/>
        <v>#DIV/0!</v>
      </c>
      <c r="Q69" s="26" t="e">
        <f t="shared" si="31"/>
        <v>#DIV/0!</v>
      </c>
      <c r="R69" s="26" t="e">
        <f t="shared" si="32"/>
        <v>#DIV/0!</v>
      </c>
    </row>
    <row r="70" spans="1:23" x14ac:dyDescent="0.25">
      <c r="A70" s="13" t="s">
        <v>142</v>
      </c>
      <c r="B70" s="36">
        <f t="shared" ref="B70:E70" si="35">B40</f>
        <v>0</v>
      </c>
      <c r="C70" s="25">
        <f t="shared" si="35"/>
        <v>0</v>
      </c>
      <c r="D70" s="25">
        <f t="shared" si="35"/>
        <v>0</v>
      </c>
      <c r="E70" s="25">
        <f t="shared" si="35"/>
        <v>0</v>
      </c>
      <c r="F70" s="25">
        <f t="shared" si="22"/>
        <v>0</v>
      </c>
      <c r="G70" s="184">
        <f t="shared" ref="G70:I70" si="36">$F$64*G40</f>
        <v>0</v>
      </c>
      <c r="H70" s="184">
        <f t="shared" si="36"/>
        <v>0</v>
      </c>
      <c r="I70" s="184">
        <f t="shared" si="36"/>
        <v>0</v>
      </c>
      <c r="J70" s="9">
        <f t="shared" si="24"/>
        <v>0</v>
      </c>
      <c r="K70" s="26">
        <f t="shared" si="25"/>
        <v>0</v>
      </c>
      <c r="L70" s="26">
        <f t="shared" si="26"/>
        <v>0</v>
      </c>
      <c r="M70" s="26">
        <f t="shared" si="27"/>
        <v>0</v>
      </c>
      <c r="N70" s="26">
        <f t="shared" si="28"/>
        <v>0</v>
      </c>
      <c r="O70" s="26" t="e">
        <f t="shared" si="29"/>
        <v>#DIV/0!</v>
      </c>
      <c r="P70" s="26" t="e">
        <f t="shared" si="30"/>
        <v>#DIV/0!</v>
      </c>
      <c r="Q70" s="26" t="e">
        <f t="shared" si="31"/>
        <v>#DIV/0!</v>
      </c>
      <c r="R70" s="26" t="e">
        <f t="shared" si="32"/>
        <v>#DIV/0!</v>
      </c>
    </row>
    <row r="71" spans="1:23" x14ac:dyDescent="0.25">
      <c r="A71" s="13" t="s">
        <v>143</v>
      </c>
      <c r="B71" s="36">
        <f t="shared" ref="B71:E71" si="37">B41</f>
        <v>0</v>
      </c>
      <c r="C71" s="25">
        <f t="shared" si="37"/>
        <v>0</v>
      </c>
      <c r="D71" s="25">
        <f t="shared" si="37"/>
        <v>0</v>
      </c>
      <c r="E71" s="25">
        <f t="shared" si="37"/>
        <v>0</v>
      </c>
      <c r="F71" s="25">
        <f t="shared" si="22"/>
        <v>0</v>
      </c>
      <c r="G71" s="184">
        <f t="shared" ref="G71:I71" si="38">$F$64*G41</f>
        <v>0</v>
      </c>
      <c r="H71" s="184">
        <f t="shared" si="38"/>
        <v>0</v>
      </c>
      <c r="I71" s="184">
        <f t="shared" si="38"/>
        <v>0</v>
      </c>
      <c r="J71" s="9">
        <f t="shared" si="24"/>
        <v>0</v>
      </c>
      <c r="K71" s="26">
        <f t="shared" si="25"/>
        <v>0</v>
      </c>
      <c r="L71" s="26">
        <f t="shared" si="26"/>
        <v>0</v>
      </c>
      <c r="M71" s="26">
        <f t="shared" si="27"/>
        <v>0</v>
      </c>
      <c r="N71" s="26">
        <f t="shared" si="28"/>
        <v>0</v>
      </c>
      <c r="O71" s="26" t="e">
        <f t="shared" si="29"/>
        <v>#DIV/0!</v>
      </c>
      <c r="P71" s="26" t="e">
        <f t="shared" si="30"/>
        <v>#DIV/0!</v>
      </c>
      <c r="Q71" s="26" t="e">
        <f t="shared" si="31"/>
        <v>#DIV/0!</v>
      </c>
      <c r="R71" s="26" t="e">
        <f t="shared" si="32"/>
        <v>#DIV/0!</v>
      </c>
    </row>
    <row r="72" spans="1:23" x14ac:dyDescent="0.25">
      <c r="A72" s="13" t="s">
        <v>144</v>
      </c>
      <c r="B72" s="36">
        <f t="shared" ref="B72:E72" si="39">B42</f>
        <v>0</v>
      </c>
      <c r="C72" s="25">
        <f t="shared" si="39"/>
        <v>0</v>
      </c>
      <c r="D72" s="25">
        <f t="shared" si="39"/>
        <v>0</v>
      </c>
      <c r="E72" s="25">
        <f t="shared" si="39"/>
        <v>0</v>
      </c>
      <c r="F72" s="25">
        <f t="shared" si="22"/>
        <v>0</v>
      </c>
      <c r="G72" s="184">
        <f t="shared" ref="G72:I72" si="40">$F$64*G42</f>
        <v>0</v>
      </c>
      <c r="H72" s="184">
        <f t="shared" si="40"/>
        <v>0</v>
      </c>
      <c r="I72" s="184">
        <f t="shared" si="40"/>
        <v>0</v>
      </c>
      <c r="J72" s="9">
        <f t="shared" si="24"/>
        <v>0</v>
      </c>
      <c r="K72" s="26">
        <f t="shared" si="25"/>
        <v>0</v>
      </c>
      <c r="L72" s="26">
        <f t="shared" si="26"/>
        <v>0</v>
      </c>
      <c r="M72" s="26">
        <f t="shared" si="27"/>
        <v>0</v>
      </c>
      <c r="N72" s="26">
        <f t="shared" si="28"/>
        <v>0</v>
      </c>
      <c r="O72" s="26" t="e">
        <f t="shared" si="29"/>
        <v>#DIV/0!</v>
      </c>
      <c r="P72" s="26" t="e">
        <f t="shared" si="30"/>
        <v>#DIV/0!</v>
      </c>
      <c r="Q72" s="26" t="e">
        <f t="shared" si="31"/>
        <v>#DIV/0!</v>
      </c>
      <c r="R72" s="26" t="e">
        <f t="shared" si="32"/>
        <v>#DIV/0!</v>
      </c>
    </row>
    <row r="73" spans="1:23" x14ac:dyDescent="0.25">
      <c r="A73" s="13" t="s">
        <v>145</v>
      </c>
      <c r="B73" s="36">
        <f t="shared" ref="B73:E73" si="41">B43</f>
        <v>0</v>
      </c>
      <c r="C73" s="25">
        <f t="shared" si="41"/>
        <v>0</v>
      </c>
      <c r="D73" s="25">
        <f t="shared" si="41"/>
        <v>0</v>
      </c>
      <c r="E73" s="25">
        <f t="shared" si="41"/>
        <v>0</v>
      </c>
      <c r="F73" s="25">
        <f t="shared" si="22"/>
        <v>0</v>
      </c>
      <c r="G73" s="184">
        <f t="shared" ref="G73:I73" si="42">$F$64*G43</f>
        <v>0</v>
      </c>
      <c r="H73" s="184">
        <f t="shared" si="42"/>
        <v>0</v>
      </c>
      <c r="I73" s="184">
        <f t="shared" si="42"/>
        <v>0</v>
      </c>
      <c r="J73" s="9">
        <f t="shared" si="24"/>
        <v>0</v>
      </c>
      <c r="K73" s="26">
        <f t="shared" si="25"/>
        <v>0</v>
      </c>
      <c r="L73" s="26">
        <f t="shared" si="26"/>
        <v>0</v>
      </c>
      <c r="M73" s="26">
        <f t="shared" si="27"/>
        <v>0</v>
      </c>
      <c r="N73" s="26">
        <f t="shared" si="28"/>
        <v>0</v>
      </c>
      <c r="O73" s="26" t="e">
        <f t="shared" si="29"/>
        <v>#DIV/0!</v>
      </c>
      <c r="P73" s="26" t="e">
        <f t="shared" si="30"/>
        <v>#DIV/0!</v>
      </c>
      <c r="Q73" s="26" t="e">
        <f t="shared" si="31"/>
        <v>#DIV/0!</v>
      </c>
      <c r="R73" s="26" t="e">
        <f t="shared" si="32"/>
        <v>#DIV/0!</v>
      </c>
    </row>
    <row r="74" spans="1:23" x14ac:dyDescent="0.25">
      <c r="A74" s="13" t="s">
        <v>146</v>
      </c>
      <c r="B74" s="36">
        <f t="shared" ref="B74:E74" si="43">B44</f>
        <v>0</v>
      </c>
      <c r="C74" s="25">
        <f t="shared" si="43"/>
        <v>0</v>
      </c>
      <c r="D74" s="25">
        <f t="shared" si="43"/>
        <v>0</v>
      </c>
      <c r="E74" s="25">
        <f t="shared" si="43"/>
        <v>0</v>
      </c>
      <c r="F74" s="25">
        <f t="shared" si="22"/>
        <v>0</v>
      </c>
      <c r="G74" s="184">
        <f t="shared" ref="G74:I74" si="44">$F$64*G44</f>
        <v>0</v>
      </c>
      <c r="H74" s="184">
        <f t="shared" si="44"/>
        <v>0</v>
      </c>
      <c r="I74" s="184">
        <f t="shared" si="44"/>
        <v>0</v>
      </c>
      <c r="J74" s="9">
        <f t="shared" si="24"/>
        <v>0</v>
      </c>
      <c r="K74" s="26">
        <f t="shared" si="25"/>
        <v>0</v>
      </c>
      <c r="L74" s="26">
        <f t="shared" si="26"/>
        <v>0</v>
      </c>
      <c r="M74" s="26">
        <f t="shared" si="27"/>
        <v>0</v>
      </c>
      <c r="N74" s="26">
        <f t="shared" si="28"/>
        <v>0</v>
      </c>
      <c r="O74" s="26" t="e">
        <f t="shared" si="29"/>
        <v>#DIV/0!</v>
      </c>
      <c r="P74" s="26" t="e">
        <f t="shared" si="30"/>
        <v>#DIV/0!</v>
      </c>
      <c r="Q74" s="26" t="e">
        <f t="shared" si="31"/>
        <v>#DIV/0!</v>
      </c>
      <c r="R74" s="26" t="e">
        <f t="shared" si="32"/>
        <v>#DIV/0!</v>
      </c>
    </row>
    <row r="75" spans="1:23" x14ac:dyDescent="0.25">
      <c r="A75" s="13" t="s">
        <v>147</v>
      </c>
      <c r="B75" s="36">
        <f t="shared" ref="B75:E75" si="45">B45</f>
        <v>0</v>
      </c>
      <c r="C75" s="25">
        <f t="shared" si="45"/>
        <v>0</v>
      </c>
      <c r="D75" s="25">
        <f t="shared" si="45"/>
        <v>0</v>
      </c>
      <c r="E75" s="25">
        <f t="shared" si="45"/>
        <v>0</v>
      </c>
      <c r="F75" s="25">
        <f t="shared" si="22"/>
        <v>0</v>
      </c>
      <c r="G75" s="184">
        <f t="shared" ref="G75:I75" si="46">$F$64*G45</f>
        <v>0</v>
      </c>
      <c r="H75" s="184">
        <f t="shared" si="46"/>
        <v>0</v>
      </c>
      <c r="I75" s="184">
        <f t="shared" si="46"/>
        <v>0</v>
      </c>
      <c r="J75" s="9">
        <f t="shared" si="24"/>
        <v>0</v>
      </c>
      <c r="K75" s="26">
        <f t="shared" si="25"/>
        <v>0</v>
      </c>
      <c r="L75" s="26">
        <f t="shared" si="26"/>
        <v>0</v>
      </c>
      <c r="M75" s="26">
        <f t="shared" si="27"/>
        <v>0</v>
      </c>
      <c r="N75" s="26">
        <f t="shared" si="28"/>
        <v>0</v>
      </c>
      <c r="O75" s="26" t="e">
        <f t="shared" si="29"/>
        <v>#DIV/0!</v>
      </c>
      <c r="P75" s="26" t="e">
        <f t="shared" si="30"/>
        <v>#DIV/0!</v>
      </c>
      <c r="Q75" s="26" t="e">
        <f t="shared" si="31"/>
        <v>#DIV/0!</v>
      </c>
      <c r="R75" s="26" t="e">
        <f t="shared" si="32"/>
        <v>#DIV/0!</v>
      </c>
    </row>
    <row r="76" spans="1:23" x14ac:dyDescent="0.25">
      <c r="A76" s="13" t="s">
        <v>148</v>
      </c>
      <c r="B76" s="36">
        <f t="shared" ref="B76:E76" si="47">B46</f>
        <v>0</v>
      </c>
      <c r="C76" s="25">
        <f t="shared" si="47"/>
        <v>0</v>
      </c>
      <c r="D76" s="25">
        <f t="shared" si="47"/>
        <v>0</v>
      </c>
      <c r="E76" s="25">
        <f t="shared" si="47"/>
        <v>0</v>
      </c>
      <c r="F76" s="25">
        <f t="shared" si="22"/>
        <v>0</v>
      </c>
      <c r="G76" s="184">
        <f t="shared" ref="G76:I76" si="48">$F$64*G46</f>
        <v>0</v>
      </c>
      <c r="H76" s="184">
        <f t="shared" si="48"/>
        <v>0</v>
      </c>
      <c r="I76" s="184">
        <f t="shared" si="48"/>
        <v>0</v>
      </c>
      <c r="J76" s="9">
        <f t="shared" si="24"/>
        <v>0</v>
      </c>
      <c r="K76" s="26">
        <f t="shared" si="25"/>
        <v>0</v>
      </c>
      <c r="L76" s="26">
        <f t="shared" si="26"/>
        <v>0</v>
      </c>
      <c r="M76" s="26">
        <f t="shared" si="27"/>
        <v>0</v>
      </c>
      <c r="N76" s="26">
        <f t="shared" si="28"/>
        <v>0</v>
      </c>
      <c r="O76" s="26" t="e">
        <f t="shared" si="29"/>
        <v>#DIV/0!</v>
      </c>
      <c r="P76" s="26" t="e">
        <f t="shared" si="30"/>
        <v>#DIV/0!</v>
      </c>
      <c r="Q76" s="26" t="e">
        <f t="shared" si="31"/>
        <v>#DIV/0!</v>
      </c>
      <c r="R76" s="26" t="e">
        <f t="shared" si="32"/>
        <v>#DIV/0!</v>
      </c>
    </row>
    <row r="77" spans="1:23" x14ac:dyDescent="0.25">
      <c r="A77" s="13" t="s">
        <v>149</v>
      </c>
      <c r="B77" s="36">
        <f t="shared" ref="B77:E77" si="49">B47</f>
        <v>0</v>
      </c>
      <c r="C77" s="25">
        <f t="shared" si="49"/>
        <v>0</v>
      </c>
      <c r="D77" s="25">
        <f t="shared" si="49"/>
        <v>0</v>
      </c>
      <c r="E77" s="25">
        <f t="shared" si="49"/>
        <v>0</v>
      </c>
      <c r="F77" s="25">
        <f t="shared" si="22"/>
        <v>0</v>
      </c>
      <c r="G77" s="184">
        <f t="shared" ref="G77:I77" si="50">$F$64*G47</f>
        <v>0</v>
      </c>
      <c r="H77" s="184">
        <f t="shared" si="50"/>
        <v>0</v>
      </c>
      <c r="I77" s="184">
        <f t="shared" si="50"/>
        <v>0</v>
      </c>
      <c r="J77" s="9">
        <f t="shared" si="24"/>
        <v>0</v>
      </c>
      <c r="K77" s="26">
        <f t="shared" si="25"/>
        <v>0</v>
      </c>
      <c r="L77" s="26">
        <f t="shared" si="26"/>
        <v>0</v>
      </c>
      <c r="M77" s="26">
        <f t="shared" si="27"/>
        <v>0</v>
      </c>
      <c r="N77" s="26">
        <f t="shared" si="28"/>
        <v>0</v>
      </c>
      <c r="O77" s="26" t="e">
        <f t="shared" si="29"/>
        <v>#DIV/0!</v>
      </c>
      <c r="P77" s="26" t="e">
        <f t="shared" si="30"/>
        <v>#DIV/0!</v>
      </c>
      <c r="Q77" s="26" t="e">
        <f t="shared" si="31"/>
        <v>#DIV/0!</v>
      </c>
      <c r="R77" s="26" t="e">
        <f t="shared" si="32"/>
        <v>#DIV/0!</v>
      </c>
    </row>
    <row r="78" spans="1:23" x14ac:dyDescent="0.25">
      <c r="A78" s="13" t="s">
        <v>150</v>
      </c>
      <c r="B78" s="36">
        <f t="shared" ref="B78:E78" si="51">B48</f>
        <v>0</v>
      </c>
      <c r="C78" s="25">
        <f t="shared" si="51"/>
        <v>0</v>
      </c>
      <c r="D78" s="25">
        <f t="shared" si="51"/>
        <v>0</v>
      </c>
      <c r="E78" s="25">
        <f t="shared" si="51"/>
        <v>0</v>
      </c>
      <c r="F78" s="25">
        <f t="shared" si="22"/>
        <v>0</v>
      </c>
      <c r="G78" s="184">
        <f t="shared" ref="G78:I78" si="52">$F$64*G48</f>
        <v>0</v>
      </c>
      <c r="H78" s="184">
        <f t="shared" si="52"/>
        <v>0</v>
      </c>
      <c r="I78" s="184">
        <f t="shared" si="52"/>
        <v>0</v>
      </c>
      <c r="J78" s="9">
        <f t="shared" si="24"/>
        <v>0</v>
      </c>
      <c r="K78" s="26">
        <f t="shared" si="25"/>
        <v>0</v>
      </c>
      <c r="L78" s="26">
        <f t="shared" si="26"/>
        <v>0</v>
      </c>
      <c r="M78" s="26">
        <f t="shared" si="27"/>
        <v>0</v>
      </c>
      <c r="N78" s="26">
        <f t="shared" si="28"/>
        <v>0</v>
      </c>
      <c r="O78" s="26" t="e">
        <f t="shared" si="29"/>
        <v>#DIV/0!</v>
      </c>
      <c r="P78" s="26" t="e">
        <f t="shared" si="30"/>
        <v>#DIV/0!</v>
      </c>
      <c r="Q78" s="26" t="e">
        <f t="shared" si="31"/>
        <v>#DIV/0!</v>
      </c>
      <c r="R78" s="26" t="e">
        <f t="shared" si="32"/>
        <v>#DIV/0!</v>
      </c>
    </row>
    <row r="79" spans="1:23" x14ac:dyDescent="0.25">
      <c r="A79" s="13" t="s">
        <v>151</v>
      </c>
      <c r="B79" s="36">
        <f t="shared" ref="B79:E79" si="53">B49</f>
        <v>0</v>
      </c>
      <c r="C79" s="25">
        <f t="shared" si="53"/>
        <v>0</v>
      </c>
      <c r="D79" s="25">
        <f t="shared" si="53"/>
        <v>0</v>
      </c>
      <c r="E79" s="25">
        <f t="shared" si="53"/>
        <v>0</v>
      </c>
      <c r="F79" s="25">
        <f t="shared" si="22"/>
        <v>0</v>
      </c>
      <c r="G79" s="184">
        <f t="shared" ref="G79:I79" si="54">$F$64*G49</f>
        <v>0</v>
      </c>
      <c r="H79" s="184">
        <f t="shared" si="54"/>
        <v>0</v>
      </c>
      <c r="I79" s="184">
        <f t="shared" si="54"/>
        <v>0</v>
      </c>
      <c r="J79" s="9">
        <f t="shared" si="24"/>
        <v>0</v>
      </c>
      <c r="K79" s="26">
        <f t="shared" si="25"/>
        <v>0</v>
      </c>
      <c r="L79" s="26">
        <f t="shared" si="26"/>
        <v>0</v>
      </c>
      <c r="M79" s="26">
        <f t="shared" si="27"/>
        <v>0</v>
      </c>
      <c r="N79" s="26">
        <f t="shared" si="28"/>
        <v>0</v>
      </c>
      <c r="O79" s="26" t="e">
        <f t="shared" si="29"/>
        <v>#DIV/0!</v>
      </c>
      <c r="P79" s="26" t="e">
        <f t="shared" si="30"/>
        <v>#DIV/0!</v>
      </c>
      <c r="Q79" s="26" t="e">
        <f t="shared" si="31"/>
        <v>#DIV/0!</v>
      </c>
      <c r="R79" s="26" t="e">
        <f t="shared" si="32"/>
        <v>#DIV/0!</v>
      </c>
    </row>
    <row r="80" spans="1:23" x14ac:dyDescent="0.25">
      <c r="A80" s="13" t="s">
        <v>152</v>
      </c>
      <c r="B80" s="36">
        <f t="shared" ref="B80:E80" si="55">B50</f>
        <v>0</v>
      </c>
      <c r="C80" s="25">
        <f t="shared" si="55"/>
        <v>0</v>
      </c>
      <c r="D80" s="25">
        <f t="shared" si="55"/>
        <v>0</v>
      </c>
      <c r="E80" s="25">
        <f t="shared" si="55"/>
        <v>0</v>
      </c>
      <c r="F80" s="25">
        <f t="shared" si="22"/>
        <v>0</v>
      </c>
      <c r="G80" s="184">
        <f t="shared" ref="G80:I80" si="56">$F$64*G50</f>
        <v>0</v>
      </c>
      <c r="H80" s="184">
        <f t="shared" si="56"/>
        <v>0</v>
      </c>
      <c r="I80" s="184">
        <f t="shared" si="56"/>
        <v>0</v>
      </c>
      <c r="J80" s="9">
        <f t="shared" si="24"/>
        <v>0</v>
      </c>
      <c r="K80" s="26">
        <f t="shared" si="25"/>
        <v>0</v>
      </c>
      <c r="L80" s="26">
        <f t="shared" si="26"/>
        <v>0</v>
      </c>
      <c r="M80" s="26">
        <f t="shared" si="27"/>
        <v>0</v>
      </c>
      <c r="N80" s="26">
        <f t="shared" si="28"/>
        <v>0</v>
      </c>
      <c r="O80" s="26" t="e">
        <f t="shared" si="29"/>
        <v>#DIV/0!</v>
      </c>
      <c r="P80" s="26" t="e">
        <f t="shared" si="30"/>
        <v>#DIV/0!</v>
      </c>
      <c r="Q80" s="26" t="e">
        <f t="shared" si="31"/>
        <v>#DIV/0!</v>
      </c>
      <c r="R80" s="26" t="e">
        <f t="shared" si="32"/>
        <v>#DIV/0!</v>
      </c>
    </row>
    <row r="81" spans="1:20" x14ac:dyDescent="0.25">
      <c r="A81" s="13" t="s">
        <v>153</v>
      </c>
      <c r="B81" s="36">
        <f t="shared" ref="B81:E81" si="57">B51</f>
        <v>0</v>
      </c>
      <c r="C81" s="25">
        <f t="shared" si="57"/>
        <v>0</v>
      </c>
      <c r="D81" s="25">
        <f t="shared" si="57"/>
        <v>0</v>
      </c>
      <c r="E81" s="25">
        <f t="shared" si="57"/>
        <v>0</v>
      </c>
      <c r="F81" s="25">
        <f t="shared" si="22"/>
        <v>0</v>
      </c>
      <c r="G81" s="184">
        <f t="shared" ref="G81:I81" si="58">$F$64*G51</f>
        <v>0</v>
      </c>
      <c r="H81" s="184">
        <f t="shared" si="58"/>
        <v>0</v>
      </c>
      <c r="I81" s="184">
        <f t="shared" si="58"/>
        <v>0</v>
      </c>
      <c r="J81" s="9">
        <f t="shared" si="24"/>
        <v>0</v>
      </c>
      <c r="K81" s="26">
        <f t="shared" si="25"/>
        <v>0</v>
      </c>
      <c r="L81" s="26">
        <f t="shared" si="26"/>
        <v>0</v>
      </c>
      <c r="M81" s="26">
        <f t="shared" si="27"/>
        <v>0</v>
      </c>
      <c r="N81" s="26">
        <f t="shared" si="28"/>
        <v>0</v>
      </c>
      <c r="O81" s="26" t="e">
        <f t="shared" si="29"/>
        <v>#DIV/0!</v>
      </c>
      <c r="P81" s="26" t="e">
        <f t="shared" si="30"/>
        <v>#DIV/0!</v>
      </c>
      <c r="Q81" s="26" t="e">
        <f t="shared" si="31"/>
        <v>#DIV/0!</v>
      </c>
      <c r="R81" s="26" t="e">
        <f t="shared" si="32"/>
        <v>#DIV/0!</v>
      </c>
      <c r="S81" s="39" t="e">
        <f>SUM(O91:Q91)=R91</f>
        <v>#DIV/0!</v>
      </c>
    </row>
    <row r="82" spans="1:20" x14ac:dyDescent="0.25">
      <c r="A82" s="13" t="s">
        <v>154</v>
      </c>
      <c r="B82" s="36">
        <f t="shared" ref="B82:E82" si="59">B52</f>
        <v>0</v>
      </c>
      <c r="C82" s="25">
        <f t="shared" si="59"/>
        <v>0</v>
      </c>
      <c r="D82" s="25">
        <f t="shared" si="59"/>
        <v>0</v>
      </c>
      <c r="E82" s="25">
        <f t="shared" si="59"/>
        <v>0</v>
      </c>
      <c r="F82" s="25">
        <f t="shared" si="22"/>
        <v>0</v>
      </c>
      <c r="G82" s="184">
        <f t="shared" ref="G82:I82" si="60">$F$64*G52</f>
        <v>0</v>
      </c>
      <c r="H82" s="184">
        <f t="shared" si="60"/>
        <v>0</v>
      </c>
      <c r="I82" s="184">
        <f t="shared" si="60"/>
        <v>0</v>
      </c>
      <c r="J82" s="9">
        <f t="shared" si="24"/>
        <v>0</v>
      </c>
      <c r="K82" s="26">
        <f t="shared" si="25"/>
        <v>0</v>
      </c>
      <c r="L82" s="26">
        <f t="shared" si="26"/>
        <v>0</v>
      </c>
      <c r="M82" s="26">
        <f t="shared" si="27"/>
        <v>0</v>
      </c>
      <c r="N82" s="26">
        <f t="shared" si="28"/>
        <v>0</v>
      </c>
      <c r="O82" s="26" t="e">
        <f t="shared" si="29"/>
        <v>#DIV/0!</v>
      </c>
      <c r="P82" s="26" t="e">
        <f t="shared" si="30"/>
        <v>#DIV/0!</v>
      </c>
      <c r="Q82" s="26" t="e">
        <f t="shared" si="31"/>
        <v>#DIV/0!</v>
      </c>
      <c r="R82" s="26" t="e">
        <f t="shared" si="32"/>
        <v>#DIV/0!</v>
      </c>
    </row>
    <row r="83" spans="1:20" x14ac:dyDescent="0.25">
      <c r="A83" s="13" t="s">
        <v>155</v>
      </c>
      <c r="B83" s="36">
        <f t="shared" ref="B83:E83" si="61">B53</f>
        <v>0</v>
      </c>
      <c r="C83" s="25">
        <f t="shared" si="61"/>
        <v>0</v>
      </c>
      <c r="D83" s="25">
        <f t="shared" si="61"/>
        <v>0</v>
      </c>
      <c r="E83" s="25">
        <f t="shared" si="61"/>
        <v>0</v>
      </c>
      <c r="F83" s="25">
        <f t="shared" si="22"/>
        <v>0</v>
      </c>
      <c r="G83" s="184">
        <f t="shared" ref="G83:I83" si="62">$F$64*G53</f>
        <v>0</v>
      </c>
      <c r="H83" s="184">
        <f t="shared" si="62"/>
        <v>0</v>
      </c>
      <c r="I83" s="184">
        <f t="shared" si="62"/>
        <v>0</v>
      </c>
      <c r="J83" s="9">
        <f t="shared" si="24"/>
        <v>0</v>
      </c>
      <c r="K83" s="26">
        <f t="shared" si="25"/>
        <v>0</v>
      </c>
      <c r="L83" s="26">
        <f t="shared" si="26"/>
        <v>0</v>
      </c>
      <c r="M83" s="26">
        <f t="shared" si="27"/>
        <v>0</v>
      </c>
      <c r="N83" s="26">
        <f t="shared" si="28"/>
        <v>0</v>
      </c>
      <c r="O83" s="26" t="e">
        <f t="shared" si="29"/>
        <v>#DIV/0!</v>
      </c>
      <c r="P83" s="26" t="e">
        <f t="shared" si="30"/>
        <v>#DIV/0!</v>
      </c>
      <c r="Q83" s="26" t="e">
        <f t="shared" si="31"/>
        <v>#DIV/0!</v>
      </c>
      <c r="R83" s="26" t="e">
        <f t="shared" si="32"/>
        <v>#DIV/0!</v>
      </c>
    </row>
    <row r="84" spans="1:20" x14ac:dyDescent="0.25">
      <c r="A84" s="13" t="s">
        <v>156</v>
      </c>
      <c r="B84" s="36">
        <f t="shared" ref="B84:E84" si="63">B54</f>
        <v>0</v>
      </c>
      <c r="C84" s="25">
        <f t="shared" si="63"/>
        <v>0</v>
      </c>
      <c r="D84" s="25">
        <f t="shared" si="63"/>
        <v>0</v>
      </c>
      <c r="E84" s="25">
        <f t="shared" si="63"/>
        <v>0</v>
      </c>
      <c r="F84" s="25">
        <f t="shared" si="22"/>
        <v>0</v>
      </c>
      <c r="G84" s="184">
        <f t="shared" ref="G84:I84" si="64">$F$64*G54</f>
        <v>0</v>
      </c>
      <c r="H84" s="184">
        <f t="shared" si="64"/>
        <v>0</v>
      </c>
      <c r="I84" s="184">
        <f t="shared" si="64"/>
        <v>0</v>
      </c>
      <c r="J84" s="9">
        <f t="shared" si="24"/>
        <v>0</v>
      </c>
      <c r="K84" s="26">
        <f t="shared" si="25"/>
        <v>0</v>
      </c>
      <c r="L84" s="26">
        <f t="shared" si="26"/>
        <v>0</v>
      </c>
      <c r="M84" s="26">
        <f t="shared" si="27"/>
        <v>0</v>
      </c>
      <c r="N84" s="26">
        <f t="shared" si="28"/>
        <v>0</v>
      </c>
      <c r="O84" s="26" t="e">
        <f t="shared" si="29"/>
        <v>#DIV/0!</v>
      </c>
      <c r="P84" s="26" t="e">
        <f t="shared" si="30"/>
        <v>#DIV/0!</v>
      </c>
      <c r="Q84" s="26" t="e">
        <f t="shared" si="31"/>
        <v>#DIV/0!</v>
      </c>
      <c r="R84" s="26" t="e">
        <f t="shared" si="32"/>
        <v>#DIV/0!</v>
      </c>
    </row>
    <row r="85" spans="1:20" x14ac:dyDescent="0.25">
      <c r="A85" s="13" t="s">
        <v>157</v>
      </c>
      <c r="B85" s="36">
        <f t="shared" ref="B85:E85" si="65">B55</f>
        <v>0</v>
      </c>
      <c r="C85" s="25">
        <f t="shared" si="65"/>
        <v>0</v>
      </c>
      <c r="D85" s="25">
        <f t="shared" si="65"/>
        <v>0</v>
      </c>
      <c r="E85" s="25">
        <f t="shared" si="65"/>
        <v>0</v>
      </c>
      <c r="F85" s="25">
        <f t="shared" si="22"/>
        <v>0</v>
      </c>
      <c r="G85" s="184">
        <f t="shared" ref="G85:I85" si="66">$F$64*G55</f>
        <v>0</v>
      </c>
      <c r="H85" s="184">
        <f t="shared" si="66"/>
        <v>0</v>
      </c>
      <c r="I85" s="184">
        <f t="shared" si="66"/>
        <v>0</v>
      </c>
      <c r="J85" s="9">
        <f t="shared" si="24"/>
        <v>0</v>
      </c>
      <c r="K85" s="26">
        <f t="shared" si="25"/>
        <v>0</v>
      </c>
      <c r="L85" s="26">
        <f t="shared" si="26"/>
        <v>0</v>
      </c>
      <c r="M85" s="26">
        <f t="shared" si="27"/>
        <v>0</v>
      </c>
      <c r="N85" s="26">
        <f t="shared" si="28"/>
        <v>0</v>
      </c>
      <c r="O85" s="26" t="e">
        <f t="shared" si="29"/>
        <v>#DIV/0!</v>
      </c>
      <c r="P85" s="26" t="e">
        <f t="shared" si="30"/>
        <v>#DIV/0!</v>
      </c>
      <c r="Q85" s="26" t="e">
        <f t="shared" si="31"/>
        <v>#DIV/0!</v>
      </c>
      <c r="R85" s="26" t="e">
        <f t="shared" si="32"/>
        <v>#DIV/0!</v>
      </c>
    </row>
    <row r="86" spans="1:20" x14ac:dyDescent="0.25">
      <c r="A86" s="13" t="s">
        <v>158</v>
      </c>
      <c r="B86" s="36">
        <f t="shared" ref="B86:E86" si="67">B56</f>
        <v>0</v>
      </c>
      <c r="C86" s="25">
        <f t="shared" si="67"/>
        <v>0</v>
      </c>
      <c r="D86" s="25">
        <f t="shared" si="67"/>
        <v>0</v>
      </c>
      <c r="E86" s="25">
        <f t="shared" si="67"/>
        <v>0</v>
      </c>
      <c r="F86" s="25">
        <f t="shared" si="22"/>
        <v>0</v>
      </c>
      <c r="G86" s="184">
        <f t="shared" ref="G86:I86" si="68">$F$64*G56</f>
        <v>0</v>
      </c>
      <c r="H86" s="184">
        <f t="shared" si="68"/>
        <v>0</v>
      </c>
      <c r="I86" s="184">
        <f t="shared" si="68"/>
        <v>0</v>
      </c>
      <c r="J86" s="9">
        <f t="shared" si="24"/>
        <v>0</v>
      </c>
      <c r="K86" s="26">
        <f t="shared" si="25"/>
        <v>0</v>
      </c>
      <c r="L86" s="26">
        <f t="shared" si="26"/>
        <v>0</v>
      </c>
      <c r="M86" s="26">
        <f t="shared" si="27"/>
        <v>0</v>
      </c>
      <c r="N86" s="26">
        <f t="shared" si="28"/>
        <v>0</v>
      </c>
      <c r="O86" s="26" t="e">
        <f t="shared" si="29"/>
        <v>#DIV/0!</v>
      </c>
      <c r="P86" s="26" t="e">
        <f t="shared" si="30"/>
        <v>#DIV/0!</v>
      </c>
      <c r="Q86" s="26" t="e">
        <f t="shared" si="31"/>
        <v>#DIV/0!</v>
      </c>
      <c r="R86" s="26" t="e">
        <f t="shared" si="32"/>
        <v>#DIV/0!</v>
      </c>
    </row>
    <row r="87" spans="1:20" x14ac:dyDescent="0.25">
      <c r="A87" s="13" t="s">
        <v>159</v>
      </c>
      <c r="B87" s="36">
        <f t="shared" ref="B87:E87" si="69">B57</f>
        <v>0</v>
      </c>
      <c r="C87" s="25">
        <f t="shared" si="69"/>
        <v>0</v>
      </c>
      <c r="D87" s="25">
        <f t="shared" si="69"/>
        <v>0</v>
      </c>
      <c r="E87" s="25">
        <f t="shared" si="69"/>
        <v>0</v>
      </c>
      <c r="F87" s="25">
        <f t="shared" si="22"/>
        <v>0</v>
      </c>
      <c r="G87" s="184">
        <f t="shared" ref="G87:I87" si="70">$F$64*G57</f>
        <v>0</v>
      </c>
      <c r="H87" s="184">
        <f t="shared" si="70"/>
        <v>0</v>
      </c>
      <c r="I87" s="184">
        <f t="shared" si="70"/>
        <v>0</v>
      </c>
      <c r="J87" s="9">
        <f t="shared" si="24"/>
        <v>0</v>
      </c>
      <c r="K87" s="26">
        <f t="shared" si="25"/>
        <v>0</v>
      </c>
      <c r="L87" s="26">
        <f t="shared" si="26"/>
        <v>0</v>
      </c>
      <c r="M87" s="26">
        <f t="shared" si="27"/>
        <v>0</v>
      </c>
      <c r="N87" s="26">
        <f t="shared" si="28"/>
        <v>0</v>
      </c>
      <c r="O87" s="26" t="e">
        <f t="shared" si="29"/>
        <v>#DIV/0!</v>
      </c>
      <c r="P87" s="26" t="e">
        <f t="shared" si="30"/>
        <v>#DIV/0!</v>
      </c>
      <c r="Q87" s="26" t="e">
        <f t="shared" si="31"/>
        <v>#DIV/0!</v>
      </c>
      <c r="R87" s="26" t="e">
        <f t="shared" si="32"/>
        <v>#DIV/0!</v>
      </c>
      <c r="S87" s="44"/>
      <c r="T87" s="44"/>
    </row>
    <row r="88" spans="1:20" x14ac:dyDescent="0.25">
      <c r="A88" s="13" t="s">
        <v>160</v>
      </c>
      <c r="B88" s="36">
        <f t="shared" ref="B88:E88" si="71">B58</f>
        <v>0</v>
      </c>
      <c r="C88" s="25">
        <f t="shared" si="71"/>
        <v>0</v>
      </c>
      <c r="D88" s="25">
        <f t="shared" si="71"/>
        <v>0</v>
      </c>
      <c r="E88" s="25">
        <f t="shared" si="71"/>
        <v>0</v>
      </c>
      <c r="F88" s="25">
        <f t="shared" si="22"/>
        <v>0</v>
      </c>
      <c r="G88" s="184">
        <f t="shared" ref="G88:I88" si="72">$F$64*G58</f>
        <v>0</v>
      </c>
      <c r="H88" s="184">
        <f t="shared" si="72"/>
        <v>0</v>
      </c>
      <c r="I88" s="184">
        <f t="shared" si="72"/>
        <v>0</v>
      </c>
      <c r="J88" s="9">
        <f t="shared" si="24"/>
        <v>0</v>
      </c>
      <c r="K88" s="26">
        <f t="shared" si="25"/>
        <v>0</v>
      </c>
      <c r="L88" s="26">
        <f t="shared" si="26"/>
        <v>0</v>
      </c>
      <c r="M88" s="26">
        <f t="shared" si="27"/>
        <v>0</v>
      </c>
      <c r="N88" s="26">
        <f t="shared" si="28"/>
        <v>0</v>
      </c>
      <c r="O88" s="26" t="e">
        <f t="shared" si="29"/>
        <v>#DIV/0!</v>
      </c>
      <c r="P88" s="26" t="e">
        <f t="shared" si="30"/>
        <v>#DIV/0!</v>
      </c>
      <c r="Q88" s="26" t="e">
        <f t="shared" si="31"/>
        <v>#DIV/0!</v>
      </c>
      <c r="R88" s="26" t="e">
        <f t="shared" si="32"/>
        <v>#DIV/0!</v>
      </c>
    </row>
    <row r="89" spans="1:20" x14ac:dyDescent="0.25">
      <c r="A89" s="13" t="s">
        <v>161</v>
      </c>
      <c r="B89" s="36">
        <f t="shared" ref="B89:E89" si="73">B59</f>
        <v>0</v>
      </c>
      <c r="C89" s="25">
        <f t="shared" si="73"/>
        <v>0</v>
      </c>
      <c r="D89" s="25">
        <f t="shared" si="73"/>
        <v>0</v>
      </c>
      <c r="E89" s="25">
        <f t="shared" si="73"/>
        <v>0</v>
      </c>
      <c r="F89" s="25">
        <f t="shared" si="22"/>
        <v>0</v>
      </c>
      <c r="G89" s="184">
        <f t="shared" ref="G89:I89" si="74">$F$64*G59</f>
        <v>0</v>
      </c>
      <c r="H89" s="184">
        <f t="shared" si="74"/>
        <v>0</v>
      </c>
      <c r="I89" s="184">
        <f t="shared" si="74"/>
        <v>0</v>
      </c>
      <c r="J89" s="9">
        <f t="shared" si="24"/>
        <v>0</v>
      </c>
      <c r="K89" s="26">
        <f t="shared" si="25"/>
        <v>0</v>
      </c>
      <c r="L89" s="26">
        <f t="shared" si="26"/>
        <v>0</v>
      </c>
      <c r="M89" s="26">
        <f t="shared" si="27"/>
        <v>0</v>
      </c>
      <c r="N89" s="26">
        <f t="shared" si="28"/>
        <v>0</v>
      </c>
      <c r="O89" s="26" t="e">
        <f t="shared" si="29"/>
        <v>#DIV/0!</v>
      </c>
      <c r="P89" s="26" t="e">
        <f t="shared" si="30"/>
        <v>#DIV/0!</v>
      </c>
      <c r="Q89" s="26" t="e">
        <f t="shared" si="31"/>
        <v>#DIV/0!</v>
      </c>
      <c r="R89" s="26" t="e">
        <f t="shared" si="32"/>
        <v>#DIV/0!</v>
      </c>
    </row>
    <row r="90" spans="1:20" x14ac:dyDescent="0.25">
      <c r="A90" s="13" t="s">
        <v>162</v>
      </c>
      <c r="B90" s="36">
        <f t="shared" ref="B90:E90" si="75">B60</f>
        <v>0</v>
      </c>
      <c r="C90" s="25">
        <f t="shared" si="75"/>
        <v>0</v>
      </c>
      <c r="D90" s="25">
        <f t="shared" si="75"/>
        <v>0</v>
      </c>
      <c r="E90" s="25">
        <f t="shared" si="75"/>
        <v>0</v>
      </c>
      <c r="F90" s="25">
        <f t="shared" si="22"/>
        <v>0</v>
      </c>
      <c r="G90" s="184">
        <f t="shared" ref="G90:I90" si="76">$F$64*G60</f>
        <v>0</v>
      </c>
      <c r="H90" s="184">
        <f t="shared" si="76"/>
        <v>0</v>
      </c>
      <c r="I90" s="184">
        <f t="shared" si="76"/>
        <v>0</v>
      </c>
      <c r="J90" s="9">
        <f t="shared" si="24"/>
        <v>0</v>
      </c>
      <c r="K90" s="26">
        <f t="shared" si="25"/>
        <v>0</v>
      </c>
      <c r="L90" s="26">
        <f t="shared" si="26"/>
        <v>0</v>
      </c>
      <c r="M90" s="26">
        <f t="shared" si="27"/>
        <v>0</v>
      </c>
      <c r="N90" s="26">
        <f t="shared" si="28"/>
        <v>0</v>
      </c>
      <c r="O90" s="26" t="e">
        <f t="shared" si="29"/>
        <v>#DIV/0!</v>
      </c>
      <c r="P90" s="26" t="e">
        <f t="shared" si="30"/>
        <v>#DIV/0!</v>
      </c>
      <c r="Q90" s="26" t="e">
        <f t="shared" si="31"/>
        <v>#DIV/0!</v>
      </c>
      <c r="R90" s="26" t="e">
        <f t="shared" si="32"/>
        <v>#DIV/0!</v>
      </c>
    </row>
    <row r="91" spans="1:20" x14ac:dyDescent="0.25">
      <c r="A91" s="1" t="s">
        <v>163</v>
      </c>
      <c r="B91" s="10">
        <f>SUM(B67:B90)</f>
        <v>0</v>
      </c>
      <c r="C91" s="51" t="e">
        <f>SUMPRODUCT($B$67:$B$90,C67:C90)/$B$91</f>
        <v>#DIV/0!</v>
      </c>
      <c r="D91" s="51" t="e">
        <f>SUMPRODUCT($B$67:$B$90,D67:D90)/$B$91</f>
        <v>#DIV/0!</v>
      </c>
      <c r="E91" s="51" t="e">
        <f>SUMPRODUCT($B$67:$B$90,E67:E90)/$B$91</f>
        <v>#DIV/0!</v>
      </c>
      <c r="F91" s="37" t="e">
        <f>SUM(C91:E91)</f>
        <v>#DIV/0!</v>
      </c>
      <c r="G91" s="10" t="e">
        <f>SUMPRODUCT(B67:B90,G67:G90)/E91</f>
        <v>#DIV/0!</v>
      </c>
      <c r="H91" s="10" t="e">
        <f>SUMPRODUCT(B67:B90,H67:H90)/G91</f>
        <v>#DIV/0!</v>
      </c>
      <c r="I91" s="10" t="e">
        <f>SUMPRODUCT(B67:B90,I67:I90)/H91</f>
        <v>#DIV/0!</v>
      </c>
      <c r="J91" s="9" t="e">
        <f>SUMPRODUCT(C91:E91,G91:I91)</f>
        <v>#DIV/0!</v>
      </c>
      <c r="K91" s="10">
        <f>SUM(K67:K90)</f>
        <v>0</v>
      </c>
      <c r="L91" s="10">
        <f>SUM(L67:L90)</f>
        <v>0</v>
      </c>
      <c r="M91" s="10">
        <f t="shared" ref="M91" si="77">SUM(M67:M90)</f>
        <v>0</v>
      </c>
      <c r="N91" s="23">
        <f>SUM(K91:M91)</f>
        <v>0</v>
      </c>
      <c r="O91" s="10" t="e">
        <f>SUM(O67:O90)</f>
        <v>#DIV/0!</v>
      </c>
      <c r="P91" s="10" t="e">
        <f>SUM(P67:P90)</f>
        <v>#DIV/0!</v>
      </c>
      <c r="Q91" s="10" t="e">
        <f>SUM(Q67:Q90)</f>
        <v>#DIV/0!</v>
      </c>
      <c r="R91" s="23" t="e">
        <f>SUM(R67:R90)</f>
        <v>#DIV/0!</v>
      </c>
    </row>
    <row r="92" spans="1:20" x14ac:dyDescent="0.25">
      <c r="A92" s="17" t="s">
        <v>8</v>
      </c>
      <c r="C92" s="842"/>
      <c r="D92" s="842"/>
      <c r="E92" s="842"/>
      <c r="F92" s="6"/>
      <c r="N92" s="29" t="b">
        <f>SUM(K91:M91)=N91</f>
        <v>1</v>
      </c>
    </row>
    <row r="93" spans="1:20" x14ac:dyDescent="0.25">
      <c r="A93" s="17"/>
      <c r="C93" s="21"/>
      <c r="D93" s="21"/>
      <c r="E93" s="21"/>
    </row>
    <row r="96" spans="1:20" x14ac:dyDescent="0.25">
      <c r="A96" s="3" t="s">
        <v>468</v>
      </c>
    </row>
    <row r="97" spans="1:18" x14ac:dyDescent="0.25">
      <c r="A97" s="59" t="s">
        <v>423</v>
      </c>
    </row>
    <row r="98" spans="1:18" x14ac:dyDescent="0.25">
      <c r="A98" s="838" t="s">
        <v>101</v>
      </c>
      <c r="B98" s="814" t="s">
        <v>327</v>
      </c>
      <c r="C98" s="814" t="s">
        <v>328</v>
      </c>
      <c r="D98" s="814"/>
      <c r="E98" s="814"/>
      <c r="F98" s="814"/>
      <c r="G98" s="814" t="s">
        <v>469</v>
      </c>
      <c r="H98" s="814"/>
      <c r="I98" s="814"/>
      <c r="J98" s="814"/>
      <c r="K98" s="814" t="s">
        <v>470</v>
      </c>
      <c r="L98" s="814"/>
      <c r="M98" s="814"/>
      <c r="N98" s="814"/>
      <c r="O98" s="44"/>
      <c r="P98" s="44"/>
      <c r="Q98" s="44"/>
      <c r="R98" s="44"/>
    </row>
    <row r="99" spans="1:18" x14ac:dyDescent="0.25">
      <c r="A99" s="838"/>
      <c r="B99" s="814"/>
      <c r="C99" s="1" t="s">
        <v>331</v>
      </c>
      <c r="D99" s="1" t="s">
        <v>137</v>
      </c>
      <c r="E99" s="1" t="s">
        <v>289</v>
      </c>
      <c r="F99" s="1" t="s">
        <v>120</v>
      </c>
      <c r="G99" s="1" t="s">
        <v>136</v>
      </c>
      <c r="H99" s="1" t="s">
        <v>137</v>
      </c>
      <c r="I99" s="1" t="s">
        <v>289</v>
      </c>
      <c r="J99" s="1" t="s">
        <v>120</v>
      </c>
      <c r="K99" s="1" t="s">
        <v>136</v>
      </c>
      <c r="L99" s="1" t="s">
        <v>137</v>
      </c>
      <c r="M99" s="1" t="s">
        <v>289</v>
      </c>
      <c r="N99" s="1" t="s">
        <v>120</v>
      </c>
    </row>
    <row r="100" spans="1:18" x14ac:dyDescent="0.25">
      <c r="A100" s="13" t="s">
        <v>139</v>
      </c>
      <c r="B100" s="40">
        <v>0</v>
      </c>
      <c r="C100" s="181">
        <f t="shared" ref="C100:E100" si="78">C67</f>
        <v>0</v>
      </c>
      <c r="D100" s="181">
        <f t="shared" si="78"/>
        <v>0</v>
      </c>
      <c r="E100" s="181">
        <f t="shared" si="78"/>
        <v>0</v>
      </c>
      <c r="F100" s="9">
        <f>SUM(C100:E100)</f>
        <v>0</v>
      </c>
      <c r="G100" s="36">
        <f>IFERROR(C100*$B100/(C37*$B37),0)</f>
        <v>0</v>
      </c>
      <c r="H100" s="36">
        <f t="shared" ref="H100:I100" si="79">IFERROR(D100*$B100/(D37*$B37),0)</f>
        <v>0</v>
      </c>
      <c r="I100" s="36">
        <f t="shared" si="79"/>
        <v>0</v>
      </c>
      <c r="J100" s="9">
        <f>SUMPRODUCT(C100:E100,G100:I100)</f>
        <v>0</v>
      </c>
      <c r="K100" s="9">
        <f t="shared" ref="K100:M100" si="80">($G100-G100)*(C37*$B37)</f>
        <v>0</v>
      </c>
      <c r="L100" s="9">
        <f t="shared" si="80"/>
        <v>0</v>
      </c>
      <c r="M100" s="9">
        <f t="shared" si="80"/>
        <v>0</v>
      </c>
      <c r="N100" s="140">
        <f>K100+L100+M100</f>
        <v>0</v>
      </c>
    </row>
    <row r="101" spans="1:18" x14ac:dyDescent="0.25">
      <c r="A101" s="13" t="s">
        <v>140</v>
      </c>
      <c r="B101" s="40">
        <v>0</v>
      </c>
      <c r="C101" s="181">
        <f t="shared" ref="C101:E101" si="81">C68</f>
        <v>0</v>
      </c>
      <c r="D101" s="181">
        <f t="shared" si="81"/>
        <v>0</v>
      </c>
      <c r="E101" s="181">
        <f t="shared" si="81"/>
        <v>0</v>
      </c>
      <c r="F101" s="9">
        <f t="shared" ref="F101:F123" si="82">SUM(C101:E101)</f>
        <v>0</v>
      </c>
      <c r="G101" s="36">
        <f t="shared" ref="G101:G123" si="83">IFERROR(C101*$B101/(C38*$B38),0)</f>
        <v>0</v>
      </c>
      <c r="H101" s="36">
        <f t="shared" ref="H101:H124" si="84">IFERROR(D101*$B101/(D38*$B38),0)</f>
        <v>0</v>
      </c>
      <c r="I101" s="36">
        <f t="shared" ref="I101:I124" si="85">IFERROR(E101*$B101/(E38*$B38),0)</f>
        <v>0</v>
      </c>
      <c r="J101" s="9">
        <f t="shared" ref="J101:J123" si="86">SUMPRODUCT(C101:E101,G101:I101)</f>
        <v>0</v>
      </c>
      <c r="K101" s="9">
        <f t="shared" ref="K101:K123" si="87">($G101-G101)*(C38*$B38)</f>
        <v>0</v>
      </c>
      <c r="L101" s="9">
        <f t="shared" ref="L101:L123" si="88">($G101-H101)*(D38*$B38)</f>
        <v>0</v>
      </c>
      <c r="M101" s="9">
        <f t="shared" ref="M101:M123" si="89">($G101-I101)*(E38*$B38)</f>
        <v>0</v>
      </c>
      <c r="N101" s="140">
        <f t="shared" ref="N101:N123" si="90">K101+L101+M101</f>
        <v>0</v>
      </c>
    </row>
    <row r="102" spans="1:18" x14ac:dyDescent="0.25">
      <c r="A102" s="13" t="s">
        <v>141</v>
      </c>
      <c r="B102" s="40">
        <v>0</v>
      </c>
      <c r="C102" s="181">
        <f t="shared" ref="C102:E102" si="91">C69</f>
        <v>0</v>
      </c>
      <c r="D102" s="181">
        <f t="shared" si="91"/>
        <v>0</v>
      </c>
      <c r="E102" s="181">
        <f t="shared" si="91"/>
        <v>0</v>
      </c>
      <c r="F102" s="9">
        <f t="shared" si="82"/>
        <v>0</v>
      </c>
      <c r="G102" s="36">
        <f t="shared" si="83"/>
        <v>0</v>
      </c>
      <c r="H102" s="36">
        <f t="shared" si="84"/>
        <v>0</v>
      </c>
      <c r="I102" s="36">
        <f t="shared" si="85"/>
        <v>0</v>
      </c>
      <c r="J102" s="9">
        <f t="shared" si="86"/>
        <v>0</v>
      </c>
      <c r="K102" s="9">
        <f t="shared" si="87"/>
        <v>0</v>
      </c>
      <c r="L102" s="9">
        <f t="shared" si="88"/>
        <v>0</v>
      </c>
      <c r="M102" s="9">
        <f t="shared" si="89"/>
        <v>0</v>
      </c>
      <c r="N102" s="140">
        <f t="shared" si="90"/>
        <v>0</v>
      </c>
    </row>
    <row r="103" spans="1:18" x14ac:dyDescent="0.25">
      <c r="A103" s="13" t="s">
        <v>142</v>
      </c>
      <c r="B103" s="40">
        <v>0</v>
      </c>
      <c r="C103" s="181">
        <f t="shared" ref="C103:E103" si="92">C70</f>
        <v>0</v>
      </c>
      <c r="D103" s="181">
        <f t="shared" si="92"/>
        <v>0</v>
      </c>
      <c r="E103" s="181">
        <f t="shared" si="92"/>
        <v>0</v>
      </c>
      <c r="F103" s="9">
        <f t="shared" si="82"/>
        <v>0</v>
      </c>
      <c r="G103" s="36">
        <f t="shared" si="83"/>
        <v>0</v>
      </c>
      <c r="H103" s="36">
        <f t="shared" si="84"/>
        <v>0</v>
      </c>
      <c r="I103" s="36">
        <f t="shared" si="85"/>
        <v>0</v>
      </c>
      <c r="J103" s="9">
        <f t="shared" si="86"/>
        <v>0</v>
      </c>
      <c r="K103" s="9">
        <f t="shared" si="87"/>
        <v>0</v>
      </c>
      <c r="L103" s="9">
        <f t="shared" si="88"/>
        <v>0</v>
      </c>
      <c r="M103" s="9">
        <f t="shared" si="89"/>
        <v>0</v>
      </c>
      <c r="N103" s="140">
        <f t="shared" si="90"/>
        <v>0</v>
      </c>
    </row>
    <row r="104" spans="1:18" x14ac:dyDescent="0.25">
      <c r="A104" s="13" t="s">
        <v>143</v>
      </c>
      <c r="B104" s="40">
        <v>0</v>
      </c>
      <c r="C104" s="181">
        <f t="shared" ref="C104:E104" si="93">C71</f>
        <v>0</v>
      </c>
      <c r="D104" s="181">
        <f t="shared" si="93"/>
        <v>0</v>
      </c>
      <c r="E104" s="181">
        <f t="shared" si="93"/>
        <v>0</v>
      </c>
      <c r="F104" s="9">
        <f t="shared" si="82"/>
        <v>0</v>
      </c>
      <c r="G104" s="36">
        <f t="shared" si="83"/>
        <v>0</v>
      </c>
      <c r="H104" s="36">
        <f t="shared" si="84"/>
        <v>0</v>
      </c>
      <c r="I104" s="36">
        <f t="shared" si="85"/>
        <v>0</v>
      </c>
      <c r="J104" s="9">
        <f t="shared" si="86"/>
        <v>0</v>
      </c>
      <c r="K104" s="9">
        <f t="shared" si="87"/>
        <v>0</v>
      </c>
      <c r="L104" s="9">
        <f t="shared" si="88"/>
        <v>0</v>
      </c>
      <c r="M104" s="9">
        <f t="shared" si="89"/>
        <v>0</v>
      </c>
      <c r="N104" s="140">
        <f t="shared" si="90"/>
        <v>0</v>
      </c>
    </row>
    <row r="105" spans="1:18" x14ac:dyDescent="0.25">
      <c r="A105" s="13" t="s">
        <v>144</v>
      </c>
      <c r="B105" s="40">
        <v>0</v>
      </c>
      <c r="C105" s="181">
        <f t="shared" ref="C105:E105" si="94">C72</f>
        <v>0</v>
      </c>
      <c r="D105" s="181">
        <f t="shared" si="94"/>
        <v>0</v>
      </c>
      <c r="E105" s="181">
        <f t="shared" si="94"/>
        <v>0</v>
      </c>
      <c r="F105" s="9">
        <f t="shared" si="82"/>
        <v>0</v>
      </c>
      <c r="G105" s="36">
        <f t="shared" si="83"/>
        <v>0</v>
      </c>
      <c r="H105" s="36">
        <f t="shared" si="84"/>
        <v>0</v>
      </c>
      <c r="I105" s="36">
        <f t="shared" si="85"/>
        <v>0</v>
      </c>
      <c r="J105" s="9">
        <f t="shared" si="86"/>
        <v>0</v>
      </c>
      <c r="K105" s="9">
        <f t="shared" si="87"/>
        <v>0</v>
      </c>
      <c r="L105" s="9">
        <f t="shared" si="88"/>
        <v>0</v>
      </c>
      <c r="M105" s="9">
        <f t="shared" si="89"/>
        <v>0</v>
      </c>
      <c r="N105" s="140">
        <f t="shared" si="90"/>
        <v>0</v>
      </c>
    </row>
    <row r="106" spans="1:18" x14ac:dyDescent="0.25">
      <c r="A106" s="13" t="s">
        <v>145</v>
      </c>
      <c r="B106" s="40">
        <v>0</v>
      </c>
      <c r="C106" s="181">
        <f t="shared" ref="C106:E106" si="95">C73</f>
        <v>0</v>
      </c>
      <c r="D106" s="181">
        <f t="shared" si="95"/>
        <v>0</v>
      </c>
      <c r="E106" s="181">
        <f t="shared" si="95"/>
        <v>0</v>
      </c>
      <c r="F106" s="9">
        <f t="shared" si="82"/>
        <v>0</v>
      </c>
      <c r="G106" s="36">
        <f t="shared" si="83"/>
        <v>0</v>
      </c>
      <c r="H106" s="36">
        <f t="shared" si="84"/>
        <v>0</v>
      </c>
      <c r="I106" s="36">
        <f t="shared" si="85"/>
        <v>0</v>
      </c>
      <c r="J106" s="9">
        <f t="shared" si="86"/>
        <v>0</v>
      </c>
      <c r="K106" s="9">
        <f t="shared" si="87"/>
        <v>0</v>
      </c>
      <c r="L106" s="9">
        <f t="shared" si="88"/>
        <v>0</v>
      </c>
      <c r="M106" s="9">
        <f t="shared" si="89"/>
        <v>0</v>
      </c>
      <c r="N106" s="140">
        <f t="shared" si="90"/>
        <v>0</v>
      </c>
    </row>
    <row r="107" spans="1:18" x14ac:dyDescent="0.25">
      <c r="A107" s="13" t="s">
        <v>146</v>
      </c>
      <c r="B107" s="40">
        <v>0</v>
      </c>
      <c r="C107" s="181">
        <f t="shared" ref="C107:E107" si="96">C74</f>
        <v>0</v>
      </c>
      <c r="D107" s="181">
        <f t="shared" si="96"/>
        <v>0</v>
      </c>
      <c r="E107" s="181">
        <f t="shared" si="96"/>
        <v>0</v>
      </c>
      <c r="F107" s="9">
        <f t="shared" si="82"/>
        <v>0</v>
      </c>
      <c r="G107" s="36">
        <f t="shared" si="83"/>
        <v>0</v>
      </c>
      <c r="H107" s="36">
        <f t="shared" si="84"/>
        <v>0</v>
      </c>
      <c r="I107" s="36">
        <f t="shared" si="85"/>
        <v>0</v>
      </c>
      <c r="J107" s="9">
        <f t="shared" si="86"/>
        <v>0</v>
      </c>
      <c r="K107" s="9">
        <f t="shared" si="87"/>
        <v>0</v>
      </c>
      <c r="L107" s="9">
        <f t="shared" si="88"/>
        <v>0</v>
      </c>
      <c r="M107" s="9">
        <f t="shared" si="89"/>
        <v>0</v>
      </c>
      <c r="N107" s="140">
        <f t="shared" si="90"/>
        <v>0</v>
      </c>
    </row>
    <row r="108" spans="1:18" x14ac:dyDescent="0.25">
      <c r="A108" s="13" t="s">
        <v>147</v>
      </c>
      <c r="B108" s="40">
        <v>0</v>
      </c>
      <c r="C108" s="181">
        <f t="shared" ref="C108:E108" si="97">C75</f>
        <v>0</v>
      </c>
      <c r="D108" s="181">
        <f t="shared" si="97"/>
        <v>0</v>
      </c>
      <c r="E108" s="181">
        <f t="shared" si="97"/>
        <v>0</v>
      </c>
      <c r="F108" s="9">
        <f t="shared" si="82"/>
        <v>0</v>
      </c>
      <c r="G108" s="36">
        <f t="shared" si="83"/>
        <v>0</v>
      </c>
      <c r="H108" s="36">
        <f t="shared" si="84"/>
        <v>0</v>
      </c>
      <c r="I108" s="36">
        <f t="shared" si="85"/>
        <v>0</v>
      </c>
      <c r="J108" s="9">
        <f t="shared" si="86"/>
        <v>0</v>
      </c>
      <c r="K108" s="9">
        <f t="shared" si="87"/>
        <v>0</v>
      </c>
      <c r="L108" s="9">
        <f t="shared" si="88"/>
        <v>0</v>
      </c>
      <c r="M108" s="9">
        <f t="shared" si="89"/>
        <v>0</v>
      </c>
      <c r="N108" s="140">
        <f t="shared" si="90"/>
        <v>0</v>
      </c>
    </row>
    <row r="109" spans="1:18" x14ac:dyDescent="0.25">
      <c r="A109" s="13" t="s">
        <v>148</v>
      </c>
      <c r="B109" s="40">
        <v>0</v>
      </c>
      <c r="C109" s="181">
        <f t="shared" ref="C109:E109" si="98">C76</f>
        <v>0</v>
      </c>
      <c r="D109" s="181">
        <f t="shared" si="98"/>
        <v>0</v>
      </c>
      <c r="E109" s="181">
        <f t="shared" si="98"/>
        <v>0</v>
      </c>
      <c r="F109" s="9">
        <f t="shared" si="82"/>
        <v>0</v>
      </c>
      <c r="G109" s="36">
        <f t="shared" si="83"/>
        <v>0</v>
      </c>
      <c r="H109" s="36">
        <f t="shared" si="84"/>
        <v>0</v>
      </c>
      <c r="I109" s="36">
        <f t="shared" si="85"/>
        <v>0</v>
      </c>
      <c r="J109" s="9">
        <f t="shared" si="86"/>
        <v>0</v>
      </c>
      <c r="K109" s="9">
        <f t="shared" si="87"/>
        <v>0</v>
      </c>
      <c r="L109" s="9">
        <f t="shared" si="88"/>
        <v>0</v>
      </c>
      <c r="M109" s="9">
        <f t="shared" si="89"/>
        <v>0</v>
      </c>
      <c r="N109" s="140">
        <f t="shared" si="90"/>
        <v>0</v>
      </c>
    </row>
    <row r="110" spans="1:18" x14ac:dyDescent="0.25">
      <c r="A110" s="13" t="s">
        <v>149</v>
      </c>
      <c r="B110" s="40">
        <v>0</v>
      </c>
      <c r="C110" s="181">
        <f t="shared" ref="C110:E110" si="99">C77</f>
        <v>0</v>
      </c>
      <c r="D110" s="181">
        <f t="shared" si="99"/>
        <v>0</v>
      </c>
      <c r="E110" s="181">
        <f t="shared" si="99"/>
        <v>0</v>
      </c>
      <c r="F110" s="9">
        <f t="shared" si="82"/>
        <v>0</v>
      </c>
      <c r="G110" s="36">
        <f t="shared" si="83"/>
        <v>0</v>
      </c>
      <c r="H110" s="36">
        <f t="shared" si="84"/>
        <v>0</v>
      </c>
      <c r="I110" s="36">
        <f t="shared" si="85"/>
        <v>0</v>
      </c>
      <c r="J110" s="9">
        <f t="shared" si="86"/>
        <v>0</v>
      </c>
      <c r="K110" s="9">
        <f t="shared" si="87"/>
        <v>0</v>
      </c>
      <c r="L110" s="9">
        <f t="shared" si="88"/>
        <v>0</v>
      </c>
      <c r="M110" s="9">
        <f t="shared" si="89"/>
        <v>0</v>
      </c>
      <c r="N110" s="140">
        <f t="shared" si="90"/>
        <v>0</v>
      </c>
    </row>
    <row r="111" spans="1:18" x14ac:dyDescent="0.25">
      <c r="A111" s="13" t="s">
        <v>150</v>
      </c>
      <c r="B111" s="40">
        <v>0</v>
      </c>
      <c r="C111" s="181">
        <f t="shared" ref="C111:E111" si="100">C78</f>
        <v>0</v>
      </c>
      <c r="D111" s="181">
        <f t="shared" si="100"/>
        <v>0</v>
      </c>
      <c r="E111" s="181">
        <f t="shared" si="100"/>
        <v>0</v>
      </c>
      <c r="F111" s="9">
        <f t="shared" si="82"/>
        <v>0</v>
      </c>
      <c r="G111" s="36">
        <f t="shared" si="83"/>
        <v>0</v>
      </c>
      <c r="H111" s="36">
        <f t="shared" si="84"/>
        <v>0</v>
      </c>
      <c r="I111" s="36">
        <f t="shared" si="85"/>
        <v>0</v>
      </c>
      <c r="J111" s="9">
        <f t="shared" si="86"/>
        <v>0</v>
      </c>
      <c r="K111" s="9">
        <f t="shared" si="87"/>
        <v>0</v>
      </c>
      <c r="L111" s="9">
        <f t="shared" si="88"/>
        <v>0</v>
      </c>
      <c r="M111" s="9">
        <f t="shared" si="89"/>
        <v>0</v>
      </c>
      <c r="N111" s="140">
        <f t="shared" si="90"/>
        <v>0</v>
      </c>
    </row>
    <row r="112" spans="1:18" x14ac:dyDescent="0.25">
      <c r="A112" s="13" t="s">
        <v>151</v>
      </c>
      <c r="B112" s="40">
        <v>0</v>
      </c>
      <c r="C112" s="181">
        <f t="shared" ref="C112:E112" si="101">C79</f>
        <v>0</v>
      </c>
      <c r="D112" s="181">
        <f t="shared" si="101"/>
        <v>0</v>
      </c>
      <c r="E112" s="181">
        <f t="shared" si="101"/>
        <v>0</v>
      </c>
      <c r="F112" s="9">
        <f t="shared" si="82"/>
        <v>0</v>
      </c>
      <c r="G112" s="36">
        <f t="shared" si="83"/>
        <v>0</v>
      </c>
      <c r="H112" s="36">
        <f t="shared" si="84"/>
        <v>0</v>
      </c>
      <c r="I112" s="36">
        <f t="shared" si="85"/>
        <v>0</v>
      </c>
      <c r="J112" s="9">
        <f t="shared" si="86"/>
        <v>0</v>
      </c>
      <c r="K112" s="9">
        <f t="shared" si="87"/>
        <v>0</v>
      </c>
      <c r="L112" s="9">
        <f t="shared" si="88"/>
        <v>0</v>
      </c>
      <c r="M112" s="9">
        <f t="shared" si="89"/>
        <v>0</v>
      </c>
      <c r="N112" s="140">
        <f t="shared" si="90"/>
        <v>0</v>
      </c>
    </row>
    <row r="113" spans="1:21" x14ac:dyDescent="0.25">
      <c r="A113" s="13" t="s">
        <v>152</v>
      </c>
      <c r="B113" s="40">
        <v>0</v>
      </c>
      <c r="C113" s="181">
        <f t="shared" ref="C113:E113" si="102">C80</f>
        <v>0</v>
      </c>
      <c r="D113" s="181">
        <f t="shared" si="102"/>
        <v>0</v>
      </c>
      <c r="E113" s="181">
        <f t="shared" si="102"/>
        <v>0</v>
      </c>
      <c r="F113" s="9">
        <f t="shared" si="82"/>
        <v>0</v>
      </c>
      <c r="G113" s="36">
        <f t="shared" si="83"/>
        <v>0</v>
      </c>
      <c r="H113" s="36">
        <f t="shared" si="84"/>
        <v>0</v>
      </c>
      <c r="I113" s="36">
        <f t="shared" si="85"/>
        <v>0</v>
      </c>
      <c r="J113" s="9">
        <f t="shared" si="86"/>
        <v>0</v>
      </c>
      <c r="K113" s="9">
        <f t="shared" si="87"/>
        <v>0</v>
      </c>
      <c r="L113" s="9">
        <f t="shared" si="88"/>
        <v>0</v>
      </c>
      <c r="M113" s="9">
        <f t="shared" si="89"/>
        <v>0</v>
      </c>
      <c r="N113" s="140">
        <f t="shared" si="90"/>
        <v>0</v>
      </c>
    </row>
    <row r="114" spans="1:21" x14ac:dyDescent="0.25">
      <c r="A114" s="13" t="s">
        <v>153</v>
      </c>
      <c r="B114" s="40">
        <v>0</v>
      </c>
      <c r="C114" s="181">
        <f t="shared" ref="C114:E114" si="103">C81</f>
        <v>0</v>
      </c>
      <c r="D114" s="181">
        <f t="shared" si="103"/>
        <v>0</v>
      </c>
      <c r="E114" s="181">
        <f t="shared" si="103"/>
        <v>0</v>
      </c>
      <c r="F114" s="9">
        <f t="shared" si="82"/>
        <v>0</v>
      </c>
      <c r="G114" s="36">
        <f t="shared" si="83"/>
        <v>0</v>
      </c>
      <c r="H114" s="36">
        <f t="shared" si="84"/>
        <v>0</v>
      </c>
      <c r="I114" s="36">
        <f t="shared" si="85"/>
        <v>0</v>
      </c>
      <c r="J114" s="9">
        <f t="shared" si="86"/>
        <v>0</v>
      </c>
      <c r="K114" s="9">
        <f t="shared" si="87"/>
        <v>0</v>
      </c>
      <c r="L114" s="9">
        <f t="shared" si="88"/>
        <v>0</v>
      </c>
      <c r="M114" s="9">
        <f t="shared" si="89"/>
        <v>0</v>
      </c>
      <c r="N114" s="140">
        <f t="shared" si="90"/>
        <v>0</v>
      </c>
    </row>
    <row r="115" spans="1:21" x14ac:dyDescent="0.25">
      <c r="A115" s="13" t="s">
        <v>154</v>
      </c>
      <c r="B115" s="40">
        <v>0</v>
      </c>
      <c r="C115" s="181">
        <f t="shared" ref="C115:E115" si="104">C82</f>
        <v>0</v>
      </c>
      <c r="D115" s="181">
        <f t="shared" si="104"/>
        <v>0</v>
      </c>
      <c r="E115" s="181">
        <f t="shared" si="104"/>
        <v>0</v>
      </c>
      <c r="F115" s="9">
        <f t="shared" si="82"/>
        <v>0</v>
      </c>
      <c r="G115" s="36">
        <f t="shared" si="83"/>
        <v>0</v>
      </c>
      <c r="H115" s="36">
        <f t="shared" si="84"/>
        <v>0</v>
      </c>
      <c r="I115" s="36">
        <f t="shared" si="85"/>
        <v>0</v>
      </c>
      <c r="J115" s="9">
        <f t="shared" si="86"/>
        <v>0</v>
      </c>
      <c r="K115" s="9">
        <f t="shared" si="87"/>
        <v>0</v>
      </c>
      <c r="L115" s="9">
        <f t="shared" si="88"/>
        <v>0</v>
      </c>
      <c r="M115" s="9">
        <f t="shared" si="89"/>
        <v>0</v>
      </c>
      <c r="N115" s="140">
        <f t="shared" si="90"/>
        <v>0</v>
      </c>
    </row>
    <row r="116" spans="1:21" x14ac:dyDescent="0.25">
      <c r="A116" s="13" t="s">
        <v>155</v>
      </c>
      <c r="B116" s="40">
        <v>0</v>
      </c>
      <c r="C116" s="181">
        <f t="shared" ref="C116:E116" si="105">C83</f>
        <v>0</v>
      </c>
      <c r="D116" s="181">
        <f t="shared" si="105"/>
        <v>0</v>
      </c>
      <c r="E116" s="181">
        <f t="shared" si="105"/>
        <v>0</v>
      </c>
      <c r="F116" s="9">
        <f t="shared" si="82"/>
        <v>0</v>
      </c>
      <c r="G116" s="36">
        <f t="shared" si="83"/>
        <v>0</v>
      </c>
      <c r="H116" s="36">
        <f t="shared" si="84"/>
        <v>0</v>
      </c>
      <c r="I116" s="36">
        <f t="shared" si="85"/>
        <v>0</v>
      </c>
      <c r="J116" s="9">
        <f t="shared" si="86"/>
        <v>0</v>
      </c>
      <c r="K116" s="9">
        <f t="shared" si="87"/>
        <v>0</v>
      </c>
      <c r="L116" s="9">
        <f t="shared" si="88"/>
        <v>0</v>
      </c>
      <c r="M116" s="9">
        <f t="shared" si="89"/>
        <v>0</v>
      </c>
      <c r="N116" s="140">
        <f t="shared" si="90"/>
        <v>0</v>
      </c>
    </row>
    <row r="117" spans="1:21" x14ac:dyDescent="0.25">
      <c r="A117" s="13" t="s">
        <v>156</v>
      </c>
      <c r="B117" s="40">
        <v>0</v>
      </c>
      <c r="C117" s="181">
        <f t="shared" ref="C117:E117" si="106">C84</f>
        <v>0</v>
      </c>
      <c r="D117" s="181">
        <f t="shared" si="106"/>
        <v>0</v>
      </c>
      <c r="E117" s="181">
        <f t="shared" si="106"/>
        <v>0</v>
      </c>
      <c r="F117" s="9">
        <f t="shared" si="82"/>
        <v>0</v>
      </c>
      <c r="G117" s="36">
        <f t="shared" si="83"/>
        <v>0</v>
      </c>
      <c r="H117" s="36">
        <f t="shared" si="84"/>
        <v>0</v>
      </c>
      <c r="I117" s="36">
        <f t="shared" si="85"/>
        <v>0</v>
      </c>
      <c r="J117" s="9">
        <f t="shared" si="86"/>
        <v>0</v>
      </c>
      <c r="K117" s="9">
        <f t="shared" si="87"/>
        <v>0</v>
      </c>
      <c r="L117" s="9">
        <f t="shared" si="88"/>
        <v>0</v>
      </c>
      <c r="M117" s="9">
        <f t="shared" si="89"/>
        <v>0</v>
      </c>
      <c r="N117" s="140">
        <f t="shared" si="90"/>
        <v>0</v>
      </c>
    </row>
    <row r="118" spans="1:21" x14ac:dyDescent="0.25">
      <c r="A118" s="13" t="s">
        <v>157</v>
      </c>
      <c r="B118" s="40">
        <v>0</v>
      </c>
      <c r="C118" s="181">
        <f t="shared" ref="C118:E118" si="107">C85</f>
        <v>0</v>
      </c>
      <c r="D118" s="181">
        <f t="shared" si="107"/>
        <v>0</v>
      </c>
      <c r="E118" s="181">
        <f t="shared" si="107"/>
        <v>0</v>
      </c>
      <c r="F118" s="9">
        <f t="shared" si="82"/>
        <v>0</v>
      </c>
      <c r="G118" s="36">
        <f t="shared" si="83"/>
        <v>0</v>
      </c>
      <c r="H118" s="36">
        <f t="shared" si="84"/>
        <v>0</v>
      </c>
      <c r="I118" s="36">
        <f t="shared" si="85"/>
        <v>0</v>
      </c>
      <c r="J118" s="9">
        <f t="shared" si="86"/>
        <v>0</v>
      </c>
      <c r="K118" s="9">
        <f t="shared" si="87"/>
        <v>0</v>
      </c>
      <c r="L118" s="9">
        <f t="shared" si="88"/>
        <v>0</v>
      </c>
      <c r="M118" s="9">
        <f t="shared" si="89"/>
        <v>0</v>
      </c>
      <c r="N118" s="140">
        <f t="shared" si="90"/>
        <v>0</v>
      </c>
      <c r="S118" s="29"/>
      <c r="T118" s="343">
        <v>0.10482673846153846</v>
      </c>
      <c r="U118" s="29" t="s">
        <v>343</v>
      </c>
    </row>
    <row r="119" spans="1:21" x14ac:dyDescent="0.25">
      <c r="A119" s="13" t="s">
        <v>158</v>
      </c>
      <c r="B119" s="40">
        <v>0</v>
      </c>
      <c r="C119" s="181">
        <f t="shared" ref="C119:E119" si="108">C86</f>
        <v>0</v>
      </c>
      <c r="D119" s="181">
        <f t="shared" si="108"/>
        <v>0</v>
      </c>
      <c r="E119" s="181">
        <f t="shared" si="108"/>
        <v>0</v>
      </c>
      <c r="F119" s="9">
        <f t="shared" si="82"/>
        <v>0</v>
      </c>
      <c r="G119" s="36">
        <f t="shared" si="83"/>
        <v>0</v>
      </c>
      <c r="H119" s="36">
        <f t="shared" si="84"/>
        <v>0</v>
      </c>
      <c r="I119" s="36">
        <f t="shared" si="85"/>
        <v>0</v>
      </c>
      <c r="J119" s="9">
        <f t="shared" si="86"/>
        <v>0</v>
      </c>
      <c r="K119" s="9">
        <f t="shared" si="87"/>
        <v>0</v>
      </c>
      <c r="L119" s="9">
        <f t="shared" si="88"/>
        <v>0</v>
      </c>
      <c r="M119" s="9">
        <f t="shared" si="89"/>
        <v>0</v>
      </c>
      <c r="N119" s="140">
        <f t="shared" si="90"/>
        <v>0</v>
      </c>
    </row>
    <row r="120" spans="1:21" x14ac:dyDescent="0.25">
      <c r="A120" s="13" t="s">
        <v>159</v>
      </c>
      <c r="B120" s="40">
        <v>0</v>
      </c>
      <c r="C120" s="181">
        <f t="shared" ref="C120:E120" si="109">C87</f>
        <v>0</v>
      </c>
      <c r="D120" s="181">
        <f t="shared" si="109"/>
        <v>0</v>
      </c>
      <c r="E120" s="181">
        <f t="shared" si="109"/>
        <v>0</v>
      </c>
      <c r="F120" s="9">
        <f t="shared" si="82"/>
        <v>0</v>
      </c>
      <c r="G120" s="36">
        <f t="shared" si="83"/>
        <v>0</v>
      </c>
      <c r="H120" s="36">
        <f t="shared" si="84"/>
        <v>0</v>
      </c>
      <c r="I120" s="36">
        <f t="shared" si="85"/>
        <v>0</v>
      </c>
      <c r="J120" s="9">
        <f t="shared" si="86"/>
        <v>0</v>
      </c>
      <c r="K120" s="9">
        <f t="shared" si="87"/>
        <v>0</v>
      </c>
      <c r="L120" s="9">
        <f t="shared" si="88"/>
        <v>0</v>
      </c>
      <c r="M120" s="9">
        <f t="shared" si="89"/>
        <v>0</v>
      </c>
      <c r="N120" s="140">
        <f t="shared" si="90"/>
        <v>0</v>
      </c>
    </row>
    <row r="121" spans="1:21" x14ac:dyDescent="0.25">
      <c r="A121" s="13" t="s">
        <v>160</v>
      </c>
      <c r="B121" s="40">
        <v>0</v>
      </c>
      <c r="C121" s="181">
        <f t="shared" ref="C121:E121" si="110">C88</f>
        <v>0</v>
      </c>
      <c r="D121" s="181">
        <f t="shared" si="110"/>
        <v>0</v>
      </c>
      <c r="E121" s="181">
        <f t="shared" si="110"/>
        <v>0</v>
      </c>
      <c r="F121" s="9">
        <f t="shared" si="82"/>
        <v>0</v>
      </c>
      <c r="G121" s="36">
        <f t="shared" si="83"/>
        <v>0</v>
      </c>
      <c r="H121" s="36">
        <f t="shared" si="84"/>
        <v>0</v>
      </c>
      <c r="I121" s="36">
        <f t="shared" si="85"/>
        <v>0</v>
      </c>
      <c r="J121" s="9">
        <f t="shared" si="86"/>
        <v>0</v>
      </c>
      <c r="K121" s="9">
        <f t="shared" si="87"/>
        <v>0</v>
      </c>
      <c r="L121" s="9">
        <f t="shared" si="88"/>
        <v>0</v>
      </c>
      <c r="M121" s="9">
        <f t="shared" si="89"/>
        <v>0</v>
      </c>
      <c r="N121" s="140">
        <f t="shared" si="90"/>
        <v>0</v>
      </c>
    </row>
    <row r="122" spans="1:21" x14ac:dyDescent="0.25">
      <c r="A122" s="13" t="s">
        <v>161</v>
      </c>
      <c r="B122" s="40">
        <v>0</v>
      </c>
      <c r="C122" s="181">
        <f t="shared" ref="C122:E122" si="111">C89</f>
        <v>0</v>
      </c>
      <c r="D122" s="181">
        <f t="shared" si="111"/>
        <v>0</v>
      </c>
      <c r="E122" s="181">
        <f t="shared" si="111"/>
        <v>0</v>
      </c>
      <c r="F122" s="9">
        <f t="shared" si="82"/>
        <v>0</v>
      </c>
      <c r="G122" s="36">
        <f t="shared" si="83"/>
        <v>0</v>
      </c>
      <c r="H122" s="36">
        <f t="shared" si="84"/>
        <v>0</v>
      </c>
      <c r="I122" s="36">
        <f t="shared" si="85"/>
        <v>0</v>
      </c>
      <c r="J122" s="9">
        <f t="shared" si="86"/>
        <v>0</v>
      </c>
      <c r="K122" s="9">
        <f t="shared" si="87"/>
        <v>0</v>
      </c>
      <c r="L122" s="9">
        <f t="shared" si="88"/>
        <v>0</v>
      </c>
      <c r="M122" s="9">
        <f t="shared" si="89"/>
        <v>0</v>
      </c>
      <c r="N122" s="140">
        <f t="shared" si="90"/>
        <v>0</v>
      </c>
    </row>
    <row r="123" spans="1:21" x14ac:dyDescent="0.25">
      <c r="A123" s="13" t="s">
        <v>162</v>
      </c>
      <c r="B123" s="40">
        <v>0</v>
      </c>
      <c r="C123" s="181">
        <f t="shared" ref="C123:E123" si="112">C90</f>
        <v>0</v>
      </c>
      <c r="D123" s="181">
        <f t="shared" si="112"/>
        <v>0</v>
      </c>
      <c r="E123" s="181">
        <f t="shared" si="112"/>
        <v>0</v>
      </c>
      <c r="F123" s="9">
        <f t="shared" si="82"/>
        <v>0</v>
      </c>
      <c r="G123" s="36">
        <f t="shared" si="83"/>
        <v>0</v>
      </c>
      <c r="H123" s="36">
        <f t="shared" si="84"/>
        <v>0</v>
      </c>
      <c r="I123" s="36">
        <f t="shared" si="85"/>
        <v>0</v>
      </c>
      <c r="J123" s="9">
        <f t="shared" si="86"/>
        <v>0</v>
      </c>
      <c r="K123" s="9">
        <f t="shared" si="87"/>
        <v>0</v>
      </c>
      <c r="L123" s="9">
        <f t="shared" si="88"/>
        <v>0</v>
      </c>
      <c r="M123" s="9">
        <f t="shared" si="89"/>
        <v>0</v>
      </c>
      <c r="N123" s="140">
        <f t="shared" si="90"/>
        <v>0</v>
      </c>
    </row>
    <row r="124" spans="1:21" x14ac:dyDescent="0.25">
      <c r="A124" s="1" t="s">
        <v>163</v>
      </c>
      <c r="B124" s="10">
        <f>SUM(B100:B123)</f>
        <v>0</v>
      </c>
      <c r="C124" s="10" t="e">
        <f>SUMPRODUCT($B$100:$B$123,C100:C123)/$B$124</f>
        <v>#DIV/0!</v>
      </c>
      <c r="D124" s="10" t="e">
        <f>SUMPRODUCT($B$100:$B$123,D100:D123)/$B$124</f>
        <v>#DIV/0!</v>
      </c>
      <c r="E124" s="10" t="e">
        <f>SUMPRODUCT($B$100:$B$123,E100:E123)/$B$124</f>
        <v>#DIV/0!</v>
      </c>
      <c r="F124" s="10" t="e">
        <f>SUM(C124:E124)</f>
        <v>#DIV/0!</v>
      </c>
      <c r="G124" s="38">
        <f>IFERROR(C124*$B124/(C61*$B61),0)</f>
        <v>0</v>
      </c>
      <c r="H124" s="38">
        <f t="shared" si="84"/>
        <v>0</v>
      </c>
      <c r="I124" s="38">
        <f t="shared" si="85"/>
        <v>0</v>
      </c>
      <c r="J124" s="10">
        <f>IFERROR(SUMPRODUCT($B$100:$B$123,J100:J123)/$B$124,0)</f>
        <v>0</v>
      </c>
      <c r="K124" s="10">
        <f>SUM(K100:K123)</f>
        <v>0</v>
      </c>
      <c r="L124" s="10">
        <f t="shared" ref="L124:N124" si="113">SUM(L100:L123)</f>
        <v>0</v>
      </c>
      <c r="M124" s="10">
        <f t="shared" si="113"/>
        <v>0</v>
      </c>
      <c r="N124" s="26">
        <f t="shared" si="113"/>
        <v>0</v>
      </c>
    </row>
    <row r="126" spans="1:21" x14ac:dyDescent="0.25">
      <c r="A126" s="1" t="s">
        <v>332</v>
      </c>
      <c r="D126" s="2"/>
      <c r="E126" s="2"/>
      <c r="H126" s="20" t="s">
        <v>333</v>
      </c>
    </row>
    <row r="127" spans="1:21" ht="18" x14ac:dyDescent="0.35">
      <c r="A127" s="1"/>
      <c r="B127" s="1" t="s">
        <v>334</v>
      </c>
      <c r="D127" s="124">
        <f>44*F127/12</f>
        <v>187</v>
      </c>
      <c r="E127" s="73" t="s">
        <v>335</v>
      </c>
      <c r="F127" s="62">
        <v>51</v>
      </c>
      <c r="G127" t="s">
        <v>96</v>
      </c>
      <c r="H127" s="20" t="s">
        <v>336</v>
      </c>
    </row>
    <row r="128" spans="1:21" x14ac:dyDescent="0.25">
      <c r="A128" s="1"/>
      <c r="B128" s="1" t="s">
        <v>426</v>
      </c>
      <c r="D128" s="703">
        <v>5.7999999999999996E-3</v>
      </c>
      <c r="E128" s="1"/>
      <c r="F128" s="74" t="s">
        <v>338</v>
      </c>
      <c r="H128" s="20" t="s">
        <v>339</v>
      </c>
    </row>
    <row r="129" spans="1:30" x14ac:dyDescent="0.25">
      <c r="A129" s="1"/>
      <c r="B129" s="1" t="s">
        <v>427</v>
      </c>
      <c r="C129" s="1"/>
      <c r="D129" s="5">
        <v>10</v>
      </c>
      <c r="E129" s="1"/>
      <c r="F129" s="63" t="s">
        <v>239</v>
      </c>
      <c r="G129" s="69">
        <f>10000*(D129/100)*D131</f>
        <v>1400</v>
      </c>
      <c r="H129" s="77"/>
      <c r="R129" s="29" t="s">
        <v>342</v>
      </c>
    </row>
    <row r="130" spans="1:30" x14ac:dyDescent="0.25">
      <c r="A130" s="1"/>
      <c r="B130" s="1" t="s">
        <v>428</v>
      </c>
      <c r="C130" s="1"/>
      <c r="D130" s="123" t="e">
        <f>G130/G129</f>
        <v>#DIV/0!</v>
      </c>
      <c r="E130" s="1"/>
      <c r="F130" s="63" t="s">
        <v>429</v>
      </c>
      <c r="G130" s="95" t="e">
        <f>'Soil-errosion2'!AO28</f>
        <v>#DIV/0!</v>
      </c>
      <c r="H130" t="s">
        <v>345</v>
      </c>
      <c r="I130" t="s">
        <v>346</v>
      </c>
      <c r="R130" s="29" t="s">
        <v>347</v>
      </c>
      <c r="S130" s="29"/>
      <c r="T130" s="344">
        <v>719.77</v>
      </c>
      <c r="U130" s="29" t="s">
        <v>348</v>
      </c>
    </row>
    <row r="131" spans="1:30" ht="17.25" x14ac:dyDescent="0.25">
      <c r="A131" s="1"/>
      <c r="B131" s="1" t="s">
        <v>430</v>
      </c>
      <c r="C131" s="1"/>
      <c r="D131" s="5">
        <v>1.4</v>
      </c>
      <c r="E131" s="1"/>
      <c r="F131" t="s">
        <v>350</v>
      </c>
      <c r="G131" s="140" t="e">
        <f>D129*G130/G129</f>
        <v>#DIV/0!</v>
      </c>
      <c r="I131" s="20" t="s">
        <v>351</v>
      </c>
    </row>
    <row r="132" spans="1:30" x14ac:dyDescent="0.25">
      <c r="A132" s="838" t="s">
        <v>101</v>
      </c>
      <c r="B132" s="814" t="s">
        <v>471</v>
      </c>
      <c r="C132" s="814"/>
      <c r="D132" s="814"/>
      <c r="E132" s="814"/>
      <c r="F132" s="814"/>
      <c r="H132" s="76"/>
    </row>
    <row r="133" spans="1:30" ht="86.25" x14ac:dyDescent="0.25">
      <c r="A133" s="838"/>
      <c r="B133" s="11" t="s">
        <v>353</v>
      </c>
      <c r="C133" s="839" t="s">
        <v>354</v>
      </c>
      <c r="D133" s="839"/>
      <c r="E133" s="839"/>
      <c r="F133" s="839" t="s">
        <v>355</v>
      </c>
      <c r="G133" s="839"/>
      <c r="H133" s="839"/>
      <c r="I133" s="839"/>
      <c r="J133" s="839" t="s">
        <v>356</v>
      </c>
      <c r="K133" s="839"/>
      <c r="L133" s="839"/>
      <c r="M133" s="839"/>
      <c r="N133" s="839" t="s">
        <v>357</v>
      </c>
      <c r="O133" s="839"/>
      <c r="P133" s="839"/>
      <c r="Q133" s="839"/>
      <c r="R133" s="839" t="s">
        <v>472</v>
      </c>
      <c r="S133" s="839" t="s">
        <v>473</v>
      </c>
      <c r="T133" s="839" t="s">
        <v>358</v>
      </c>
      <c r="U133" s="839" t="s">
        <v>359</v>
      </c>
      <c r="V133" s="839" t="s">
        <v>474</v>
      </c>
      <c r="W133" s="839" t="s">
        <v>362</v>
      </c>
      <c r="X133" s="839" t="s">
        <v>475</v>
      </c>
      <c r="Y133" s="839" t="s">
        <v>361</v>
      </c>
      <c r="Z133" s="839" t="s">
        <v>363</v>
      </c>
      <c r="AA133" s="11" t="s">
        <v>364</v>
      </c>
      <c r="AB133" s="11" t="s">
        <v>365</v>
      </c>
      <c r="AC133" s="839" t="s">
        <v>366</v>
      </c>
      <c r="AD133" s="11" t="s">
        <v>367</v>
      </c>
    </row>
    <row r="134" spans="1:30" x14ac:dyDescent="0.25">
      <c r="A134" s="17"/>
      <c r="B134" s="11"/>
      <c r="C134" s="11" t="s">
        <v>234</v>
      </c>
      <c r="D134" s="11" t="s">
        <v>368</v>
      </c>
      <c r="E134" s="11" t="s">
        <v>238</v>
      </c>
      <c r="F134" s="11" t="s">
        <v>234</v>
      </c>
      <c r="G134" s="11" t="s">
        <v>368</v>
      </c>
      <c r="H134" s="11" t="s">
        <v>238</v>
      </c>
      <c r="I134" s="11" t="s">
        <v>120</v>
      </c>
      <c r="J134" s="11" t="s">
        <v>234</v>
      </c>
      <c r="K134" s="11" t="s">
        <v>368</v>
      </c>
      <c r="L134" s="11" t="s">
        <v>238</v>
      </c>
      <c r="M134" s="11" t="s">
        <v>120</v>
      </c>
      <c r="N134" s="11" t="s">
        <v>234</v>
      </c>
      <c r="O134" s="11" t="s">
        <v>368</v>
      </c>
      <c r="P134" s="11" t="s">
        <v>238</v>
      </c>
      <c r="Q134" s="11" t="s">
        <v>120</v>
      </c>
      <c r="R134" s="839"/>
      <c r="S134" s="839"/>
      <c r="T134" s="839"/>
      <c r="U134" s="839"/>
      <c r="V134" s="839"/>
      <c r="W134" s="839"/>
      <c r="X134" s="839"/>
      <c r="Y134" s="839"/>
      <c r="Z134" s="839"/>
      <c r="AA134" s="11"/>
      <c r="AB134" s="11"/>
      <c r="AC134" s="839"/>
    </row>
    <row r="135" spans="1:30" x14ac:dyDescent="0.25">
      <c r="A135" s="13" t="s">
        <v>139</v>
      </c>
      <c r="B135" s="4"/>
      <c r="C135" s="64"/>
      <c r="D135" s="64"/>
      <c r="E135" s="64"/>
      <c r="F135" s="185">
        <f>'Percent-Soil-Carbon-Content'!E4*'Soil-errosion2'!E4</f>
        <v>0</v>
      </c>
      <c r="G135" s="185">
        <f>'Percent-Soil-Carbon-Content'!P4*'Soil-errosion2'!Q4</f>
        <v>0</v>
      </c>
      <c r="H135" s="185">
        <f>'Percent-Soil-Carbon-Content'!AA4*'Soil-errosion2'!AC4</f>
        <v>0</v>
      </c>
      <c r="I135" s="95">
        <f>SUMPRODUCT(F135:H135,$C$37:$E$37)</f>
        <v>0</v>
      </c>
      <c r="J135" s="185">
        <f>F135</f>
        <v>0</v>
      </c>
      <c r="K135" s="185">
        <f t="shared" ref="K135:L135" si="114">G135</f>
        <v>0</v>
      </c>
      <c r="L135" s="185">
        <f t="shared" si="114"/>
        <v>0</v>
      </c>
      <c r="M135" s="185">
        <f>SUMPRODUCT(J135:L135,C67:E67)</f>
        <v>0</v>
      </c>
      <c r="N135" s="67">
        <f>J135*C37*$B37</f>
        <v>0</v>
      </c>
      <c r="O135" s="67">
        <f>K135*D37*$B37</f>
        <v>0</v>
      </c>
      <c r="P135" s="67">
        <f>L135*E37*$B37</f>
        <v>0</v>
      </c>
      <c r="Q135" s="67">
        <f>SUM(N135:P135)</f>
        <v>0</v>
      </c>
      <c r="R135" s="346" t="e">
        <f>'value-of-carbon-in-Greenhouses'!F29</f>
        <v>#DIV/0!</v>
      </c>
      <c r="S135" s="67" t="e">
        <f>R135*$T$118*$T$130/1000000</f>
        <v>#DIV/0!</v>
      </c>
      <c r="T135" s="349">
        <f>'Value-of-fuel-used-under-CT'!E4</f>
        <v>0</v>
      </c>
      <c r="U135" s="350">
        <f>1000*T135*$T$130/1000000</f>
        <v>0</v>
      </c>
      <c r="V135" s="24" t="e">
        <f>Q135+S135+U135</f>
        <v>#DIV/0!</v>
      </c>
      <c r="W135" s="24">
        <f>Q135*$D$127</f>
        <v>0</v>
      </c>
      <c r="X135" s="24" t="e">
        <f>S135*$D$127</f>
        <v>#DIV/0!</v>
      </c>
      <c r="Y135" s="24">
        <f>U135*$D$127</f>
        <v>0</v>
      </c>
      <c r="Z135" s="38" t="e">
        <f>W135+X135+Y135</f>
        <v>#DIV/0!</v>
      </c>
      <c r="AA135" s="9">
        <v>0</v>
      </c>
      <c r="AB135" s="9">
        <v>0</v>
      </c>
      <c r="AC135" s="38" t="e">
        <f>B135+Z135+AA135+AB135</f>
        <v>#DIV/0!</v>
      </c>
    </row>
    <row r="136" spans="1:30" x14ac:dyDescent="0.25">
      <c r="A136" s="13" t="s">
        <v>140</v>
      </c>
      <c r="B136" s="4"/>
      <c r="C136" s="64"/>
      <c r="D136" s="64"/>
      <c r="E136" s="64"/>
      <c r="F136" s="185">
        <f>'Percent-Soil-Carbon-Content'!E5*'Soil-errosion2'!E5</f>
        <v>0</v>
      </c>
      <c r="G136" s="185">
        <f>'Percent-Soil-Carbon-Content'!P5*'Soil-errosion2'!Q5</f>
        <v>0</v>
      </c>
      <c r="H136" s="185">
        <f>'Percent-Soil-Carbon-Content'!AA5*'Soil-errosion2'!AC5</f>
        <v>0</v>
      </c>
      <c r="I136" s="95">
        <f t="shared" ref="I136:I158" si="115">SUMPRODUCT(F136:H136,$C$37:$E$37)</f>
        <v>0</v>
      </c>
      <c r="J136" s="185">
        <f t="shared" ref="J136:J158" si="116">F136</f>
        <v>0</v>
      </c>
      <c r="K136" s="185">
        <f t="shared" ref="K136:K158" si="117">G136</f>
        <v>0</v>
      </c>
      <c r="L136" s="185">
        <f t="shared" ref="L136:L158" si="118">H136</f>
        <v>0</v>
      </c>
      <c r="M136" s="185">
        <f t="shared" ref="M136:M158" si="119">SUMPRODUCT(J136:L136,C68:E68)</f>
        <v>0</v>
      </c>
      <c r="N136" s="67">
        <f t="shared" ref="N136:P136" si="120">J136*C38*$B38</f>
        <v>0</v>
      </c>
      <c r="O136" s="67">
        <f t="shared" si="120"/>
        <v>0</v>
      </c>
      <c r="P136" s="67">
        <f t="shared" si="120"/>
        <v>0</v>
      </c>
      <c r="Q136" s="67">
        <f t="shared" ref="Q136:Q158" si="121">SUM(N136:P136)</f>
        <v>0</v>
      </c>
      <c r="R136" s="346" t="e">
        <f>'value-of-carbon-in-Greenhouses'!F30</f>
        <v>#DIV/0!</v>
      </c>
      <c r="S136" s="67" t="e">
        <f t="shared" ref="S136:S158" si="122">R136*$T$118*$T$130/1000000</f>
        <v>#DIV/0!</v>
      </c>
      <c r="T136" s="349">
        <f>'Value-of-fuel-used-under-CT'!E5</f>
        <v>0</v>
      </c>
      <c r="U136" s="350">
        <f t="shared" ref="U136:U158" si="123">1000*T136*$T$130/1000000</f>
        <v>0</v>
      </c>
      <c r="V136" s="24" t="e">
        <f t="shared" ref="V136:V158" si="124">Q136+S136+U136</f>
        <v>#DIV/0!</v>
      </c>
      <c r="W136" s="24">
        <f t="shared" ref="W136:W158" si="125">Q136*$D$127</f>
        <v>0</v>
      </c>
      <c r="X136" s="24" t="e">
        <f t="shared" ref="X136:X158" si="126">S136*$D$127</f>
        <v>#DIV/0!</v>
      </c>
      <c r="Y136" s="24">
        <f t="shared" ref="Y136:Y158" si="127">U136*$D$127</f>
        <v>0</v>
      </c>
      <c r="Z136" s="38" t="e">
        <f t="shared" ref="Z136:Z158" si="128">W136+X136+Y136</f>
        <v>#DIV/0!</v>
      </c>
      <c r="AA136" s="9">
        <v>0</v>
      </c>
      <c r="AB136" s="9">
        <v>0</v>
      </c>
      <c r="AC136" s="38" t="e">
        <f t="shared" ref="AC136:AC158" si="129">B136+Z136+AA136+AB136</f>
        <v>#DIV/0!</v>
      </c>
    </row>
    <row r="137" spans="1:30" x14ac:dyDescent="0.25">
      <c r="A137" s="13" t="s">
        <v>141</v>
      </c>
      <c r="B137" s="4"/>
      <c r="C137" s="64"/>
      <c r="D137" s="64"/>
      <c r="E137" s="64"/>
      <c r="F137" s="185">
        <f>'Percent-Soil-Carbon-Content'!E6*'Soil-errosion2'!E6</f>
        <v>0</v>
      </c>
      <c r="G137" s="185">
        <f>'Percent-Soil-Carbon-Content'!P6*'Soil-errosion2'!Q6</f>
        <v>0</v>
      </c>
      <c r="H137" s="185">
        <f>'Percent-Soil-Carbon-Content'!AA6*'Soil-errosion2'!AC6</f>
        <v>0</v>
      </c>
      <c r="I137" s="95">
        <f t="shared" si="115"/>
        <v>0</v>
      </c>
      <c r="J137" s="185">
        <f t="shared" si="116"/>
        <v>0</v>
      </c>
      <c r="K137" s="185">
        <f t="shared" si="117"/>
        <v>0</v>
      </c>
      <c r="L137" s="185">
        <f t="shared" si="118"/>
        <v>0</v>
      </c>
      <c r="M137" s="185">
        <f t="shared" si="119"/>
        <v>0</v>
      </c>
      <c r="N137" s="67">
        <f t="shared" ref="N137:P137" si="130">J137*C39*$B39</f>
        <v>0</v>
      </c>
      <c r="O137" s="67">
        <f t="shared" si="130"/>
        <v>0</v>
      </c>
      <c r="P137" s="67">
        <f t="shared" si="130"/>
        <v>0</v>
      </c>
      <c r="Q137" s="67">
        <f t="shared" si="121"/>
        <v>0</v>
      </c>
      <c r="R137" s="346" t="e">
        <f>'value-of-carbon-in-Greenhouses'!F31</f>
        <v>#DIV/0!</v>
      </c>
      <c r="S137" s="67" t="e">
        <f t="shared" si="122"/>
        <v>#DIV/0!</v>
      </c>
      <c r="T137" s="349">
        <f>'Value-of-fuel-used-under-CT'!E6</f>
        <v>0</v>
      </c>
      <c r="U137" s="350">
        <f t="shared" si="123"/>
        <v>0</v>
      </c>
      <c r="V137" s="24" t="e">
        <f t="shared" si="124"/>
        <v>#DIV/0!</v>
      </c>
      <c r="W137" s="24">
        <f t="shared" si="125"/>
        <v>0</v>
      </c>
      <c r="X137" s="24" t="e">
        <f t="shared" si="126"/>
        <v>#DIV/0!</v>
      </c>
      <c r="Y137" s="24">
        <f t="shared" si="127"/>
        <v>0</v>
      </c>
      <c r="Z137" s="38" t="e">
        <f t="shared" si="128"/>
        <v>#DIV/0!</v>
      </c>
      <c r="AA137" s="9">
        <v>0</v>
      </c>
      <c r="AB137" s="9">
        <v>0</v>
      </c>
      <c r="AC137" s="38" t="e">
        <f t="shared" si="129"/>
        <v>#DIV/0!</v>
      </c>
    </row>
    <row r="138" spans="1:30" x14ac:dyDescent="0.25">
      <c r="A138" s="13" t="s">
        <v>142</v>
      </c>
      <c r="B138" s="4"/>
      <c r="C138" s="64"/>
      <c r="D138" s="64"/>
      <c r="E138" s="64"/>
      <c r="F138" s="185">
        <f>'Percent-Soil-Carbon-Content'!E7*'Soil-errosion2'!E7</f>
        <v>0</v>
      </c>
      <c r="G138" s="185">
        <f>'Percent-Soil-Carbon-Content'!P7*'Soil-errosion2'!Q7</f>
        <v>0</v>
      </c>
      <c r="H138" s="185">
        <f>'Percent-Soil-Carbon-Content'!AA7*'Soil-errosion2'!AC7</f>
        <v>0</v>
      </c>
      <c r="I138" s="95">
        <f t="shared" si="115"/>
        <v>0</v>
      </c>
      <c r="J138" s="185">
        <f t="shared" si="116"/>
        <v>0</v>
      </c>
      <c r="K138" s="185">
        <f t="shared" si="117"/>
        <v>0</v>
      </c>
      <c r="L138" s="185">
        <f t="shared" si="118"/>
        <v>0</v>
      </c>
      <c r="M138" s="185">
        <f t="shared" si="119"/>
        <v>0</v>
      </c>
      <c r="N138" s="67">
        <f t="shared" ref="N138:P138" si="131">J138*C40*$B40</f>
        <v>0</v>
      </c>
      <c r="O138" s="67">
        <f t="shared" si="131"/>
        <v>0</v>
      </c>
      <c r="P138" s="67">
        <f t="shared" si="131"/>
        <v>0</v>
      </c>
      <c r="Q138" s="67">
        <f t="shared" si="121"/>
        <v>0</v>
      </c>
      <c r="R138" s="346" t="e">
        <f>'value-of-carbon-in-Greenhouses'!F32</f>
        <v>#DIV/0!</v>
      </c>
      <c r="S138" s="67" t="e">
        <f t="shared" si="122"/>
        <v>#DIV/0!</v>
      </c>
      <c r="T138" s="349">
        <f>'Value-of-fuel-used-under-CT'!E7</f>
        <v>0</v>
      </c>
      <c r="U138" s="350">
        <f t="shared" si="123"/>
        <v>0</v>
      </c>
      <c r="V138" s="24" t="e">
        <f t="shared" si="124"/>
        <v>#DIV/0!</v>
      </c>
      <c r="W138" s="24">
        <f t="shared" si="125"/>
        <v>0</v>
      </c>
      <c r="X138" s="24" t="e">
        <f t="shared" si="126"/>
        <v>#DIV/0!</v>
      </c>
      <c r="Y138" s="24">
        <f t="shared" si="127"/>
        <v>0</v>
      </c>
      <c r="Z138" s="38" t="e">
        <f t="shared" si="128"/>
        <v>#DIV/0!</v>
      </c>
      <c r="AA138" s="9">
        <v>0</v>
      </c>
      <c r="AB138" s="9">
        <v>0</v>
      </c>
      <c r="AC138" s="38" t="e">
        <f t="shared" si="129"/>
        <v>#DIV/0!</v>
      </c>
    </row>
    <row r="139" spans="1:30" x14ac:dyDescent="0.25">
      <c r="A139" s="13" t="s">
        <v>143</v>
      </c>
      <c r="B139" s="4"/>
      <c r="C139" s="64"/>
      <c r="D139" s="64"/>
      <c r="E139" s="64"/>
      <c r="F139" s="185">
        <f>'Percent-Soil-Carbon-Content'!E8*'Soil-errosion2'!E8</f>
        <v>0</v>
      </c>
      <c r="G139" s="185">
        <f>'Percent-Soil-Carbon-Content'!P8*'Soil-errosion2'!Q8</f>
        <v>0</v>
      </c>
      <c r="H139" s="185">
        <f>'Percent-Soil-Carbon-Content'!AA8*'Soil-errosion2'!AC8</f>
        <v>0</v>
      </c>
      <c r="I139" s="95">
        <f t="shared" si="115"/>
        <v>0</v>
      </c>
      <c r="J139" s="185">
        <f t="shared" si="116"/>
        <v>0</v>
      </c>
      <c r="K139" s="185">
        <f t="shared" si="117"/>
        <v>0</v>
      </c>
      <c r="L139" s="185">
        <f t="shared" si="118"/>
        <v>0</v>
      </c>
      <c r="M139" s="185">
        <f t="shared" si="119"/>
        <v>0</v>
      </c>
      <c r="N139" s="67">
        <f t="shared" ref="N139:P139" si="132">J139*C41*$B41</f>
        <v>0</v>
      </c>
      <c r="O139" s="67">
        <f t="shared" si="132"/>
        <v>0</v>
      </c>
      <c r="P139" s="67">
        <f t="shared" si="132"/>
        <v>0</v>
      </c>
      <c r="Q139" s="67">
        <f t="shared" si="121"/>
        <v>0</v>
      </c>
      <c r="R139" s="346" t="e">
        <f>'value-of-carbon-in-Greenhouses'!F33</f>
        <v>#DIV/0!</v>
      </c>
      <c r="S139" s="67" t="e">
        <f t="shared" si="122"/>
        <v>#DIV/0!</v>
      </c>
      <c r="T139" s="349">
        <f>'Value-of-fuel-used-under-CT'!E8</f>
        <v>0</v>
      </c>
      <c r="U139" s="350">
        <f t="shared" si="123"/>
        <v>0</v>
      </c>
      <c r="V139" s="24" t="e">
        <f t="shared" si="124"/>
        <v>#DIV/0!</v>
      </c>
      <c r="W139" s="24">
        <f t="shared" si="125"/>
        <v>0</v>
      </c>
      <c r="X139" s="24" t="e">
        <f t="shared" si="126"/>
        <v>#DIV/0!</v>
      </c>
      <c r="Y139" s="24">
        <f t="shared" si="127"/>
        <v>0</v>
      </c>
      <c r="Z139" s="38" t="e">
        <f t="shared" si="128"/>
        <v>#DIV/0!</v>
      </c>
      <c r="AA139" s="9">
        <v>0</v>
      </c>
      <c r="AB139" s="9">
        <v>0</v>
      </c>
      <c r="AC139" s="38" t="e">
        <f t="shared" si="129"/>
        <v>#DIV/0!</v>
      </c>
    </row>
    <row r="140" spans="1:30" x14ac:dyDescent="0.25">
      <c r="A140" s="13" t="s">
        <v>144</v>
      </c>
      <c r="B140" s="4"/>
      <c r="C140" s="64"/>
      <c r="D140" s="64"/>
      <c r="E140" s="64"/>
      <c r="F140" s="185">
        <f>'Percent-Soil-Carbon-Content'!E9*'Soil-errosion2'!E9</f>
        <v>0</v>
      </c>
      <c r="G140" s="185">
        <f>'Percent-Soil-Carbon-Content'!P9*'Soil-errosion2'!Q9</f>
        <v>0</v>
      </c>
      <c r="H140" s="185">
        <f>'Percent-Soil-Carbon-Content'!AA9*'Soil-errosion2'!AC9</f>
        <v>0</v>
      </c>
      <c r="I140" s="95">
        <f t="shared" si="115"/>
        <v>0</v>
      </c>
      <c r="J140" s="185">
        <f t="shared" si="116"/>
        <v>0</v>
      </c>
      <c r="K140" s="185">
        <f t="shared" si="117"/>
        <v>0</v>
      </c>
      <c r="L140" s="185">
        <f t="shared" si="118"/>
        <v>0</v>
      </c>
      <c r="M140" s="185">
        <f t="shared" si="119"/>
        <v>0</v>
      </c>
      <c r="N140" s="67">
        <f t="shared" ref="N140:P140" si="133">J140*C42*$B42</f>
        <v>0</v>
      </c>
      <c r="O140" s="67">
        <f t="shared" si="133"/>
        <v>0</v>
      </c>
      <c r="P140" s="67">
        <f t="shared" si="133"/>
        <v>0</v>
      </c>
      <c r="Q140" s="67">
        <f t="shared" si="121"/>
        <v>0</v>
      </c>
      <c r="R140" s="346" t="e">
        <f>'value-of-carbon-in-Greenhouses'!F34</f>
        <v>#DIV/0!</v>
      </c>
      <c r="S140" s="67" t="e">
        <f t="shared" si="122"/>
        <v>#DIV/0!</v>
      </c>
      <c r="T140" s="349">
        <f>'Value-of-fuel-used-under-CT'!E9</f>
        <v>0</v>
      </c>
      <c r="U140" s="350">
        <f t="shared" si="123"/>
        <v>0</v>
      </c>
      <c r="V140" s="24" t="e">
        <f t="shared" si="124"/>
        <v>#DIV/0!</v>
      </c>
      <c r="W140" s="24">
        <f t="shared" si="125"/>
        <v>0</v>
      </c>
      <c r="X140" s="24" t="e">
        <f t="shared" si="126"/>
        <v>#DIV/0!</v>
      </c>
      <c r="Y140" s="24">
        <f t="shared" si="127"/>
        <v>0</v>
      </c>
      <c r="Z140" s="38" t="e">
        <f t="shared" si="128"/>
        <v>#DIV/0!</v>
      </c>
      <c r="AA140" s="9">
        <v>0</v>
      </c>
      <c r="AB140" s="9">
        <v>0</v>
      </c>
      <c r="AC140" s="38" t="e">
        <f t="shared" si="129"/>
        <v>#DIV/0!</v>
      </c>
    </row>
    <row r="141" spans="1:30" x14ac:dyDescent="0.25">
      <c r="A141" s="13" t="s">
        <v>145</v>
      </c>
      <c r="B141" s="4"/>
      <c r="C141" s="64"/>
      <c r="D141" s="64"/>
      <c r="E141" s="64"/>
      <c r="F141" s="185">
        <f>'Percent-Soil-Carbon-Content'!E10*'Soil-errosion2'!E10</f>
        <v>0</v>
      </c>
      <c r="G141" s="185">
        <f>'Percent-Soil-Carbon-Content'!P10*'Soil-errosion2'!Q10</f>
        <v>0</v>
      </c>
      <c r="H141" s="185">
        <f>'Percent-Soil-Carbon-Content'!AA10*'Soil-errosion2'!AC10</f>
        <v>0</v>
      </c>
      <c r="I141" s="95">
        <f t="shared" si="115"/>
        <v>0</v>
      </c>
      <c r="J141" s="185">
        <f t="shared" si="116"/>
        <v>0</v>
      </c>
      <c r="K141" s="185">
        <f t="shared" si="117"/>
        <v>0</v>
      </c>
      <c r="L141" s="185">
        <f t="shared" si="118"/>
        <v>0</v>
      </c>
      <c r="M141" s="185">
        <f t="shared" si="119"/>
        <v>0</v>
      </c>
      <c r="N141" s="67">
        <f t="shared" ref="N141:P141" si="134">J141*C43*$B43</f>
        <v>0</v>
      </c>
      <c r="O141" s="67">
        <f t="shared" si="134"/>
        <v>0</v>
      </c>
      <c r="P141" s="67">
        <f t="shared" si="134"/>
        <v>0</v>
      </c>
      <c r="Q141" s="67">
        <f t="shared" si="121"/>
        <v>0</v>
      </c>
      <c r="R141" s="346" t="e">
        <f>'value-of-carbon-in-Greenhouses'!F35</f>
        <v>#DIV/0!</v>
      </c>
      <c r="S141" s="67" t="e">
        <f t="shared" si="122"/>
        <v>#DIV/0!</v>
      </c>
      <c r="T141" s="349">
        <f>'Value-of-fuel-used-under-CT'!E10</f>
        <v>0</v>
      </c>
      <c r="U141" s="350">
        <f t="shared" si="123"/>
        <v>0</v>
      </c>
      <c r="V141" s="24" t="e">
        <f t="shared" si="124"/>
        <v>#DIV/0!</v>
      </c>
      <c r="W141" s="24">
        <f t="shared" si="125"/>
        <v>0</v>
      </c>
      <c r="X141" s="24" t="e">
        <f t="shared" si="126"/>
        <v>#DIV/0!</v>
      </c>
      <c r="Y141" s="24">
        <f t="shared" si="127"/>
        <v>0</v>
      </c>
      <c r="Z141" s="38" t="e">
        <f t="shared" si="128"/>
        <v>#DIV/0!</v>
      </c>
      <c r="AA141" s="9">
        <v>0</v>
      </c>
      <c r="AB141" s="9">
        <v>0</v>
      </c>
      <c r="AC141" s="38" t="e">
        <f t="shared" si="129"/>
        <v>#DIV/0!</v>
      </c>
    </row>
    <row r="142" spans="1:30" x14ac:dyDescent="0.25">
      <c r="A142" s="13" t="s">
        <v>146</v>
      </c>
      <c r="B142" s="4"/>
      <c r="C142" s="64"/>
      <c r="D142" s="64"/>
      <c r="E142" s="64"/>
      <c r="F142" s="185">
        <f>'Percent-Soil-Carbon-Content'!E11*'Soil-errosion2'!E11</f>
        <v>0</v>
      </c>
      <c r="G142" s="185">
        <f>'Percent-Soil-Carbon-Content'!P11*'Soil-errosion2'!Q11</f>
        <v>0</v>
      </c>
      <c r="H142" s="185">
        <f>'Percent-Soil-Carbon-Content'!AA11*'Soil-errosion2'!AC11</f>
        <v>0</v>
      </c>
      <c r="I142" s="95">
        <f t="shared" si="115"/>
        <v>0</v>
      </c>
      <c r="J142" s="185">
        <f t="shared" si="116"/>
        <v>0</v>
      </c>
      <c r="K142" s="185">
        <f t="shared" si="117"/>
        <v>0</v>
      </c>
      <c r="L142" s="185">
        <f t="shared" si="118"/>
        <v>0</v>
      </c>
      <c r="M142" s="185">
        <f t="shared" si="119"/>
        <v>0</v>
      </c>
      <c r="N142" s="67">
        <f t="shared" ref="N142:P142" si="135">J142*C44*$B44</f>
        <v>0</v>
      </c>
      <c r="O142" s="67">
        <f t="shared" si="135"/>
        <v>0</v>
      </c>
      <c r="P142" s="67">
        <f t="shared" si="135"/>
        <v>0</v>
      </c>
      <c r="Q142" s="67">
        <f t="shared" si="121"/>
        <v>0</v>
      </c>
      <c r="R142" s="346" t="e">
        <f>'value-of-carbon-in-Greenhouses'!F36</f>
        <v>#DIV/0!</v>
      </c>
      <c r="S142" s="67" t="e">
        <f t="shared" si="122"/>
        <v>#DIV/0!</v>
      </c>
      <c r="T142" s="349">
        <f>'Value-of-fuel-used-under-CT'!E11</f>
        <v>0</v>
      </c>
      <c r="U142" s="350">
        <f t="shared" si="123"/>
        <v>0</v>
      </c>
      <c r="V142" s="24" t="e">
        <f t="shared" si="124"/>
        <v>#DIV/0!</v>
      </c>
      <c r="W142" s="24">
        <f t="shared" si="125"/>
        <v>0</v>
      </c>
      <c r="X142" s="24" t="e">
        <f t="shared" si="126"/>
        <v>#DIV/0!</v>
      </c>
      <c r="Y142" s="24">
        <f t="shared" si="127"/>
        <v>0</v>
      </c>
      <c r="Z142" s="38" t="e">
        <f t="shared" si="128"/>
        <v>#DIV/0!</v>
      </c>
      <c r="AA142" s="9">
        <v>0</v>
      </c>
      <c r="AB142" s="9">
        <v>0</v>
      </c>
      <c r="AC142" s="38" t="e">
        <f t="shared" si="129"/>
        <v>#DIV/0!</v>
      </c>
    </row>
    <row r="143" spans="1:30" x14ac:dyDescent="0.25">
      <c r="A143" s="13" t="s">
        <v>147</v>
      </c>
      <c r="B143" s="4"/>
      <c r="C143" s="64"/>
      <c r="D143" s="64"/>
      <c r="E143" s="64"/>
      <c r="F143" s="185">
        <f>'Percent-Soil-Carbon-Content'!E12*'Soil-errosion2'!E12</f>
        <v>0</v>
      </c>
      <c r="G143" s="185">
        <f>'Percent-Soil-Carbon-Content'!P12*'Soil-errosion2'!Q12</f>
        <v>0</v>
      </c>
      <c r="H143" s="185">
        <f>'Percent-Soil-Carbon-Content'!AA12*'Soil-errosion2'!AC12</f>
        <v>0</v>
      </c>
      <c r="I143" s="95">
        <f t="shared" si="115"/>
        <v>0</v>
      </c>
      <c r="J143" s="185">
        <f t="shared" si="116"/>
        <v>0</v>
      </c>
      <c r="K143" s="185">
        <f t="shared" si="117"/>
        <v>0</v>
      </c>
      <c r="L143" s="185">
        <f t="shared" si="118"/>
        <v>0</v>
      </c>
      <c r="M143" s="185">
        <f t="shared" si="119"/>
        <v>0</v>
      </c>
      <c r="N143" s="67">
        <f t="shared" ref="N143:P143" si="136">J143*C45*$B45</f>
        <v>0</v>
      </c>
      <c r="O143" s="67">
        <f t="shared" si="136"/>
        <v>0</v>
      </c>
      <c r="P143" s="67">
        <f t="shared" si="136"/>
        <v>0</v>
      </c>
      <c r="Q143" s="67">
        <f t="shared" si="121"/>
        <v>0</v>
      </c>
      <c r="R143" s="346" t="e">
        <f>'value-of-carbon-in-Greenhouses'!F37</f>
        <v>#DIV/0!</v>
      </c>
      <c r="S143" s="67" t="e">
        <f t="shared" si="122"/>
        <v>#DIV/0!</v>
      </c>
      <c r="T143" s="349">
        <f>'Value-of-fuel-used-under-CT'!E12</f>
        <v>0</v>
      </c>
      <c r="U143" s="350">
        <f t="shared" si="123"/>
        <v>0</v>
      </c>
      <c r="V143" s="24" t="e">
        <f t="shared" si="124"/>
        <v>#DIV/0!</v>
      </c>
      <c r="W143" s="24">
        <f t="shared" si="125"/>
        <v>0</v>
      </c>
      <c r="X143" s="24" t="e">
        <f t="shared" si="126"/>
        <v>#DIV/0!</v>
      </c>
      <c r="Y143" s="24">
        <f t="shared" si="127"/>
        <v>0</v>
      </c>
      <c r="Z143" s="38" t="e">
        <f t="shared" si="128"/>
        <v>#DIV/0!</v>
      </c>
      <c r="AA143" s="9">
        <v>0</v>
      </c>
      <c r="AB143" s="9">
        <v>0</v>
      </c>
      <c r="AC143" s="38" t="e">
        <f t="shared" si="129"/>
        <v>#DIV/0!</v>
      </c>
    </row>
    <row r="144" spans="1:30" x14ac:dyDescent="0.25">
      <c r="A144" s="13" t="s">
        <v>148</v>
      </c>
      <c r="B144" s="4"/>
      <c r="C144" s="64"/>
      <c r="D144" s="64"/>
      <c r="E144" s="64"/>
      <c r="F144" s="185">
        <f>'Percent-Soil-Carbon-Content'!E13*'Soil-errosion2'!E13</f>
        <v>0</v>
      </c>
      <c r="G144" s="185">
        <f>'Percent-Soil-Carbon-Content'!P13*'Soil-errosion2'!Q13</f>
        <v>0</v>
      </c>
      <c r="H144" s="185">
        <f>'Percent-Soil-Carbon-Content'!AA13*'Soil-errosion2'!AC13</f>
        <v>0</v>
      </c>
      <c r="I144" s="95">
        <f t="shared" si="115"/>
        <v>0</v>
      </c>
      <c r="J144" s="185">
        <f t="shared" si="116"/>
        <v>0</v>
      </c>
      <c r="K144" s="185">
        <f t="shared" si="117"/>
        <v>0</v>
      </c>
      <c r="L144" s="185">
        <f t="shared" si="118"/>
        <v>0</v>
      </c>
      <c r="M144" s="185">
        <f t="shared" si="119"/>
        <v>0</v>
      </c>
      <c r="N144" s="67">
        <f t="shared" ref="N144:P144" si="137">J144*C46*$B46</f>
        <v>0</v>
      </c>
      <c r="O144" s="67">
        <f t="shared" si="137"/>
        <v>0</v>
      </c>
      <c r="P144" s="67">
        <f t="shared" si="137"/>
        <v>0</v>
      </c>
      <c r="Q144" s="67">
        <f t="shared" si="121"/>
        <v>0</v>
      </c>
      <c r="R144" s="346" t="e">
        <f>'value-of-carbon-in-Greenhouses'!F38</f>
        <v>#DIV/0!</v>
      </c>
      <c r="S144" s="67" t="e">
        <f t="shared" si="122"/>
        <v>#DIV/0!</v>
      </c>
      <c r="T144" s="349">
        <f>'Value-of-fuel-used-under-CT'!E13</f>
        <v>0</v>
      </c>
      <c r="U144" s="350">
        <f t="shared" si="123"/>
        <v>0</v>
      </c>
      <c r="V144" s="24" t="e">
        <f t="shared" si="124"/>
        <v>#DIV/0!</v>
      </c>
      <c r="W144" s="24">
        <f t="shared" si="125"/>
        <v>0</v>
      </c>
      <c r="X144" s="24" t="e">
        <f t="shared" si="126"/>
        <v>#DIV/0!</v>
      </c>
      <c r="Y144" s="24">
        <f t="shared" si="127"/>
        <v>0</v>
      </c>
      <c r="Z144" s="38" t="e">
        <f t="shared" si="128"/>
        <v>#DIV/0!</v>
      </c>
      <c r="AA144" s="9">
        <v>0</v>
      </c>
      <c r="AB144" s="9">
        <v>0</v>
      </c>
      <c r="AC144" s="38" t="e">
        <f t="shared" si="129"/>
        <v>#DIV/0!</v>
      </c>
    </row>
    <row r="145" spans="1:31" x14ac:dyDescent="0.25">
      <c r="A145" s="13" t="s">
        <v>149</v>
      </c>
      <c r="B145" s="4"/>
      <c r="C145" s="64"/>
      <c r="D145" s="64"/>
      <c r="E145" s="64"/>
      <c r="F145" s="185">
        <f>'Percent-Soil-Carbon-Content'!E14*'Soil-errosion2'!E14</f>
        <v>0</v>
      </c>
      <c r="G145" s="185">
        <f>'Percent-Soil-Carbon-Content'!P14*'Soil-errosion2'!Q14</f>
        <v>0</v>
      </c>
      <c r="H145" s="185">
        <f>'Percent-Soil-Carbon-Content'!AA14*'Soil-errosion2'!AC14</f>
        <v>0</v>
      </c>
      <c r="I145" s="95">
        <f t="shared" si="115"/>
        <v>0</v>
      </c>
      <c r="J145" s="185">
        <f t="shared" si="116"/>
        <v>0</v>
      </c>
      <c r="K145" s="185">
        <f t="shared" si="117"/>
        <v>0</v>
      </c>
      <c r="L145" s="185">
        <f t="shared" si="118"/>
        <v>0</v>
      </c>
      <c r="M145" s="185">
        <f t="shared" si="119"/>
        <v>0</v>
      </c>
      <c r="N145" s="67">
        <f t="shared" ref="N145:P145" si="138">J145*C47*$B47</f>
        <v>0</v>
      </c>
      <c r="O145" s="67">
        <f t="shared" si="138"/>
        <v>0</v>
      </c>
      <c r="P145" s="67">
        <f t="shared" si="138"/>
        <v>0</v>
      </c>
      <c r="Q145" s="67">
        <f t="shared" si="121"/>
        <v>0</v>
      </c>
      <c r="R145" s="346" t="e">
        <f>'value-of-carbon-in-Greenhouses'!F39</f>
        <v>#DIV/0!</v>
      </c>
      <c r="S145" s="67" t="e">
        <f t="shared" si="122"/>
        <v>#DIV/0!</v>
      </c>
      <c r="T145" s="349">
        <f>'Value-of-fuel-used-under-CT'!E14</f>
        <v>0</v>
      </c>
      <c r="U145" s="350">
        <f t="shared" si="123"/>
        <v>0</v>
      </c>
      <c r="V145" s="24" t="e">
        <f t="shared" si="124"/>
        <v>#DIV/0!</v>
      </c>
      <c r="W145" s="24">
        <f t="shared" si="125"/>
        <v>0</v>
      </c>
      <c r="X145" s="24" t="e">
        <f t="shared" si="126"/>
        <v>#DIV/0!</v>
      </c>
      <c r="Y145" s="24">
        <f t="shared" si="127"/>
        <v>0</v>
      </c>
      <c r="Z145" s="38" t="e">
        <f t="shared" si="128"/>
        <v>#DIV/0!</v>
      </c>
      <c r="AA145" s="9">
        <v>0</v>
      </c>
      <c r="AB145" s="9">
        <v>0</v>
      </c>
      <c r="AC145" s="38" t="e">
        <f t="shared" si="129"/>
        <v>#DIV/0!</v>
      </c>
    </row>
    <row r="146" spans="1:31" x14ac:dyDescent="0.25">
      <c r="A146" s="13" t="s">
        <v>150</v>
      </c>
      <c r="B146" s="4"/>
      <c r="C146" s="64"/>
      <c r="D146" s="64"/>
      <c r="E146" s="64"/>
      <c r="F146" s="185">
        <f>'Percent-Soil-Carbon-Content'!E15*'Soil-errosion2'!E15</f>
        <v>0</v>
      </c>
      <c r="G146" s="185">
        <f>'Percent-Soil-Carbon-Content'!P15*'Soil-errosion2'!Q15</f>
        <v>0</v>
      </c>
      <c r="H146" s="185">
        <f>'Percent-Soil-Carbon-Content'!AA15*'Soil-errosion2'!AC15</f>
        <v>0</v>
      </c>
      <c r="I146" s="95">
        <f t="shared" si="115"/>
        <v>0</v>
      </c>
      <c r="J146" s="185">
        <f t="shared" si="116"/>
        <v>0</v>
      </c>
      <c r="K146" s="185">
        <f t="shared" si="117"/>
        <v>0</v>
      </c>
      <c r="L146" s="185">
        <f t="shared" si="118"/>
        <v>0</v>
      </c>
      <c r="M146" s="185">
        <f t="shared" si="119"/>
        <v>0</v>
      </c>
      <c r="N146" s="67">
        <f t="shared" ref="N146:P146" si="139">J146*C48*$B48</f>
        <v>0</v>
      </c>
      <c r="O146" s="67">
        <f t="shared" si="139"/>
        <v>0</v>
      </c>
      <c r="P146" s="67">
        <f t="shared" si="139"/>
        <v>0</v>
      </c>
      <c r="Q146" s="67">
        <f t="shared" si="121"/>
        <v>0</v>
      </c>
      <c r="R146" s="346" t="e">
        <f>'value-of-carbon-in-Greenhouses'!F40</f>
        <v>#DIV/0!</v>
      </c>
      <c r="S146" s="67" t="e">
        <f t="shared" si="122"/>
        <v>#DIV/0!</v>
      </c>
      <c r="T146" s="349">
        <f>'Value-of-fuel-used-under-CT'!E15</f>
        <v>0</v>
      </c>
      <c r="U146" s="350">
        <f t="shared" si="123"/>
        <v>0</v>
      </c>
      <c r="V146" s="24" t="e">
        <f t="shared" si="124"/>
        <v>#DIV/0!</v>
      </c>
      <c r="W146" s="24">
        <f t="shared" si="125"/>
        <v>0</v>
      </c>
      <c r="X146" s="24" t="e">
        <f t="shared" si="126"/>
        <v>#DIV/0!</v>
      </c>
      <c r="Y146" s="24">
        <f t="shared" si="127"/>
        <v>0</v>
      </c>
      <c r="Z146" s="38" t="e">
        <f t="shared" si="128"/>
        <v>#DIV/0!</v>
      </c>
      <c r="AA146" s="9">
        <v>0</v>
      </c>
      <c r="AB146" s="9">
        <v>0</v>
      </c>
      <c r="AC146" s="38" t="e">
        <f t="shared" si="129"/>
        <v>#DIV/0!</v>
      </c>
    </row>
    <row r="147" spans="1:31" x14ac:dyDescent="0.25">
      <c r="A147" s="13" t="s">
        <v>151</v>
      </c>
      <c r="B147" s="4"/>
      <c r="C147" s="64"/>
      <c r="D147" s="64"/>
      <c r="E147" s="64"/>
      <c r="F147" s="185">
        <f>'Percent-Soil-Carbon-Content'!E16*'Soil-errosion2'!E16</f>
        <v>0</v>
      </c>
      <c r="G147" s="185">
        <f>'Percent-Soil-Carbon-Content'!P16*'Soil-errosion2'!Q16</f>
        <v>0</v>
      </c>
      <c r="H147" s="185">
        <f>'Percent-Soil-Carbon-Content'!AA16*'Soil-errosion2'!AC16</f>
        <v>0</v>
      </c>
      <c r="I147" s="95">
        <f t="shared" si="115"/>
        <v>0</v>
      </c>
      <c r="J147" s="185">
        <f t="shared" si="116"/>
        <v>0</v>
      </c>
      <c r="K147" s="185">
        <f t="shared" si="117"/>
        <v>0</v>
      </c>
      <c r="L147" s="185">
        <f t="shared" si="118"/>
        <v>0</v>
      </c>
      <c r="M147" s="185">
        <f t="shared" si="119"/>
        <v>0</v>
      </c>
      <c r="N147" s="67">
        <f t="shared" ref="N147:P147" si="140">J147*C49*$B49</f>
        <v>0</v>
      </c>
      <c r="O147" s="67">
        <f t="shared" si="140"/>
        <v>0</v>
      </c>
      <c r="P147" s="67">
        <f t="shared" si="140"/>
        <v>0</v>
      </c>
      <c r="Q147" s="67">
        <f t="shared" si="121"/>
        <v>0</v>
      </c>
      <c r="R147" s="346" t="e">
        <f>'value-of-carbon-in-Greenhouses'!F41</f>
        <v>#DIV/0!</v>
      </c>
      <c r="S147" s="67" t="e">
        <f t="shared" si="122"/>
        <v>#DIV/0!</v>
      </c>
      <c r="T147" s="349">
        <f>'Value-of-fuel-used-under-CT'!E16</f>
        <v>0</v>
      </c>
      <c r="U147" s="350">
        <f t="shared" si="123"/>
        <v>0</v>
      </c>
      <c r="V147" s="24" t="e">
        <f t="shared" si="124"/>
        <v>#DIV/0!</v>
      </c>
      <c r="W147" s="24">
        <f t="shared" si="125"/>
        <v>0</v>
      </c>
      <c r="X147" s="24" t="e">
        <f t="shared" si="126"/>
        <v>#DIV/0!</v>
      </c>
      <c r="Y147" s="24">
        <f t="shared" si="127"/>
        <v>0</v>
      </c>
      <c r="Z147" s="38" t="e">
        <f t="shared" si="128"/>
        <v>#DIV/0!</v>
      </c>
      <c r="AA147" s="9">
        <v>0</v>
      </c>
      <c r="AB147" s="9">
        <v>0</v>
      </c>
      <c r="AC147" s="38" t="e">
        <f t="shared" si="129"/>
        <v>#DIV/0!</v>
      </c>
    </row>
    <row r="148" spans="1:31" s="1" customFormat="1" x14ac:dyDescent="0.25">
      <c r="A148" s="13" t="s">
        <v>152</v>
      </c>
      <c r="B148" s="4"/>
      <c r="C148" s="64"/>
      <c r="D148" s="64"/>
      <c r="E148" s="64"/>
      <c r="F148" s="185">
        <f>'Percent-Soil-Carbon-Content'!E17*'Soil-errosion2'!E17</f>
        <v>0</v>
      </c>
      <c r="G148" s="185">
        <f>'Percent-Soil-Carbon-Content'!P17*'Soil-errosion2'!Q17</f>
        <v>0</v>
      </c>
      <c r="H148" s="185">
        <f>'Percent-Soil-Carbon-Content'!AA17*'Soil-errosion2'!AC17</f>
        <v>0</v>
      </c>
      <c r="I148" s="95">
        <f t="shared" si="115"/>
        <v>0</v>
      </c>
      <c r="J148" s="185">
        <f t="shared" si="116"/>
        <v>0</v>
      </c>
      <c r="K148" s="185">
        <f t="shared" si="117"/>
        <v>0</v>
      </c>
      <c r="L148" s="185">
        <f t="shared" si="118"/>
        <v>0</v>
      </c>
      <c r="M148" s="185">
        <f t="shared" si="119"/>
        <v>0</v>
      </c>
      <c r="N148" s="67">
        <f t="shared" ref="N148:P148" si="141">J148*C50*$B50</f>
        <v>0</v>
      </c>
      <c r="O148" s="67">
        <f t="shared" si="141"/>
        <v>0</v>
      </c>
      <c r="P148" s="67">
        <f t="shared" si="141"/>
        <v>0</v>
      </c>
      <c r="Q148" s="67">
        <f t="shared" si="121"/>
        <v>0</v>
      </c>
      <c r="R148" s="346" t="e">
        <f>'value-of-carbon-in-Greenhouses'!F42</f>
        <v>#DIV/0!</v>
      </c>
      <c r="S148" s="67" t="e">
        <f t="shared" si="122"/>
        <v>#DIV/0!</v>
      </c>
      <c r="T148" s="349">
        <f>'Value-of-fuel-used-under-CT'!E17</f>
        <v>0</v>
      </c>
      <c r="U148" s="350">
        <f t="shared" si="123"/>
        <v>0</v>
      </c>
      <c r="V148" s="24" t="e">
        <f t="shared" si="124"/>
        <v>#DIV/0!</v>
      </c>
      <c r="W148" s="24">
        <f t="shared" si="125"/>
        <v>0</v>
      </c>
      <c r="X148" s="24" t="e">
        <f t="shared" si="126"/>
        <v>#DIV/0!</v>
      </c>
      <c r="Y148" s="24">
        <f t="shared" si="127"/>
        <v>0</v>
      </c>
      <c r="Z148" s="38" t="e">
        <f t="shared" si="128"/>
        <v>#DIV/0!</v>
      </c>
      <c r="AA148" s="9">
        <v>0</v>
      </c>
      <c r="AB148" s="9">
        <v>0</v>
      </c>
      <c r="AC148" s="38" t="e">
        <f t="shared" si="129"/>
        <v>#DIV/0!</v>
      </c>
      <c r="AD148"/>
      <c r="AE148"/>
    </row>
    <row r="149" spans="1:31" x14ac:dyDescent="0.25">
      <c r="A149" s="13" t="s">
        <v>153</v>
      </c>
      <c r="B149" s="4"/>
      <c r="C149" s="64"/>
      <c r="D149" s="64"/>
      <c r="E149" s="64"/>
      <c r="F149" s="185">
        <f>'Percent-Soil-Carbon-Content'!E18*'Soil-errosion2'!E18</f>
        <v>0</v>
      </c>
      <c r="G149" s="185">
        <f>'Percent-Soil-Carbon-Content'!P18*'Soil-errosion2'!Q18</f>
        <v>0</v>
      </c>
      <c r="H149" s="185">
        <f>'Percent-Soil-Carbon-Content'!AA18*'Soil-errosion2'!AC18</f>
        <v>0</v>
      </c>
      <c r="I149" s="95">
        <f t="shared" si="115"/>
        <v>0</v>
      </c>
      <c r="J149" s="185">
        <f t="shared" si="116"/>
        <v>0</v>
      </c>
      <c r="K149" s="185">
        <f t="shared" si="117"/>
        <v>0</v>
      </c>
      <c r="L149" s="185">
        <f t="shared" si="118"/>
        <v>0</v>
      </c>
      <c r="M149" s="185">
        <f t="shared" si="119"/>
        <v>0</v>
      </c>
      <c r="N149" s="67">
        <f t="shared" ref="N149:P149" si="142">J149*C51*$B51</f>
        <v>0</v>
      </c>
      <c r="O149" s="67">
        <f t="shared" si="142"/>
        <v>0</v>
      </c>
      <c r="P149" s="67">
        <f t="shared" si="142"/>
        <v>0</v>
      </c>
      <c r="Q149" s="67">
        <f t="shared" si="121"/>
        <v>0</v>
      </c>
      <c r="R149" s="346" t="e">
        <f>'value-of-carbon-in-Greenhouses'!F43</f>
        <v>#DIV/0!</v>
      </c>
      <c r="S149" s="67" t="e">
        <f t="shared" si="122"/>
        <v>#DIV/0!</v>
      </c>
      <c r="T149" s="349">
        <f>'Value-of-fuel-used-under-CT'!E18</f>
        <v>0</v>
      </c>
      <c r="U149" s="350">
        <f t="shared" si="123"/>
        <v>0</v>
      </c>
      <c r="V149" s="24" t="e">
        <f t="shared" si="124"/>
        <v>#DIV/0!</v>
      </c>
      <c r="W149" s="24">
        <f t="shared" si="125"/>
        <v>0</v>
      </c>
      <c r="X149" s="24" t="e">
        <f t="shared" si="126"/>
        <v>#DIV/0!</v>
      </c>
      <c r="Y149" s="24">
        <f t="shared" si="127"/>
        <v>0</v>
      </c>
      <c r="Z149" s="38" t="e">
        <f t="shared" si="128"/>
        <v>#DIV/0!</v>
      </c>
      <c r="AA149" s="9">
        <v>0</v>
      </c>
      <c r="AB149" s="9">
        <v>0</v>
      </c>
      <c r="AC149" s="38" t="e">
        <f t="shared" si="129"/>
        <v>#DIV/0!</v>
      </c>
    </row>
    <row r="150" spans="1:31" x14ac:dyDescent="0.25">
      <c r="A150" s="13" t="s">
        <v>154</v>
      </c>
      <c r="B150" s="4"/>
      <c r="C150" s="64"/>
      <c r="D150" s="64"/>
      <c r="E150" s="64"/>
      <c r="F150" s="185">
        <f>'Percent-Soil-Carbon-Content'!E19*'Soil-errosion2'!E19</f>
        <v>0</v>
      </c>
      <c r="G150" s="185">
        <f>'Percent-Soil-Carbon-Content'!P19*'Soil-errosion2'!Q19</f>
        <v>0</v>
      </c>
      <c r="H150" s="185">
        <f>'Percent-Soil-Carbon-Content'!AA19*'Soil-errosion2'!AC19</f>
        <v>0</v>
      </c>
      <c r="I150" s="95">
        <f t="shared" si="115"/>
        <v>0</v>
      </c>
      <c r="J150" s="185">
        <f t="shared" si="116"/>
        <v>0</v>
      </c>
      <c r="K150" s="185">
        <f t="shared" si="117"/>
        <v>0</v>
      </c>
      <c r="L150" s="185">
        <f t="shared" si="118"/>
        <v>0</v>
      </c>
      <c r="M150" s="185">
        <f t="shared" si="119"/>
        <v>0</v>
      </c>
      <c r="N150" s="67">
        <f t="shared" ref="N150:P150" si="143">J150*C52*$B52</f>
        <v>0</v>
      </c>
      <c r="O150" s="67">
        <f t="shared" si="143"/>
        <v>0</v>
      </c>
      <c r="P150" s="67">
        <f t="shared" si="143"/>
        <v>0</v>
      </c>
      <c r="Q150" s="67">
        <f t="shared" si="121"/>
        <v>0</v>
      </c>
      <c r="R150" s="346" t="e">
        <f>'value-of-carbon-in-Greenhouses'!F44</f>
        <v>#DIV/0!</v>
      </c>
      <c r="S150" s="67" t="e">
        <f t="shared" si="122"/>
        <v>#DIV/0!</v>
      </c>
      <c r="T150" s="349">
        <f>'Value-of-fuel-used-under-CT'!E19</f>
        <v>0</v>
      </c>
      <c r="U150" s="350">
        <f t="shared" si="123"/>
        <v>0</v>
      </c>
      <c r="V150" s="24" t="e">
        <f t="shared" si="124"/>
        <v>#DIV/0!</v>
      </c>
      <c r="W150" s="24">
        <f t="shared" si="125"/>
        <v>0</v>
      </c>
      <c r="X150" s="24" t="e">
        <f t="shared" si="126"/>
        <v>#DIV/0!</v>
      </c>
      <c r="Y150" s="24">
        <f t="shared" si="127"/>
        <v>0</v>
      </c>
      <c r="Z150" s="38" t="e">
        <f t="shared" si="128"/>
        <v>#DIV/0!</v>
      </c>
      <c r="AA150" s="9">
        <v>0</v>
      </c>
      <c r="AB150" s="9">
        <v>0</v>
      </c>
      <c r="AC150" s="38" t="e">
        <f t="shared" si="129"/>
        <v>#DIV/0!</v>
      </c>
    </row>
    <row r="151" spans="1:31" x14ac:dyDescent="0.25">
      <c r="A151" s="13" t="s">
        <v>155</v>
      </c>
      <c r="B151" s="4"/>
      <c r="C151" s="64"/>
      <c r="D151" s="64"/>
      <c r="E151" s="64"/>
      <c r="F151" s="185">
        <f>'Percent-Soil-Carbon-Content'!E20*'Soil-errosion2'!E20</f>
        <v>0</v>
      </c>
      <c r="G151" s="185">
        <f>'Percent-Soil-Carbon-Content'!P20*'Soil-errosion2'!Q20</f>
        <v>0</v>
      </c>
      <c r="H151" s="185">
        <f>'Percent-Soil-Carbon-Content'!AA20*'Soil-errosion2'!AC20</f>
        <v>0</v>
      </c>
      <c r="I151" s="95">
        <f t="shared" si="115"/>
        <v>0</v>
      </c>
      <c r="J151" s="185">
        <f t="shared" si="116"/>
        <v>0</v>
      </c>
      <c r="K151" s="185">
        <f t="shared" si="117"/>
        <v>0</v>
      </c>
      <c r="L151" s="185">
        <f t="shared" si="118"/>
        <v>0</v>
      </c>
      <c r="M151" s="185">
        <f t="shared" si="119"/>
        <v>0</v>
      </c>
      <c r="N151" s="67">
        <f t="shared" ref="N151:P151" si="144">J151*C53*$B53</f>
        <v>0</v>
      </c>
      <c r="O151" s="67">
        <f t="shared" si="144"/>
        <v>0</v>
      </c>
      <c r="P151" s="67">
        <f t="shared" si="144"/>
        <v>0</v>
      </c>
      <c r="Q151" s="67">
        <f t="shared" si="121"/>
        <v>0</v>
      </c>
      <c r="R151" s="346" t="e">
        <f>'value-of-carbon-in-Greenhouses'!F45</f>
        <v>#DIV/0!</v>
      </c>
      <c r="S151" s="67" t="e">
        <f t="shared" si="122"/>
        <v>#DIV/0!</v>
      </c>
      <c r="T151" s="349">
        <f>'Value-of-fuel-used-under-CT'!E20</f>
        <v>0</v>
      </c>
      <c r="U151" s="350">
        <f t="shared" si="123"/>
        <v>0</v>
      </c>
      <c r="V151" s="24" t="e">
        <f t="shared" si="124"/>
        <v>#DIV/0!</v>
      </c>
      <c r="W151" s="24">
        <f t="shared" si="125"/>
        <v>0</v>
      </c>
      <c r="X151" s="24" t="e">
        <f t="shared" si="126"/>
        <v>#DIV/0!</v>
      </c>
      <c r="Y151" s="24">
        <f t="shared" si="127"/>
        <v>0</v>
      </c>
      <c r="Z151" s="38" t="e">
        <f t="shared" si="128"/>
        <v>#DIV/0!</v>
      </c>
      <c r="AA151" s="9">
        <v>0</v>
      </c>
      <c r="AB151" s="9">
        <v>0</v>
      </c>
      <c r="AC151" s="38" t="e">
        <f t="shared" si="129"/>
        <v>#DIV/0!</v>
      </c>
    </row>
    <row r="152" spans="1:31" x14ac:dyDescent="0.25">
      <c r="A152" s="13" t="s">
        <v>156</v>
      </c>
      <c r="B152" s="4"/>
      <c r="C152" s="64"/>
      <c r="D152" s="64"/>
      <c r="E152" s="64"/>
      <c r="F152" s="185">
        <f>'Percent-Soil-Carbon-Content'!E21*'Soil-errosion2'!E21</f>
        <v>0</v>
      </c>
      <c r="G152" s="185">
        <f>'Percent-Soil-Carbon-Content'!P21*'Soil-errosion2'!Q21</f>
        <v>0</v>
      </c>
      <c r="H152" s="185">
        <f>'Percent-Soil-Carbon-Content'!AA21*'Soil-errosion2'!AC21</f>
        <v>0</v>
      </c>
      <c r="I152" s="95">
        <f t="shared" si="115"/>
        <v>0</v>
      </c>
      <c r="J152" s="185">
        <f t="shared" si="116"/>
        <v>0</v>
      </c>
      <c r="K152" s="185">
        <f t="shared" si="117"/>
        <v>0</v>
      </c>
      <c r="L152" s="185">
        <f t="shared" si="118"/>
        <v>0</v>
      </c>
      <c r="M152" s="185">
        <f t="shared" si="119"/>
        <v>0</v>
      </c>
      <c r="N152" s="67">
        <f t="shared" ref="N152:P152" si="145">J152*C54*$B54</f>
        <v>0</v>
      </c>
      <c r="O152" s="67">
        <f t="shared" si="145"/>
        <v>0</v>
      </c>
      <c r="P152" s="67">
        <f t="shared" si="145"/>
        <v>0</v>
      </c>
      <c r="Q152" s="67">
        <f t="shared" si="121"/>
        <v>0</v>
      </c>
      <c r="R152" s="346" t="e">
        <f>'value-of-carbon-in-Greenhouses'!F46</f>
        <v>#DIV/0!</v>
      </c>
      <c r="S152" s="67" t="e">
        <f t="shared" si="122"/>
        <v>#DIV/0!</v>
      </c>
      <c r="T152" s="349">
        <f>'Value-of-fuel-used-under-CT'!E21</f>
        <v>0</v>
      </c>
      <c r="U152" s="350">
        <f t="shared" si="123"/>
        <v>0</v>
      </c>
      <c r="V152" s="24" t="e">
        <f t="shared" si="124"/>
        <v>#DIV/0!</v>
      </c>
      <c r="W152" s="24">
        <f t="shared" si="125"/>
        <v>0</v>
      </c>
      <c r="X152" s="24" t="e">
        <f t="shared" si="126"/>
        <v>#DIV/0!</v>
      </c>
      <c r="Y152" s="24">
        <f t="shared" si="127"/>
        <v>0</v>
      </c>
      <c r="Z152" s="38" t="e">
        <f t="shared" si="128"/>
        <v>#DIV/0!</v>
      </c>
      <c r="AA152" s="9">
        <v>0</v>
      </c>
      <c r="AB152" s="9">
        <v>0</v>
      </c>
      <c r="AC152" s="38" t="e">
        <f t="shared" si="129"/>
        <v>#DIV/0!</v>
      </c>
    </row>
    <row r="153" spans="1:31" x14ac:dyDescent="0.25">
      <c r="A153" s="13" t="s">
        <v>157</v>
      </c>
      <c r="B153" s="4"/>
      <c r="C153" s="64"/>
      <c r="D153" s="64"/>
      <c r="E153" s="64"/>
      <c r="F153" s="185">
        <f>'Percent-Soil-Carbon-Content'!E22*'Soil-errosion2'!E22</f>
        <v>0</v>
      </c>
      <c r="G153" s="185">
        <f>'Percent-Soil-Carbon-Content'!P22*'Soil-errosion2'!Q22</f>
        <v>0</v>
      </c>
      <c r="H153" s="185">
        <f>'Percent-Soil-Carbon-Content'!AA22*'Soil-errosion2'!AC22</f>
        <v>0</v>
      </c>
      <c r="I153" s="95">
        <f t="shared" si="115"/>
        <v>0</v>
      </c>
      <c r="J153" s="185">
        <f t="shared" si="116"/>
        <v>0</v>
      </c>
      <c r="K153" s="185">
        <f t="shared" si="117"/>
        <v>0</v>
      </c>
      <c r="L153" s="185">
        <f t="shared" si="118"/>
        <v>0</v>
      </c>
      <c r="M153" s="185">
        <f t="shared" si="119"/>
        <v>0</v>
      </c>
      <c r="N153" s="67">
        <f t="shared" ref="N153:P153" si="146">J153*C55*$B55</f>
        <v>0</v>
      </c>
      <c r="O153" s="67">
        <f t="shared" si="146"/>
        <v>0</v>
      </c>
      <c r="P153" s="67">
        <f t="shared" si="146"/>
        <v>0</v>
      </c>
      <c r="Q153" s="67">
        <f t="shared" si="121"/>
        <v>0</v>
      </c>
      <c r="R153" s="346" t="e">
        <f>'value-of-carbon-in-Greenhouses'!F47</f>
        <v>#DIV/0!</v>
      </c>
      <c r="S153" s="67" t="e">
        <f t="shared" si="122"/>
        <v>#DIV/0!</v>
      </c>
      <c r="T153" s="349">
        <f>'Value-of-fuel-used-under-CT'!E22</f>
        <v>0</v>
      </c>
      <c r="U153" s="350">
        <f t="shared" si="123"/>
        <v>0</v>
      </c>
      <c r="V153" s="24" t="e">
        <f t="shared" si="124"/>
        <v>#DIV/0!</v>
      </c>
      <c r="W153" s="24">
        <f t="shared" si="125"/>
        <v>0</v>
      </c>
      <c r="X153" s="24" t="e">
        <f t="shared" si="126"/>
        <v>#DIV/0!</v>
      </c>
      <c r="Y153" s="24">
        <f t="shared" si="127"/>
        <v>0</v>
      </c>
      <c r="Z153" s="38" t="e">
        <f t="shared" si="128"/>
        <v>#DIV/0!</v>
      </c>
      <c r="AA153" s="9">
        <v>0</v>
      </c>
      <c r="AB153" s="9">
        <v>0</v>
      </c>
      <c r="AC153" s="38" t="e">
        <f t="shared" si="129"/>
        <v>#DIV/0!</v>
      </c>
    </row>
    <row r="154" spans="1:31" x14ac:dyDescent="0.25">
      <c r="A154" s="13" t="s">
        <v>158</v>
      </c>
      <c r="B154" s="4"/>
      <c r="C154" s="64"/>
      <c r="D154" s="64"/>
      <c r="E154" s="64"/>
      <c r="F154" s="185">
        <f>'Percent-Soil-Carbon-Content'!E23*'Soil-errosion2'!E23</f>
        <v>0</v>
      </c>
      <c r="G154" s="185">
        <f>'Percent-Soil-Carbon-Content'!P23*'Soil-errosion2'!Q23</f>
        <v>0</v>
      </c>
      <c r="H154" s="185">
        <f>'Percent-Soil-Carbon-Content'!AA23*'Soil-errosion2'!AC23</f>
        <v>0</v>
      </c>
      <c r="I154" s="95">
        <f t="shared" si="115"/>
        <v>0</v>
      </c>
      <c r="J154" s="185">
        <f t="shared" si="116"/>
        <v>0</v>
      </c>
      <c r="K154" s="185">
        <f t="shared" si="117"/>
        <v>0</v>
      </c>
      <c r="L154" s="185">
        <f t="shared" si="118"/>
        <v>0</v>
      </c>
      <c r="M154" s="185">
        <f t="shared" si="119"/>
        <v>0</v>
      </c>
      <c r="N154" s="67">
        <f t="shared" ref="N154:P154" si="147">J154*C56*$B56</f>
        <v>0</v>
      </c>
      <c r="O154" s="67">
        <f t="shared" si="147"/>
        <v>0</v>
      </c>
      <c r="P154" s="67">
        <f t="shared" si="147"/>
        <v>0</v>
      </c>
      <c r="Q154" s="67">
        <f t="shared" si="121"/>
        <v>0</v>
      </c>
      <c r="R154" s="346" t="e">
        <f>'value-of-carbon-in-Greenhouses'!F48</f>
        <v>#DIV/0!</v>
      </c>
      <c r="S154" s="67" t="e">
        <f t="shared" si="122"/>
        <v>#DIV/0!</v>
      </c>
      <c r="T154" s="349">
        <f>'Value-of-fuel-used-under-CT'!E23</f>
        <v>0</v>
      </c>
      <c r="U154" s="350">
        <f t="shared" si="123"/>
        <v>0</v>
      </c>
      <c r="V154" s="24" t="e">
        <f t="shared" si="124"/>
        <v>#DIV/0!</v>
      </c>
      <c r="W154" s="24">
        <f t="shared" si="125"/>
        <v>0</v>
      </c>
      <c r="X154" s="24" t="e">
        <f t="shared" si="126"/>
        <v>#DIV/0!</v>
      </c>
      <c r="Y154" s="24">
        <f t="shared" si="127"/>
        <v>0</v>
      </c>
      <c r="Z154" s="38" t="e">
        <f t="shared" si="128"/>
        <v>#DIV/0!</v>
      </c>
      <c r="AA154" s="9">
        <v>0</v>
      </c>
      <c r="AB154" s="9">
        <v>0</v>
      </c>
      <c r="AC154" s="38" t="e">
        <f t="shared" si="129"/>
        <v>#DIV/0!</v>
      </c>
    </row>
    <row r="155" spans="1:31" x14ac:dyDescent="0.25">
      <c r="A155" s="13" t="s">
        <v>159</v>
      </c>
      <c r="B155" s="4"/>
      <c r="C155" s="64"/>
      <c r="D155" s="64"/>
      <c r="E155" s="64"/>
      <c r="F155" s="185">
        <f>'Percent-Soil-Carbon-Content'!E24*'Soil-errosion2'!E24</f>
        <v>0</v>
      </c>
      <c r="G155" s="185">
        <f>'Percent-Soil-Carbon-Content'!P24*'Soil-errosion2'!Q24</f>
        <v>0</v>
      </c>
      <c r="H155" s="185">
        <f>'Percent-Soil-Carbon-Content'!AA24*'Soil-errosion2'!AC24</f>
        <v>0</v>
      </c>
      <c r="I155" s="95">
        <f t="shared" si="115"/>
        <v>0</v>
      </c>
      <c r="J155" s="185">
        <f t="shared" si="116"/>
        <v>0</v>
      </c>
      <c r="K155" s="185">
        <f t="shared" si="117"/>
        <v>0</v>
      </c>
      <c r="L155" s="185">
        <f t="shared" si="118"/>
        <v>0</v>
      </c>
      <c r="M155" s="185">
        <f t="shared" si="119"/>
        <v>0</v>
      </c>
      <c r="N155" s="67">
        <f t="shared" ref="N155:P155" si="148">J155*C57*$B57</f>
        <v>0</v>
      </c>
      <c r="O155" s="67">
        <f t="shared" si="148"/>
        <v>0</v>
      </c>
      <c r="P155" s="67">
        <f t="shared" si="148"/>
        <v>0</v>
      </c>
      <c r="Q155" s="67">
        <f t="shared" si="121"/>
        <v>0</v>
      </c>
      <c r="R155" s="346" t="e">
        <f>'value-of-carbon-in-Greenhouses'!F49</f>
        <v>#DIV/0!</v>
      </c>
      <c r="S155" s="67" t="e">
        <f t="shared" si="122"/>
        <v>#DIV/0!</v>
      </c>
      <c r="T155" s="349">
        <f>'Value-of-fuel-used-under-CT'!E24</f>
        <v>0</v>
      </c>
      <c r="U155" s="350">
        <f t="shared" si="123"/>
        <v>0</v>
      </c>
      <c r="V155" s="24" t="e">
        <f t="shared" si="124"/>
        <v>#DIV/0!</v>
      </c>
      <c r="W155" s="24">
        <f t="shared" si="125"/>
        <v>0</v>
      </c>
      <c r="X155" s="24" t="e">
        <f t="shared" si="126"/>
        <v>#DIV/0!</v>
      </c>
      <c r="Y155" s="24">
        <f t="shared" si="127"/>
        <v>0</v>
      </c>
      <c r="Z155" s="38" t="e">
        <f t="shared" si="128"/>
        <v>#DIV/0!</v>
      </c>
      <c r="AA155" s="9">
        <v>0</v>
      </c>
      <c r="AB155" s="9">
        <v>0</v>
      </c>
      <c r="AC155" s="38" t="e">
        <f t="shared" si="129"/>
        <v>#DIV/0!</v>
      </c>
    </row>
    <row r="156" spans="1:31" x14ac:dyDescent="0.25">
      <c r="A156" s="13" t="s">
        <v>160</v>
      </c>
      <c r="B156" s="4"/>
      <c r="C156" s="64"/>
      <c r="D156" s="64"/>
      <c r="E156" s="64"/>
      <c r="F156" s="185">
        <f>'Percent-Soil-Carbon-Content'!E25*'Soil-errosion2'!E25</f>
        <v>0</v>
      </c>
      <c r="G156" s="185">
        <f>'Percent-Soil-Carbon-Content'!P25*'Soil-errosion2'!Q25</f>
        <v>0</v>
      </c>
      <c r="H156" s="185">
        <f>'Percent-Soil-Carbon-Content'!AA25*'Soil-errosion2'!AC25</f>
        <v>0</v>
      </c>
      <c r="I156" s="95">
        <f t="shared" si="115"/>
        <v>0</v>
      </c>
      <c r="J156" s="185">
        <f t="shared" si="116"/>
        <v>0</v>
      </c>
      <c r="K156" s="185">
        <f t="shared" si="117"/>
        <v>0</v>
      </c>
      <c r="L156" s="185">
        <f t="shared" si="118"/>
        <v>0</v>
      </c>
      <c r="M156" s="185">
        <f t="shared" si="119"/>
        <v>0</v>
      </c>
      <c r="N156" s="67">
        <f t="shared" ref="N156:P156" si="149">J156*C58*$B58</f>
        <v>0</v>
      </c>
      <c r="O156" s="67">
        <f t="shared" si="149"/>
        <v>0</v>
      </c>
      <c r="P156" s="67">
        <f t="shared" si="149"/>
        <v>0</v>
      </c>
      <c r="Q156" s="67">
        <f t="shared" si="121"/>
        <v>0</v>
      </c>
      <c r="R156" s="346" t="e">
        <f>'value-of-carbon-in-Greenhouses'!F50</f>
        <v>#DIV/0!</v>
      </c>
      <c r="S156" s="67" t="e">
        <f t="shared" si="122"/>
        <v>#DIV/0!</v>
      </c>
      <c r="T156" s="349">
        <f>'Value-of-fuel-used-under-CT'!E25</f>
        <v>0</v>
      </c>
      <c r="U156" s="350">
        <f t="shared" si="123"/>
        <v>0</v>
      </c>
      <c r="V156" s="24" t="e">
        <f t="shared" si="124"/>
        <v>#DIV/0!</v>
      </c>
      <c r="W156" s="24">
        <f t="shared" si="125"/>
        <v>0</v>
      </c>
      <c r="X156" s="24" t="e">
        <f t="shared" si="126"/>
        <v>#DIV/0!</v>
      </c>
      <c r="Y156" s="24">
        <f t="shared" si="127"/>
        <v>0</v>
      </c>
      <c r="Z156" s="38" t="e">
        <f t="shared" si="128"/>
        <v>#DIV/0!</v>
      </c>
      <c r="AA156" s="9">
        <v>0</v>
      </c>
      <c r="AB156" s="9">
        <v>0</v>
      </c>
      <c r="AC156" s="38" t="e">
        <f t="shared" si="129"/>
        <v>#DIV/0!</v>
      </c>
    </row>
    <row r="157" spans="1:31" x14ac:dyDescent="0.25">
      <c r="A157" s="13" t="s">
        <v>161</v>
      </c>
      <c r="B157" s="4"/>
      <c r="C157" s="64"/>
      <c r="D157" s="64"/>
      <c r="E157" s="64"/>
      <c r="F157" s="185">
        <f>'Percent-Soil-Carbon-Content'!E26*'Soil-errosion2'!E26</f>
        <v>0</v>
      </c>
      <c r="G157" s="185">
        <f>'Percent-Soil-Carbon-Content'!P26*'Soil-errosion2'!Q26</f>
        <v>0</v>
      </c>
      <c r="H157" s="185">
        <f>'Percent-Soil-Carbon-Content'!AA26*'Soil-errosion2'!AC26</f>
        <v>0</v>
      </c>
      <c r="I157" s="95">
        <f t="shared" si="115"/>
        <v>0</v>
      </c>
      <c r="J157" s="185">
        <f t="shared" si="116"/>
        <v>0</v>
      </c>
      <c r="K157" s="185">
        <f t="shared" si="117"/>
        <v>0</v>
      </c>
      <c r="L157" s="185">
        <f t="shared" si="118"/>
        <v>0</v>
      </c>
      <c r="M157" s="185">
        <f t="shared" si="119"/>
        <v>0</v>
      </c>
      <c r="N157" s="67">
        <f t="shared" ref="N157:P157" si="150">J157*C59*$B59</f>
        <v>0</v>
      </c>
      <c r="O157" s="67">
        <f t="shared" si="150"/>
        <v>0</v>
      </c>
      <c r="P157" s="67">
        <f t="shared" si="150"/>
        <v>0</v>
      </c>
      <c r="Q157" s="67">
        <f t="shared" si="121"/>
        <v>0</v>
      </c>
      <c r="R157" s="346" t="e">
        <f>'value-of-carbon-in-Greenhouses'!F51</f>
        <v>#DIV/0!</v>
      </c>
      <c r="S157" s="67" t="e">
        <f t="shared" si="122"/>
        <v>#DIV/0!</v>
      </c>
      <c r="T157" s="349">
        <f>'Value-of-fuel-used-under-CT'!E26</f>
        <v>0</v>
      </c>
      <c r="U157" s="350">
        <f t="shared" si="123"/>
        <v>0</v>
      </c>
      <c r="V157" s="24" t="e">
        <f t="shared" si="124"/>
        <v>#DIV/0!</v>
      </c>
      <c r="W157" s="24">
        <f t="shared" si="125"/>
        <v>0</v>
      </c>
      <c r="X157" s="24" t="e">
        <f t="shared" si="126"/>
        <v>#DIV/0!</v>
      </c>
      <c r="Y157" s="24">
        <f t="shared" si="127"/>
        <v>0</v>
      </c>
      <c r="Z157" s="38" t="e">
        <f t="shared" si="128"/>
        <v>#DIV/0!</v>
      </c>
      <c r="AA157" s="9">
        <v>0</v>
      </c>
      <c r="AB157" s="9">
        <v>0</v>
      </c>
      <c r="AC157" s="38" t="e">
        <f t="shared" si="129"/>
        <v>#DIV/0!</v>
      </c>
    </row>
    <row r="158" spans="1:31" x14ac:dyDescent="0.25">
      <c r="A158" s="13" t="s">
        <v>162</v>
      </c>
      <c r="B158" s="4"/>
      <c r="C158" s="64"/>
      <c r="D158" s="64"/>
      <c r="E158" s="64"/>
      <c r="F158" s="185">
        <f>'Percent-Soil-Carbon-Content'!E27*'Soil-errosion2'!E27</f>
        <v>0</v>
      </c>
      <c r="G158" s="185">
        <f>'Percent-Soil-Carbon-Content'!P27*'Soil-errosion2'!Q27</f>
        <v>0</v>
      </c>
      <c r="H158" s="185">
        <f>'Percent-Soil-Carbon-Content'!AA27*'Soil-errosion2'!AC27</f>
        <v>0</v>
      </c>
      <c r="I158" s="95">
        <f t="shared" si="115"/>
        <v>0</v>
      </c>
      <c r="J158" s="185">
        <f t="shared" si="116"/>
        <v>0</v>
      </c>
      <c r="K158" s="185">
        <f t="shared" si="117"/>
        <v>0</v>
      </c>
      <c r="L158" s="185">
        <f t="shared" si="118"/>
        <v>0</v>
      </c>
      <c r="M158" s="185">
        <f t="shared" si="119"/>
        <v>0</v>
      </c>
      <c r="N158" s="67">
        <f t="shared" ref="N158:P158" si="151">J158*C60*$B60</f>
        <v>0</v>
      </c>
      <c r="O158" s="67">
        <f t="shared" si="151"/>
        <v>0</v>
      </c>
      <c r="P158" s="67">
        <f t="shared" si="151"/>
        <v>0</v>
      </c>
      <c r="Q158" s="67">
        <f t="shared" si="121"/>
        <v>0</v>
      </c>
      <c r="R158" s="346" t="e">
        <f>'value-of-carbon-in-Greenhouses'!F52</f>
        <v>#DIV/0!</v>
      </c>
      <c r="S158" s="67" t="e">
        <f t="shared" si="122"/>
        <v>#DIV/0!</v>
      </c>
      <c r="T158" s="349">
        <f>'Value-of-fuel-used-under-CT'!E27</f>
        <v>0</v>
      </c>
      <c r="U158" s="350">
        <f t="shared" si="123"/>
        <v>0</v>
      </c>
      <c r="V158" s="24" t="e">
        <f t="shared" si="124"/>
        <v>#DIV/0!</v>
      </c>
      <c r="W158" s="24">
        <f t="shared" si="125"/>
        <v>0</v>
      </c>
      <c r="X158" s="24" t="e">
        <f t="shared" si="126"/>
        <v>#DIV/0!</v>
      </c>
      <c r="Y158" s="24">
        <f t="shared" si="127"/>
        <v>0</v>
      </c>
      <c r="Z158" s="38" t="e">
        <f t="shared" si="128"/>
        <v>#DIV/0!</v>
      </c>
      <c r="AA158" s="9">
        <v>0</v>
      </c>
      <c r="AB158" s="9">
        <v>0</v>
      </c>
      <c r="AC158" s="38" t="e">
        <f t="shared" si="129"/>
        <v>#DIV/0!</v>
      </c>
    </row>
    <row r="159" spans="1:31" x14ac:dyDescent="0.25">
      <c r="A159" s="1" t="s">
        <v>163</v>
      </c>
      <c r="B159" s="10">
        <f>SUM(B135:B158)</f>
        <v>0</v>
      </c>
      <c r="C159" s="71" t="e">
        <f t="shared" ref="C159:M159" si="152">SUMPRODUCT(C135:C158,$B$67:$B$90)/$B$91</f>
        <v>#DIV/0!</v>
      </c>
      <c r="D159" s="71" t="e">
        <f t="shared" si="152"/>
        <v>#DIV/0!</v>
      </c>
      <c r="E159" s="590" t="e">
        <f t="shared" si="152"/>
        <v>#DIV/0!</v>
      </c>
      <c r="F159" s="590" t="e">
        <f t="shared" si="152"/>
        <v>#DIV/0!</v>
      </c>
      <c r="G159" s="590" t="e">
        <f t="shared" si="152"/>
        <v>#DIV/0!</v>
      </c>
      <c r="H159" s="590" t="e">
        <f t="shared" si="152"/>
        <v>#DIV/0!</v>
      </c>
      <c r="I159" s="590" t="e">
        <f t="shared" si="152"/>
        <v>#DIV/0!</v>
      </c>
      <c r="J159" s="71" t="e">
        <f t="shared" si="152"/>
        <v>#DIV/0!</v>
      </c>
      <c r="K159" s="71" t="e">
        <f t="shared" si="152"/>
        <v>#DIV/0!</v>
      </c>
      <c r="L159" s="71" t="e">
        <f t="shared" si="152"/>
        <v>#DIV/0!</v>
      </c>
      <c r="M159" s="71" t="e">
        <f t="shared" si="152"/>
        <v>#DIV/0!</v>
      </c>
      <c r="N159" s="23">
        <f t="shared" ref="N159:U159" si="153">SUM(N135:N158)</f>
        <v>0</v>
      </c>
      <c r="O159" s="24">
        <f t="shared" si="153"/>
        <v>0</v>
      </c>
      <c r="P159" s="24">
        <f t="shared" si="153"/>
        <v>0</v>
      </c>
      <c r="Q159" s="24">
        <f t="shared" si="153"/>
        <v>0</v>
      </c>
      <c r="R159" s="24" t="e">
        <f t="shared" si="153"/>
        <v>#DIV/0!</v>
      </c>
      <c r="S159" s="24" t="e">
        <f t="shared" si="153"/>
        <v>#DIV/0!</v>
      </c>
      <c r="T159" s="351">
        <f t="shared" si="153"/>
        <v>0</v>
      </c>
      <c r="U159" s="351">
        <f t="shared" si="153"/>
        <v>0</v>
      </c>
      <c r="V159" s="24" t="e">
        <f>Q159+S159+U159</f>
        <v>#DIV/0!</v>
      </c>
      <c r="W159" s="24">
        <f>SUM(W135:W158)</f>
        <v>0</v>
      </c>
      <c r="X159" s="24" t="e">
        <f>SUM(X135:X158)</f>
        <v>#DIV/0!</v>
      </c>
      <c r="Y159" s="24">
        <f>SUM(Y135:Y158)</f>
        <v>0</v>
      </c>
      <c r="Z159" s="24" t="e">
        <f>SUM(Z135:Z158)</f>
        <v>#DIV/0!</v>
      </c>
      <c r="AA159" s="10">
        <f t="shared" ref="AA159:AB159" si="154">SUM(AA135:AA158)</f>
        <v>0</v>
      </c>
      <c r="AB159" s="10">
        <f t="shared" si="154"/>
        <v>0</v>
      </c>
      <c r="AC159" s="38" t="e">
        <f>B159+Z159+AA159+AB159</f>
        <v>#DIV/0!</v>
      </c>
      <c r="AD159" s="68" t="e">
        <f>AC159/'Summary-all-crops'!C3</f>
        <v>#DIV/0!</v>
      </c>
      <c r="AE159" s="1"/>
    </row>
    <row r="160" spans="1:31" x14ac:dyDescent="0.25">
      <c r="A160" s="1"/>
      <c r="S160" s="24" t="e">
        <f>SUM(V135:V158)=V159</f>
        <v>#DIV/0!</v>
      </c>
      <c r="T160" s="311"/>
      <c r="U160" s="311"/>
      <c r="V160" s="70"/>
    </row>
    <row r="161" spans="1:6" x14ac:dyDescent="0.25">
      <c r="A161" s="1"/>
      <c r="F161" s="2"/>
    </row>
    <row r="162" spans="1:6" x14ac:dyDescent="0.25">
      <c r="A162" s="1" t="s">
        <v>369</v>
      </c>
    </row>
    <row r="164" spans="1:6" x14ac:dyDescent="0.25">
      <c r="A164" s="838" t="s">
        <v>101</v>
      </c>
      <c r="B164" s="839" t="s">
        <v>370</v>
      </c>
      <c r="C164" s="839"/>
      <c r="D164" s="839"/>
      <c r="E164" s="839"/>
    </row>
    <row r="165" spans="1:6" x14ac:dyDescent="0.25">
      <c r="A165" s="838"/>
      <c r="F165" s="11"/>
    </row>
    <row r="166" spans="1:6" x14ac:dyDescent="0.25">
      <c r="A166" s="838"/>
      <c r="B166" s="1" t="s">
        <v>136</v>
      </c>
      <c r="C166" s="1" t="s">
        <v>137</v>
      </c>
      <c r="D166" s="1" t="s">
        <v>289</v>
      </c>
      <c r="E166" s="1" t="s">
        <v>120</v>
      </c>
      <c r="F166" s="11"/>
    </row>
    <row r="167" spans="1:6" x14ac:dyDescent="0.25">
      <c r="A167" s="13" t="s">
        <v>139</v>
      </c>
      <c r="B167" s="45" t="e">
        <f>$D$26*(K37)+$E$26*(K67)</f>
        <v>#DIV/0!</v>
      </c>
      <c r="C167" s="45" t="e">
        <f>$D$26*(L37)+$E$26*(L67)</f>
        <v>#DIV/0!</v>
      </c>
      <c r="D167" s="45" t="e">
        <f>$D$26*(M37)+$E$26*(M67)</f>
        <v>#DIV/0!</v>
      </c>
      <c r="E167" s="23" t="e">
        <f>SUM(B167:D167)</f>
        <v>#DIV/0!</v>
      </c>
    </row>
    <row r="168" spans="1:6" x14ac:dyDescent="0.25">
      <c r="A168" s="13" t="s">
        <v>140</v>
      </c>
      <c r="B168" s="45" t="e">
        <f t="shared" ref="B168:D168" si="155">$D$26*(K38)+$E$26*(K68)</f>
        <v>#DIV/0!</v>
      </c>
      <c r="C168" s="45" t="e">
        <f t="shared" si="155"/>
        <v>#DIV/0!</v>
      </c>
      <c r="D168" s="45" t="e">
        <f t="shared" si="155"/>
        <v>#DIV/0!</v>
      </c>
      <c r="E168" s="23" t="e">
        <f t="shared" ref="E168:E190" si="156">SUM(B168:D168)</f>
        <v>#DIV/0!</v>
      </c>
    </row>
    <row r="169" spans="1:6" x14ac:dyDescent="0.25">
      <c r="A169" s="13" t="s">
        <v>141</v>
      </c>
      <c r="B169" s="45" t="e">
        <f t="shared" ref="B169:D169" si="157">$D$26*(K39)+$E$26*(K69)</f>
        <v>#DIV/0!</v>
      </c>
      <c r="C169" s="45" t="e">
        <f t="shared" si="157"/>
        <v>#DIV/0!</v>
      </c>
      <c r="D169" s="45" t="e">
        <f t="shared" si="157"/>
        <v>#DIV/0!</v>
      </c>
      <c r="E169" s="23" t="e">
        <f t="shared" si="156"/>
        <v>#DIV/0!</v>
      </c>
    </row>
    <row r="170" spans="1:6" x14ac:dyDescent="0.25">
      <c r="A170" s="13" t="s">
        <v>142</v>
      </c>
      <c r="B170" s="45" t="e">
        <f t="shared" ref="B170:D170" si="158">$D$26*(K40)+$E$26*(K70)</f>
        <v>#DIV/0!</v>
      </c>
      <c r="C170" s="45" t="e">
        <f t="shared" si="158"/>
        <v>#DIV/0!</v>
      </c>
      <c r="D170" s="45" t="e">
        <f t="shared" si="158"/>
        <v>#DIV/0!</v>
      </c>
      <c r="E170" s="23" t="e">
        <f t="shared" si="156"/>
        <v>#DIV/0!</v>
      </c>
    </row>
    <row r="171" spans="1:6" x14ac:dyDescent="0.25">
      <c r="A171" s="13" t="s">
        <v>143</v>
      </c>
      <c r="B171" s="45" t="e">
        <f t="shared" ref="B171:D171" si="159">$D$26*(K41)+$E$26*(K71)</f>
        <v>#DIV/0!</v>
      </c>
      <c r="C171" s="45" t="e">
        <f t="shared" si="159"/>
        <v>#DIV/0!</v>
      </c>
      <c r="D171" s="45" t="e">
        <f t="shared" si="159"/>
        <v>#DIV/0!</v>
      </c>
      <c r="E171" s="23" t="e">
        <f t="shared" si="156"/>
        <v>#DIV/0!</v>
      </c>
    </row>
    <row r="172" spans="1:6" x14ac:dyDescent="0.25">
      <c r="A172" s="13" t="s">
        <v>144</v>
      </c>
      <c r="B172" s="45" t="e">
        <f t="shared" ref="B172:D172" si="160">$D$26*(K42)+$E$26*(K72)</f>
        <v>#DIV/0!</v>
      </c>
      <c r="C172" s="45" t="e">
        <f t="shared" si="160"/>
        <v>#DIV/0!</v>
      </c>
      <c r="D172" s="45" t="e">
        <f t="shared" si="160"/>
        <v>#DIV/0!</v>
      </c>
      <c r="E172" s="23" t="e">
        <f t="shared" si="156"/>
        <v>#DIV/0!</v>
      </c>
    </row>
    <row r="173" spans="1:6" x14ac:dyDescent="0.25">
      <c r="A173" s="13" t="s">
        <v>145</v>
      </c>
      <c r="B173" s="45" t="e">
        <f t="shared" ref="B173:D173" si="161">$D$26*(K43)+$E$26*(K73)</f>
        <v>#DIV/0!</v>
      </c>
      <c r="C173" s="45" t="e">
        <f t="shared" si="161"/>
        <v>#DIV/0!</v>
      </c>
      <c r="D173" s="45" t="e">
        <f t="shared" si="161"/>
        <v>#DIV/0!</v>
      </c>
      <c r="E173" s="23" t="e">
        <f t="shared" si="156"/>
        <v>#DIV/0!</v>
      </c>
    </row>
    <row r="174" spans="1:6" x14ac:dyDescent="0.25">
      <c r="A174" s="13" t="s">
        <v>146</v>
      </c>
      <c r="B174" s="45" t="e">
        <f t="shared" ref="B174:D174" si="162">$D$26*(K44)+$E$26*(K74)</f>
        <v>#DIV/0!</v>
      </c>
      <c r="C174" s="45" t="e">
        <f t="shared" si="162"/>
        <v>#DIV/0!</v>
      </c>
      <c r="D174" s="45" t="e">
        <f t="shared" si="162"/>
        <v>#DIV/0!</v>
      </c>
      <c r="E174" s="23" t="e">
        <f t="shared" si="156"/>
        <v>#DIV/0!</v>
      </c>
    </row>
    <row r="175" spans="1:6" x14ac:dyDescent="0.25">
      <c r="A175" s="13" t="s">
        <v>147</v>
      </c>
      <c r="B175" s="45" t="e">
        <f t="shared" ref="B175:D175" si="163">$D$26*(K45)+$E$26*(K75)</f>
        <v>#DIV/0!</v>
      </c>
      <c r="C175" s="45" t="e">
        <f t="shared" si="163"/>
        <v>#DIV/0!</v>
      </c>
      <c r="D175" s="45" t="e">
        <f t="shared" si="163"/>
        <v>#DIV/0!</v>
      </c>
      <c r="E175" s="23" t="e">
        <f t="shared" si="156"/>
        <v>#DIV/0!</v>
      </c>
    </row>
    <row r="176" spans="1:6" x14ac:dyDescent="0.25">
      <c r="A176" s="13" t="s">
        <v>148</v>
      </c>
      <c r="B176" s="45" t="e">
        <f t="shared" ref="B176:D176" si="164">$D$26*(K46)+$E$26*(K76)</f>
        <v>#DIV/0!</v>
      </c>
      <c r="C176" s="45" t="e">
        <f t="shared" si="164"/>
        <v>#DIV/0!</v>
      </c>
      <c r="D176" s="45" t="e">
        <f t="shared" si="164"/>
        <v>#DIV/0!</v>
      </c>
      <c r="E176" s="23" t="e">
        <f t="shared" si="156"/>
        <v>#DIV/0!</v>
      </c>
    </row>
    <row r="177" spans="1:8" x14ac:dyDescent="0.25">
      <c r="A177" s="13" t="s">
        <v>149</v>
      </c>
      <c r="B177" s="45" t="e">
        <f t="shared" ref="B177:D177" si="165">$D$26*(K47)+$E$26*(K77)</f>
        <v>#DIV/0!</v>
      </c>
      <c r="C177" s="45" t="e">
        <f t="shared" si="165"/>
        <v>#DIV/0!</v>
      </c>
      <c r="D177" s="45" t="e">
        <f t="shared" si="165"/>
        <v>#DIV/0!</v>
      </c>
      <c r="E177" s="23" t="e">
        <f t="shared" si="156"/>
        <v>#DIV/0!</v>
      </c>
    </row>
    <row r="178" spans="1:8" x14ac:dyDescent="0.25">
      <c r="A178" s="13" t="s">
        <v>150</v>
      </c>
      <c r="B178" s="45" t="e">
        <f t="shared" ref="B178:D178" si="166">$D$26*(K48)+$E$26*(K78)</f>
        <v>#DIV/0!</v>
      </c>
      <c r="C178" s="45" t="e">
        <f t="shared" si="166"/>
        <v>#DIV/0!</v>
      </c>
      <c r="D178" s="45" t="e">
        <f t="shared" si="166"/>
        <v>#DIV/0!</v>
      </c>
      <c r="E178" s="23" t="e">
        <f t="shared" si="156"/>
        <v>#DIV/0!</v>
      </c>
    </row>
    <row r="179" spans="1:8" x14ac:dyDescent="0.25">
      <c r="A179" s="13" t="s">
        <v>151</v>
      </c>
      <c r="B179" s="45" t="e">
        <f t="shared" ref="B179:D179" si="167">$D$26*(K49)+$E$26*(K79)</f>
        <v>#DIV/0!</v>
      </c>
      <c r="C179" s="45" t="e">
        <f t="shared" si="167"/>
        <v>#DIV/0!</v>
      </c>
      <c r="D179" s="45" t="e">
        <f t="shared" si="167"/>
        <v>#DIV/0!</v>
      </c>
      <c r="E179" s="23" t="e">
        <f t="shared" si="156"/>
        <v>#DIV/0!</v>
      </c>
    </row>
    <row r="180" spans="1:8" x14ac:dyDescent="0.25">
      <c r="A180" s="13" t="s">
        <v>152</v>
      </c>
      <c r="B180" s="45" t="e">
        <f t="shared" ref="B180:D180" si="168">$D$26*(K50)+$E$26*(K80)</f>
        <v>#DIV/0!</v>
      </c>
      <c r="C180" s="45" t="e">
        <f t="shared" si="168"/>
        <v>#DIV/0!</v>
      </c>
      <c r="D180" s="45" t="e">
        <f t="shared" si="168"/>
        <v>#DIV/0!</v>
      </c>
      <c r="E180" s="23" t="e">
        <f t="shared" si="156"/>
        <v>#DIV/0!</v>
      </c>
    </row>
    <row r="181" spans="1:8" x14ac:dyDescent="0.25">
      <c r="A181" s="13" t="s">
        <v>153</v>
      </c>
      <c r="B181" s="45" t="e">
        <f t="shared" ref="B181:D181" si="169">$D$26*(K51)+$E$26*(K81)</f>
        <v>#DIV/0!</v>
      </c>
      <c r="C181" s="45" t="e">
        <f t="shared" si="169"/>
        <v>#DIV/0!</v>
      </c>
      <c r="D181" s="45" t="e">
        <f t="shared" si="169"/>
        <v>#DIV/0!</v>
      </c>
      <c r="E181" s="23" t="e">
        <f t="shared" si="156"/>
        <v>#DIV/0!</v>
      </c>
    </row>
    <row r="182" spans="1:8" x14ac:dyDescent="0.25">
      <c r="A182" s="13" t="s">
        <v>154</v>
      </c>
      <c r="B182" s="45" t="e">
        <f t="shared" ref="B182:D182" si="170">$D$26*(K52)+$E$26*(K82)</f>
        <v>#DIV/0!</v>
      </c>
      <c r="C182" s="45" t="e">
        <f t="shared" si="170"/>
        <v>#DIV/0!</v>
      </c>
      <c r="D182" s="45" t="e">
        <f t="shared" si="170"/>
        <v>#DIV/0!</v>
      </c>
      <c r="E182" s="23" t="e">
        <f t="shared" si="156"/>
        <v>#DIV/0!</v>
      </c>
    </row>
    <row r="183" spans="1:8" x14ac:dyDescent="0.25">
      <c r="A183" s="13" t="s">
        <v>155</v>
      </c>
      <c r="B183" s="45" t="e">
        <f t="shared" ref="B183:D183" si="171">$D$26*(K53)+$E$26*(K83)</f>
        <v>#DIV/0!</v>
      </c>
      <c r="C183" s="45" t="e">
        <f t="shared" si="171"/>
        <v>#DIV/0!</v>
      </c>
      <c r="D183" s="45" t="e">
        <f t="shared" si="171"/>
        <v>#DIV/0!</v>
      </c>
      <c r="E183" s="23" t="e">
        <f t="shared" si="156"/>
        <v>#DIV/0!</v>
      </c>
    </row>
    <row r="184" spans="1:8" x14ac:dyDescent="0.25">
      <c r="A184" s="13" t="s">
        <v>156</v>
      </c>
      <c r="B184" s="45" t="e">
        <f t="shared" ref="B184:D184" si="172">$D$26*(K54)+$E$26*(K84)</f>
        <v>#DIV/0!</v>
      </c>
      <c r="C184" s="45" t="e">
        <f t="shared" si="172"/>
        <v>#DIV/0!</v>
      </c>
      <c r="D184" s="45" t="e">
        <f t="shared" si="172"/>
        <v>#DIV/0!</v>
      </c>
      <c r="E184" s="23" t="e">
        <f t="shared" si="156"/>
        <v>#DIV/0!</v>
      </c>
    </row>
    <row r="185" spans="1:8" x14ac:dyDescent="0.25">
      <c r="A185" s="13" t="s">
        <v>157</v>
      </c>
      <c r="B185" s="45" t="e">
        <f t="shared" ref="B185:D185" si="173">$D$26*(K55)+$E$26*(K85)</f>
        <v>#DIV/0!</v>
      </c>
      <c r="C185" s="45" t="e">
        <f t="shared" si="173"/>
        <v>#DIV/0!</v>
      </c>
      <c r="D185" s="45" t="e">
        <f t="shared" si="173"/>
        <v>#DIV/0!</v>
      </c>
      <c r="E185" s="23" t="e">
        <f t="shared" si="156"/>
        <v>#DIV/0!</v>
      </c>
    </row>
    <row r="186" spans="1:8" x14ac:dyDescent="0.25">
      <c r="A186" s="13" t="s">
        <v>158</v>
      </c>
      <c r="B186" s="45" t="e">
        <f t="shared" ref="B186:D186" si="174">$D$26*(K56)+$E$26*(K86)</f>
        <v>#DIV/0!</v>
      </c>
      <c r="C186" s="45" t="e">
        <f t="shared" si="174"/>
        <v>#DIV/0!</v>
      </c>
      <c r="D186" s="45" t="e">
        <f t="shared" si="174"/>
        <v>#DIV/0!</v>
      </c>
      <c r="E186" s="23" t="e">
        <f t="shared" si="156"/>
        <v>#DIV/0!</v>
      </c>
    </row>
    <row r="187" spans="1:8" x14ac:dyDescent="0.25">
      <c r="A187" s="13" t="s">
        <v>159</v>
      </c>
      <c r="B187" s="45" t="e">
        <f t="shared" ref="B187:D187" si="175">$D$26*(K57)+$E$26*(K87)</f>
        <v>#DIV/0!</v>
      </c>
      <c r="C187" s="45" t="e">
        <f t="shared" si="175"/>
        <v>#DIV/0!</v>
      </c>
      <c r="D187" s="45" t="e">
        <f t="shared" si="175"/>
        <v>#DIV/0!</v>
      </c>
      <c r="E187" s="23" t="e">
        <f t="shared" si="156"/>
        <v>#DIV/0!</v>
      </c>
    </row>
    <row r="188" spans="1:8" x14ac:dyDescent="0.25">
      <c r="A188" s="13" t="s">
        <v>160</v>
      </c>
      <c r="B188" s="45" t="e">
        <f t="shared" ref="B188:D188" si="176">$D$26*(K58)+$E$26*(K88)</f>
        <v>#DIV/0!</v>
      </c>
      <c r="C188" s="45" t="e">
        <f t="shared" si="176"/>
        <v>#DIV/0!</v>
      </c>
      <c r="D188" s="45" t="e">
        <f t="shared" si="176"/>
        <v>#DIV/0!</v>
      </c>
      <c r="E188" s="23" t="e">
        <f t="shared" si="156"/>
        <v>#DIV/0!</v>
      </c>
    </row>
    <row r="189" spans="1:8" x14ac:dyDescent="0.25">
      <c r="A189" s="13" t="s">
        <v>161</v>
      </c>
      <c r="B189" s="45" t="e">
        <f t="shared" ref="B189:D189" si="177">$D$26*(K59)+$E$26*(K89)</f>
        <v>#DIV/0!</v>
      </c>
      <c r="C189" s="45" t="e">
        <f t="shared" si="177"/>
        <v>#DIV/0!</v>
      </c>
      <c r="D189" s="45" t="e">
        <f t="shared" si="177"/>
        <v>#DIV/0!</v>
      </c>
      <c r="E189" s="23" t="e">
        <f t="shared" si="156"/>
        <v>#DIV/0!</v>
      </c>
    </row>
    <row r="190" spans="1:8" x14ac:dyDescent="0.25">
      <c r="A190" s="13" t="s">
        <v>162</v>
      </c>
      <c r="B190" s="45" t="e">
        <f t="shared" ref="B190:D190" si="178">$D$26*(K60)+$E$26*(K90)</f>
        <v>#DIV/0!</v>
      </c>
      <c r="C190" s="45" t="e">
        <f t="shared" si="178"/>
        <v>#DIV/0!</v>
      </c>
      <c r="D190" s="45" t="e">
        <f t="shared" si="178"/>
        <v>#DIV/0!</v>
      </c>
      <c r="E190" s="23" t="e">
        <f t="shared" si="156"/>
        <v>#DIV/0!</v>
      </c>
    </row>
    <row r="191" spans="1:8" x14ac:dyDescent="0.25">
      <c r="A191" s="1" t="s">
        <v>163</v>
      </c>
      <c r="B191" s="23" t="e">
        <f>SUMPRODUCT($B$100:$B$123,B167:B190)/$B$124</f>
        <v>#DIV/0!</v>
      </c>
      <c r="C191" s="23" t="e">
        <f>SUMPRODUCT($B$100:$B$123,C167:C190)/$B$124</f>
        <v>#DIV/0!</v>
      </c>
      <c r="D191" s="23" t="e">
        <f>SUMPRODUCT($B$100:$B$123,D167:D190)/$B$124</f>
        <v>#DIV/0!</v>
      </c>
      <c r="E191" s="23" t="e">
        <f>SUM(B191:D191)</f>
        <v>#DIV/0!</v>
      </c>
      <c r="G191" s="1"/>
      <c r="H191" s="1"/>
    </row>
    <row r="192" spans="1:8" x14ac:dyDescent="0.25">
      <c r="G192" s="1"/>
      <c r="H192" s="1"/>
    </row>
    <row r="193" spans="1:17" ht="18.75" x14ac:dyDescent="0.3">
      <c r="A193" s="12" t="s">
        <v>432</v>
      </c>
    </row>
    <row r="194" spans="1:17" x14ac:dyDescent="0.25">
      <c r="A194" t="s">
        <v>372</v>
      </c>
      <c r="C194" s="24">
        <f>'Cereals-all-year'!K2</f>
        <v>134280440000</v>
      </c>
    </row>
    <row r="195" spans="1:17" ht="15.75" thickBot="1" x14ac:dyDescent="0.3">
      <c r="A195" t="s">
        <v>373</v>
      </c>
      <c r="C195" s="24">
        <f>'Cereals-all-year'!K3</f>
        <v>46690000000</v>
      </c>
    </row>
    <row r="196" spans="1:17" x14ac:dyDescent="0.25">
      <c r="A196" s="853"/>
      <c r="B196" s="798" t="s">
        <v>374</v>
      </c>
      <c r="C196" s="848"/>
      <c r="D196" s="848"/>
      <c r="E196" s="848"/>
      <c r="F196" s="849"/>
      <c r="G196" s="855" t="s">
        <v>367</v>
      </c>
      <c r="H196" s="22"/>
    </row>
    <row r="197" spans="1:17" x14ac:dyDescent="0.25">
      <c r="A197" s="854"/>
      <c r="B197" s="15" t="s">
        <v>375</v>
      </c>
      <c r="C197" s="16" t="s">
        <v>376</v>
      </c>
      <c r="D197" s="16" t="s">
        <v>377</v>
      </c>
      <c r="E197" s="16" t="s">
        <v>378</v>
      </c>
      <c r="F197" s="16" t="s">
        <v>379</v>
      </c>
      <c r="G197" s="856"/>
      <c r="H197" s="22"/>
    </row>
    <row r="198" spans="1:17" x14ac:dyDescent="0.25">
      <c r="A198" s="13" t="s">
        <v>139</v>
      </c>
      <c r="B198" s="43" t="e">
        <f>R37+R67</f>
        <v>#DIV/0!</v>
      </c>
      <c r="C198" s="14">
        <f>N100</f>
        <v>0</v>
      </c>
      <c r="D198" s="14" t="e">
        <f>AC135</f>
        <v>#DIV/0!</v>
      </c>
      <c r="E198" s="14" t="e">
        <f>E167</f>
        <v>#DIV/0!</v>
      </c>
      <c r="F198" s="48" t="e">
        <f>SUM(B198:E198)</f>
        <v>#DIV/0!</v>
      </c>
      <c r="G198" s="150" t="e">
        <f>F198/$C$195</f>
        <v>#DIV/0!</v>
      </c>
      <c r="H198" s="91"/>
    </row>
    <row r="199" spans="1:17" x14ac:dyDescent="0.25">
      <c r="A199" s="13" t="s">
        <v>140</v>
      </c>
      <c r="B199" s="43" t="e">
        <f t="shared" ref="B199:B221" si="179">R38+R68</f>
        <v>#DIV/0!</v>
      </c>
      <c r="C199" s="14">
        <f t="shared" ref="C199:C221" si="180">N101</f>
        <v>0</v>
      </c>
      <c r="D199" s="14" t="e">
        <f t="shared" ref="D199:D221" si="181">AC136</f>
        <v>#DIV/0!</v>
      </c>
      <c r="E199" s="14" t="e">
        <f t="shared" ref="E199:E221" si="182">E168</f>
        <v>#DIV/0!</v>
      </c>
      <c r="F199" s="48" t="e">
        <f t="shared" ref="F199:F221" si="183">SUM(B199:E199)</f>
        <v>#DIV/0!</v>
      </c>
      <c r="G199" s="150" t="e">
        <f t="shared" ref="G199:G221" si="184">F199/$C$195</f>
        <v>#DIV/0!</v>
      </c>
      <c r="H199" s="91"/>
    </row>
    <row r="200" spans="1:17" x14ac:dyDescent="0.25">
      <c r="A200" s="13" t="s">
        <v>141</v>
      </c>
      <c r="B200" s="43" t="e">
        <f t="shared" si="179"/>
        <v>#DIV/0!</v>
      </c>
      <c r="C200" s="14">
        <f t="shared" si="180"/>
        <v>0</v>
      </c>
      <c r="D200" s="14" t="e">
        <f t="shared" si="181"/>
        <v>#DIV/0!</v>
      </c>
      <c r="E200" s="14" t="e">
        <f t="shared" si="182"/>
        <v>#DIV/0!</v>
      </c>
      <c r="F200" s="48" t="e">
        <f t="shared" si="183"/>
        <v>#DIV/0!</v>
      </c>
      <c r="G200" s="150" t="e">
        <f t="shared" si="184"/>
        <v>#DIV/0!</v>
      </c>
      <c r="H200" s="91"/>
    </row>
    <row r="201" spans="1:17" x14ac:dyDescent="0.25">
      <c r="A201" s="13" t="s">
        <v>142</v>
      </c>
      <c r="B201" s="43" t="e">
        <f t="shared" si="179"/>
        <v>#DIV/0!</v>
      </c>
      <c r="C201" s="14">
        <f t="shared" si="180"/>
        <v>0</v>
      </c>
      <c r="D201" s="14" t="e">
        <f t="shared" si="181"/>
        <v>#DIV/0!</v>
      </c>
      <c r="E201" s="14" t="e">
        <f t="shared" si="182"/>
        <v>#DIV/0!</v>
      </c>
      <c r="F201" s="48" t="e">
        <f t="shared" si="183"/>
        <v>#DIV/0!</v>
      </c>
      <c r="G201" s="150" t="e">
        <f t="shared" si="184"/>
        <v>#DIV/0!</v>
      </c>
      <c r="H201" s="91"/>
    </row>
    <row r="202" spans="1:17" x14ac:dyDescent="0.25">
      <c r="A202" s="13" t="s">
        <v>143</v>
      </c>
      <c r="B202" s="43" t="e">
        <f t="shared" si="179"/>
        <v>#DIV/0!</v>
      </c>
      <c r="C202" s="14">
        <f t="shared" si="180"/>
        <v>0</v>
      </c>
      <c r="D202" s="14" t="e">
        <f t="shared" si="181"/>
        <v>#DIV/0!</v>
      </c>
      <c r="E202" s="14" t="e">
        <f t="shared" si="182"/>
        <v>#DIV/0!</v>
      </c>
      <c r="F202" s="48" t="e">
        <f t="shared" si="183"/>
        <v>#DIV/0!</v>
      </c>
      <c r="G202" s="150" t="e">
        <f t="shared" si="184"/>
        <v>#DIV/0!</v>
      </c>
      <c r="H202" s="91"/>
      <c r="K202" s="1" t="s">
        <v>380</v>
      </c>
    </row>
    <row r="203" spans="1:17" x14ac:dyDescent="0.25">
      <c r="A203" s="13" t="s">
        <v>144</v>
      </c>
      <c r="B203" s="43" t="e">
        <f t="shared" si="179"/>
        <v>#DIV/0!</v>
      </c>
      <c r="C203" s="14">
        <f t="shared" si="180"/>
        <v>0</v>
      </c>
      <c r="D203" s="14" t="e">
        <f t="shared" si="181"/>
        <v>#DIV/0!</v>
      </c>
      <c r="E203" s="14" t="e">
        <f t="shared" si="182"/>
        <v>#DIV/0!</v>
      </c>
      <c r="F203" s="48" t="e">
        <f t="shared" si="183"/>
        <v>#DIV/0!</v>
      </c>
      <c r="G203" s="150" t="e">
        <f t="shared" si="184"/>
        <v>#DIV/0!</v>
      </c>
      <c r="H203" s="91"/>
      <c r="K203" t="s">
        <v>381</v>
      </c>
      <c r="L203" t="s">
        <v>382</v>
      </c>
      <c r="M203" t="s">
        <v>383</v>
      </c>
      <c r="N203" t="s">
        <v>384</v>
      </c>
      <c r="O203" t="s">
        <v>385</v>
      </c>
      <c r="P203" t="s">
        <v>386</v>
      </c>
      <c r="Q203" t="s">
        <v>213</v>
      </c>
    </row>
    <row r="204" spans="1:17" ht="43.35" customHeight="1" x14ac:dyDescent="0.25">
      <c r="A204" s="13" t="s">
        <v>145</v>
      </c>
      <c r="B204" s="43" t="e">
        <f t="shared" si="179"/>
        <v>#DIV/0!</v>
      </c>
      <c r="C204" s="14">
        <f t="shared" si="180"/>
        <v>0</v>
      </c>
      <c r="D204" s="14" t="e">
        <f t="shared" si="181"/>
        <v>#DIV/0!</v>
      </c>
      <c r="E204" s="14" t="e">
        <f t="shared" si="182"/>
        <v>#DIV/0!</v>
      </c>
      <c r="F204" s="48" t="e">
        <f t="shared" si="183"/>
        <v>#DIV/0!</v>
      </c>
      <c r="G204" s="150" t="e">
        <f t="shared" si="184"/>
        <v>#DIV/0!</v>
      </c>
      <c r="H204" s="91"/>
      <c r="J204" t="s">
        <v>387</v>
      </c>
      <c r="K204" s="186">
        <v>425</v>
      </c>
      <c r="L204" s="186">
        <v>395</v>
      </c>
      <c r="M204" s="186">
        <v>478</v>
      </c>
      <c r="N204" s="186">
        <v>460</v>
      </c>
      <c r="O204" s="186">
        <v>405</v>
      </c>
      <c r="P204" s="186">
        <v>539</v>
      </c>
      <c r="Q204" s="187">
        <f>SUMPRODUCT(K204:P204,K205:P205)/Q205</f>
        <v>450.92541087231353</v>
      </c>
    </row>
    <row r="205" spans="1:17" x14ac:dyDescent="0.25">
      <c r="A205" s="13" t="s">
        <v>146</v>
      </c>
      <c r="B205" s="43" t="e">
        <f t="shared" si="179"/>
        <v>#DIV/0!</v>
      </c>
      <c r="C205" s="14">
        <f t="shared" si="180"/>
        <v>0</v>
      </c>
      <c r="D205" s="14" t="e">
        <f t="shared" si="181"/>
        <v>#DIV/0!</v>
      </c>
      <c r="E205" s="14" t="e">
        <f t="shared" si="182"/>
        <v>#DIV/0!</v>
      </c>
      <c r="F205" s="48" t="e">
        <f t="shared" si="183"/>
        <v>#DIV/0!</v>
      </c>
      <c r="G205" s="150" t="e">
        <f t="shared" si="184"/>
        <v>#DIV/0!</v>
      </c>
      <c r="H205" s="91"/>
      <c r="J205" t="s">
        <v>388</v>
      </c>
      <c r="K205">
        <v>11.7</v>
      </c>
      <c r="L205">
        <v>12.3</v>
      </c>
      <c r="M205">
        <v>22.8</v>
      </c>
      <c r="N205">
        <v>45</v>
      </c>
      <c r="O205">
        <v>43.9</v>
      </c>
      <c r="P205">
        <v>22.5</v>
      </c>
      <c r="Q205" s="9">
        <f>SUM(K205:P205)</f>
        <v>158.19999999999999</v>
      </c>
    </row>
    <row r="206" spans="1:17" x14ac:dyDescent="0.25">
      <c r="A206" s="13" t="s">
        <v>147</v>
      </c>
      <c r="B206" s="43" t="e">
        <f t="shared" si="179"/>
        <v>#DIV/0!</v>
      </c>
      <c r="C206" s="14">
        <f t="shared" si="180"/>
        <v>0</v>
      </c>
      <c r="D206" s="14" t="e">
        <f t="shared" si="181"/>
        <v>#DIV/0!</v>
      </c>
      <c r="E206" s="14" t="e">
        <f t="shared" si="182"/>
        <v>#DIV/0!</v>
      </c>
      <c r="F206" s="48" t="e">
        <f t="shared" si="183"/>
        <v>#DIV/0!</v>
      </c>
      <c r="G206" s="150" t="e">
        <f t="shared" si="184"/>
        <v>#DIV/0!</v>
      </c>
      <c r="H206" s="91"/>
    </row>
    <row r="207" spans="1:17" x14ac:dyDescent="0.25">
      <c r="A207" s="13" t="s">
        <v>148</v>
      </c>
      <c r="B207" s="43" t="e">
        <f t="shared" si="179"/>
        <v>#DIV/0!</v>
      </c>
      <c r="C207" s="14">
        <f t="shared" si="180"/>
        <v>0</v>
      </c>
      <c r="D207" s="14" t="e">
        <f t="shared" si="181"/>
        <v>#DIV/0!</v>
      </c>
      <c r="E207" s="14" t="e">
        <f t="shared" si="182"/>
        <v>#DIV/0!</v>
      </c>
      <c r="F207" s="48" t="e">
        <f t="shared" si="183"/>
        <v>#DIV/0!</v>
      </c>
      <c r="G207" s="150" t="e">
        <f t="shared" si="184"/>
        <v>#DIV/0!</v>
      </c>
      <c r="H207" s="91"/>
      <c r="J207" t="s">
        <v>82</v>
      </c>
      <c r="K207" s="20" t="s">
        <v>476</v>
      </c>
      <c r="O207" s="20" t="s">
        <v>390</v>
      </c>
    </row>
    <row r="208" spans="1:17" x14ac:dyDescent="0.25">
      <c r="A208" s="13" t="s">
        <v>149</v>
      </c>
      <c r="B208" s="43" t="e">
        <f t="shared" si="179"/>
        <v>#DIV/0!</v>
      </c>
      <c r="C208" s="14">
        <f t="shared" si="180"/>
        <v>0</v>
      </c>
      <c r="D208" s="14" t="e">
        <f t="shared" si="181"/>
        <v>#DIV/0!</v>
      </c>
      <c r="E208" s="14" t="e">
        <f t="shared" si="182"/>
        <v>#DIV/0!</v>
      </c>
      <c r="F208" s="48" t="e">
        <f t="shared" si="183"/>
        <v>#DIV/0!</v>
      </c>
      <c r="G208" s="150" t="e">
        <f t="shared" si="184"/>
        <v>#DIV/0!</v>
      </c>
      <c r="H208" s="91"/>
      <c r="J208" s="838" t="s">
        <v>391</v>
      </c>
      <c r="K208" s="838"/>
      <c r="L208" s="838"/>
    </row>
    <row r="209" spans="1:17" x14ac:dyDescent="0.25">
      <c r="A209" s="13" t="s">
        <v>150</v>
      </c>
      <c r="B209" s="43" t="e">
        <f t="shared" si="179"/>
        <v>#DIV/0!</v>
      </c>
      <c r="C209" s="14">
        <f t="shared" si="180"/>
        <v>0</v>
      </c>
      <c r="D209" s="14" t="e">
        <f t="shared" si="181"/>
        <v>#DIV/0!</v>
      </c>
      <c r="E209" s="14" t="e">
        <f t="shared" si="182"/>
        <v>#DIV/0!</v>
      </c>
      <c r="F209" s="48" t="e">
        <f t="shared" si="183"/>
        <v>#DIV/0!</v>
      </c>
      <c r="G209" s="150" t="e">
        <f t="shared" si="184"/>
        <v>#DIV/0!</v>
      </c>
      <c r="H209" s="91"/>
      <c r="L209" t="s">
        <v>392</v>
      </c>
    </row>
    <row r="210" spans="1:17" x14ac:dyDescent="0.25">
      <c r="A210" s="13" t="s">
        <v>151</v>
      </c>
      <c r="B210" s="43" t="e">
        <f t="shared" si="179"/>
        <v>#DIV/0!</v>
      </c>
      <c r="C210" s="14">
        <f t="shared" si="180"/>
        <v>0</v>
      </c>
      <c r="D210" s="14" t="e">
        <f t="shared" si="181"/>
        <v>#DIV/0!</v>
      </c>
      <c r="E210" s="14" t="e">
        <f t="shared" si="182"/>
        <v>#DIV/0!</v>
      </c>
      <c r="F210" s="48" t="e">
        <f t="shared" si="183"/>
        <v>#DIV/0!</v>
      </c>
      <c r="G210" s="150" t="e">
        <f t="shared" si="184"/>
        <v>#DIV/0!</v>
      </c>
      <c r="H210" s="91"/>
      <c r="L210" s="188">
        <f>Q204</f>
        <v>450.92541087231353</v>
      </c>
    </row>
    <row r="211" spans="1:17" x14ac:dyDescent="0.25">
      <c r="A211" s="13" t="s">
        <v>152</v>
      </c>
      <c r="B211" s="43" t="e">
        <f t="shared" si="179"/>
        <v>#DIV/0!</v>
      </c>
      <c r="C211" s="14">
        <f t="shared" si="180"/>
        <v>0</v>
      </c>
      <c r="D211" s="14" t="e">
        <f t="shared" si="181"/>
        <v>#DIV/0!</v>
      </c>
      <c r="E211" s="14" t="e">
        <f t="shared" si="182"/>
        <v>#DIV/0!</v>
      </c>
      <c r="F211" s="48" t="e">
        <f t="shared" si="183"/>
        <v>#DIV/0!</v>
      </c>
      <c r="G211" s="150" t="e">
        <f t="shared" si="184"/>
        <v>#DIV/0!</v>
      </c>
      <c r="H211" s="91"/>
    </row>
    <row r="212" spans="1:17" x14ac:dyDescent="0.25">
      <c r="A212" s="13" t="s">
        <v>153</v>
      </c>
      <c r="B212" s="43" t="e">
        <f t="shared" si="179"/>
        <v>#DIV/0!</v>
      </c>
      <c r="C212" s="14">
        <f t="shared" si="180"/>
        <v>0</v>
      </c>
      <c r="D212" s="14" t="e">
        <f t="shared" si="181"/>
        <v>#DIV/0!</v>
      </c>
      <c r="E212" s="14" t="e">
        <f t="shared" si="182"/>
        <v>#DIV/0!</v>
      </c>
      <c r="F212" s="48" t="e">
        <f t="shared" si="183"/>
        <v>#DIV/0!</v>
      </c>
      <c r="G212" s="150" t="e">
        <f t="shared" si="184"/>
        <v>#DIV/0!</v>
      </c>
    </row>
    <row r="213" spans="1:17" x14ac:dyDescent="0.25">
      <c r="A213" s="13" t="s">
        <v>154</v>
      </c>
      <c r="B213" s="43" t="e">
        <f t="shared" si="179"/>
        <v>#DIV/0!</v>
      </c>
      <c r="C213" s="14">
        <f t="shared" si="180"/>
        <v>0</v>
      </c>
      <c r="D213" s="14" t="e">
        <f t="shared" si="181"/>
        <v>#DIV/0!</v>
      </c>
      <c r="E213" s="14" t="e">
        <f t="shared" si="182"/>
        <v>#DIV/0!</v>
      </c>
      <c r="F213" s="48" t="e">
        <f t="shared" si="183"/>
        <v>#DIV/0!</v>
      </c>
      <c r="G213" s="150" t="e">
        <f t="shared" si="184"/>
        <v>#DIV/0!</v>
      </c>
    </row>
    <row r="214" spans="1:17" x14ac:dyDescent="0.25">
      <c r="A214" s="13" t="s">
        <v>155</v>
      </c>
      <c r="B214" s="43" t="e">
        <f t="shared" si="179"/>
        <v>#DIV/0!</v>
      </c>
      <c r="C214" s="14">
        <f t="shared" si="180"/>
        <v>0</v>
      </c>
      <c r="D214" s="14" t="e">
        <f t="shared" si="181"/>
        <v>#DIV/0!</v>
      </c>
      <c r="E214" s="14" t="e">
        <f t="shared" si="182"/>
        <v>#DIV/0!</v>
      </c>
      <c r="F214" s="48" t="e">
        <f t="shared" si="183"/>
        <v>#DIV/0!</v>
      </c>
      <c r="G214" s="150" t="e">
        <f t="shared" si="184"/>
        <v>#DIV/0!</v>
      </c>
    </row>
    <row r="215" spans="1:17" ht="14.45" customHeight="1" x14ac:dyDescent="0.25">
      <c r="A215" s="13" t="s">
        <v>156</v>
      </c>
      <c r="B215" s="43" t="e">
        <f t="shared" si="179"/>
        <v>#DIV/0!</v>
      </c>
      <c r="C215" s="14">
        <f t="shared" si="180"/>
        <v>0</v>
      </c>
      <c r="D215" s="14" t="e">
        <f t="shared" si="181"/>
        <v>#DIV/0!</v>
      </c>
      <c r="E215" s="14" t="e">
        <f t="shared" si="182"/>
        <v>#DIV/0!</v>
      </c>
      <c r="F215" s="48" t="e">
        <f t="shared" si="183"/>
        <v>#DIV/0!</v>
      </c>
      <c r="G215" s="150" t="e">
        <f t="shared" si="184"/>
        <v>#DIV/0!</v>
      </c>
      <c r="H215" s="448"/>
      <c r="I215" s="448"/>
      <c r="J215" s="448"/>
      <c r="K215" s="448"/>
      <c r="L215" s="448"/>
      <c r="M215" s="448"/>
      <c r="N215" s="448"/>
      <c r="O215" s="448"/>
      <c r="P215" s="448"/>
      <c r="Q215" s="448"/>
    </row>
    <row r="216" spans="1:17" x14ac:dyDescent="0.25">
      <c r="A216" s="13" t="s">
        <v>157</v>
      </c>
      <c r="B216" s="43" t="e">
        <f t="shared" si="179"/>
        <v>#DIV/0!</v>
      </c>
      <c r="C216" s="14">
        <f t="shared" si="180"/>
        <v>0</v>
      </c>
      <c r="D216" s="14" t="e">
        <f t="shared" si="181"/>
        <v>#DIV/0!</v>
      </c>
      <c r="E216" s="14" t="e">
        <f t="shared" si="182"/>
        <v>#DIV/0!</v>
      </c>
      <c r="F216" s="48" t="e">
        <f t="shared" si="183"/>
        <v>#DIV/0!</v>
      </c>
      <c r="G216" s="150" t="e">
        <f t="shared" si="184"/>
        <v>#DIV/0!</v>
      </c>
    </row>
    <row r="217" spans="1:17" x14ac:dyDescent="0.25">
      <c r="A217" s="13" t="s">
        <v>158</v>
      </c>
      <c r="B217" s="43" t="e">
        <f t="shared" si="179"/>
        <v>#DIV/0!</v>
      </c>
      <c r="C217" s="14">
        <f t="shared" si="180"/>
        <v>0</v>
      </c>
      <c r="D217" s="14" t="e">
        <f t="shared" si="181"/>
        <v>#DIV/0!</v>
      </c>
      <c r="E217" s="14" t="e">
        <f t="shared" si="182"/>
        <v>#DIV/0!</v>
      </c>
      <c r="F217" s="48" t="e">
        <f t="shared" si="183"/>
        <v>#DIV/0!</v>
      </c>
      <c r="G217" s="150" t="e">
        <f t="shared" si="184"/>
        <v>#DIV/0!</v>
      </c>
    </row>
    <row r="218" spans="1:17" x14ac:dyDescent="0.25">
      <c r="A218" s="13" t="s">
        <v>159</v>
      </c>
      <c r="B218" s="43" t="e">
        <f t="shared" si="179"/>
        <v>#DIV/0!</v>
      </c>
      <c r="C218" s="14">
        <f t="shared" si="180"/>
        <v>0</v>
      </c>
      <c r="D218" s="14" t="e">
        <f t="shared" si="181"/>
        <v>#DIV/0!</v>
      </c>
      <c r="E218" s="14" t="e">
        <f t="shared" si="182"/>
        <v>#DIV/0!</v>
      </c>
      <c r="F218" s="48" t="e">
        <f t="shared" si="183"/>
        <v>#DIV/0!</v>
      </c>
      <c r="G218" s="150" t="e">
        <f t="shared" si="184"/>
        <v>#DIV/0!</v>
      </c>
    </row>
    <row r="219" spans="1:17" x14ac:dyDescent="0.25">
      <c r="A219" s="13" t="s">
        <v>160</v>
      </c>
      <c r="B219" s="43" t="e">
        <f t="shared" si="179"/>
        <v>#DIV/0!</v>
      </c>
      <c r="C219" s="14">
        <f t="shared" si="180"/>
        <v>0</v>
      </c>
      <c r="D219" s="14" t="e">
        <f t="shared" si="181"/>
        <v>#DIV/0!</v>
      </c>
      <c r="E219" s="14" t="e">
        <f t="shared" si="182"/>
        <v>#DIV/0!</v>
      </c>
      <c r="F219" s="48" t="e">
        <f t="shared" si="183"/>
        <v>#DIV/0!</v>
      </c>
      <c r="G219" s="150" t="e">
        <f t="shared" si="184"/>
        <v>#DIV/0!</v>
      </c>
    </row>
    <row r="220" spans="1:17" x14ac:dyDescent="0.25">
      <c r="A220" s="13" t="s">
        <v>161</v>
      </c>
      <c r="B220" s="43" t="e">
        <f t="shared" si="179"/>
        <v>#DIV/0!</v>
      </c>
      <c r="C220" s="14">
        <f t="shared" si="180"/>
        <v>0</v>
      </c>
      <c r="D220" s="14" t="e">
        <f t="shared" si="181"/>
        <v>#DIV/0!</v>
      </c>
      <c r="E220" s="14" t="e">
        <f t="shared" si="182"/>
        <v>#DIV/0!</v>
      </c>
      <c r="F220" s="48" t="e">
        <f t="shared" si="183"/>
        <v>#DIV/0!</v>
      </c>
      <c r="G220" s="150" t="e">
        <f t="shared" si="184"/>
        <v>#DIV/0!</v>
      </c>
    </row>
    <row r="221" spans="1:17" x14ac:dyDescent="0.25">
      <c r="A221" s="13" t="s">
        <v>162</v>
      </c>
      <c r="B221" s="43" t="e">
        <f t="shared" si="179"/>
        <v>#DIV/0!</v>
      </c>
      <c r="C221" s="14">
        <f t="shared" si="180"/>
        <v>0</v>
      </c>
      <c r="D221" s="14" t="e">
        <f t="shared" si="181"/>
        <v>#DIV/0!</v>
      </c>
      <c r="E221" s="14" t="e">
        <f t="shared" si="182"/>
        <v>#DIV/0!</v>
      </c>
      <c r="F221" s="48" t="e">
        <f t="shared" si="183"/>
        <v>#DIV/0!</v>
      </c>
      <c r="G221" s="150" t="e">
        <f t="shared" si="184"/>
        <v>#DIV/0!</v>
      </c>
    </row>
    <row r="222" spans="1:17" x14ac:dyDescent="0.25">
      <c r="A222" s="144" t="s">
        <v>163</v>
      </c>
      <c r="B222" s="46" t="e">
        <f>SUM(B198:B221)</f>
        <v>#DIV/0!</v>
      </c>
      <c r="C222" s="46">
        <f>SUM(C198:C221)</f>
        <v>0</v>
      </c>
      <c r="D222" s="46" t="e">
        <f>SUM(D198:D221)</f>
        <v>#DIV/0!</v>
      </c>
      <c r="E222" s="46" t="e">
        <f>SUM(E198:E221)</f>
        <v>#DIV/0!</v>
      </c>
      <c r="F222" s="48" t="e">
        <f>SUM(B222:E222)</f>
        <v>#DIV/0!</v>
      </c>
      <c r="G222" s="150" t="e">
        <f t="shared" ref="G222" si="185">F222/$C$195</f>
        <v>#DIV/0!</v>
      </c>
    </row>
    <row r="223" spans="1:17" ht="15.75" thickBot="1" x14ac:dyDescent="0.3">
      <c r="A223" s="145" t="s">
        <v>393</v>
      </c>
      <c r="B223" s="165" t="e">
        <f>B222/'Summary-all-crops'!$C$3</f>
        <v>#DIV/0!</v>
      </c>
      <c r="C223" s="165">
        <f>C222/'Summary-all-crops'!$C$3</f>
        <v>0</v>
      </c>
      <c r="D223" s="165" t="e">
        <f>D222/'Summary-all-crops'!$C$3</f>
        <v>#DIV/0!</v>
      </c>
      <c r="E223" s="165" t="e">
        <f>E222/'Summary-all-crops'!$C$3</f>
        <v>#DIV/0!</v>
      </c>
      <c r="F223" s="165" t="e">
        <f>F222/'Summary-all-crops'!$C$3</f>
        <v>#DIV/0!</v>
      </c>
      <c r="G223" s="166"/>
    </row>
    <row r="224" spans="1:17" x14ac:dyDescent="0.25">
      <c r="F224" s="92" t="e">
        <f>F222*K1</f>
        <v>#DIV/0!</v>
      </c>
      <c r="G224" s="147" t="e">
        <f>SUM(F198:F221)-F222</f>
        <v>#DIV/0!</v>
      </c>
    </row>
    <row r="226" spans="1:7" ht="14.45" customHeight="1" x14ac:dyDescent="0.25">
      <c r="A226" s="845" t="s">
        <v>477</v>
      </c>
      <c r="B226" s="845"/>
      <c r="C226" s="845"/>
      <c r="D226" s="845"/>
      <c r="E226" s="845"/>
      <c r="F226" s="845"/>
      <c r="G226" s="845"/>
    </row>
    <row r="227" spans="1:7" x14ac:dyDescent="0.25">
      <c r="A227" s="845"/>
      <c r="B227" s="845"/>
      <c r="C227" s="845"/>
      <c r="D227" s="845"/>
      <c r="E227" s="845"/>
      <c r="F227" s="845"/>
      <c r="G227" s="845"/>
    </row>
    <row r="228" spans="1:7" x14ac:dyDescent="0.25">
      <c r="A228" s="845"/>
      <c r="B228" s="845"/>
      <c r="C228" s="845"/>
      <c r="D228" s="845"/>
      <c r="E228" s="845"/>
      <c r="F228" s="845"/>
      <c r="G228" s="845"/>
    </row>
    <row r="229" spans="1:7" x14ac:dyDescent="0.25">
      <c r="A229" s="453"/>
      <c r="B229" s="453"/>
      <c r="C229" s="453"/>
      <c r="D229" s="453"/>
      <c r="E229" s="453"/>
      <c r="F229" s="453"/>
      <c r="G229" s="453"/>
    </row>
    <row r="230" spans="1:7" ht="14.45" customHeight="1" x14ac:dyDescent="0.25">
      <c r="A230" s="24">
        <f>N61</f>
        <v>0</v>
      </c>
      <c r="B230" s="62" t="s">
        <v>478</v>
      </c>
      <c r="C230" s="6"/>
      <c r="D230" s="6"/>
      <c r="E230" s="6"/>
      <c r="F230" s="6"/>
      <c r="G230" s="6"/>
    </row>
    <row r="231" spans="1:7" ht="14.45" customHeight="1" x14ac:dyDescent="0.25">
      <c r="A231" s="24">
        <f>N91</f>
        <v>0</v>
      </c>
      <c r="B231" s="62" t="s">
        <v>479</v>
      </c>
      <c r="C231" s="6"/>
      <c r="D231" s="6"/>
      <c r="E231" s="6"/>
      <c r="F231" s="6"/>
      <c r="G231" s="6"/>
    </row>
    <row r="232" spans="1:7" x14ac:dyDescent="0.25">
      <c r="A232" s="24" t="e">
        <f>F222</f>
        <v>#DIV/0!</v>
      </c>
      <c r="B232" s="6" t="s">
        <v>397</v>
      </c>
      <c r="C232" s="24" t="e">
        <f>A232*K1</f>
        <v>#DIV/0!</v>
      </c>
      <c r="D232" s="6" t="s">
        <v>398</v>
      </c>
      <c r="E232" s="6"/>
      <c r="F232" s="176" t="e">
        <f>G222</f>
        <v>#DIV/0!</v>
      </c>
      <c r="G232" s="6" t="s">
        <v>399</v>
      </c>
    </row>
  </sheetData>
  <mergeCells count="47">
    <mergeCell ref="AC12:AH15"/>
    <mergeCell ref="A196:A197"/>
    <mergeCell ref="B196:F196"/>
    <mergeCell ref="G196:G197"/>
    <mergeCell ref="J208:L208"/>
    <mergeCell ref="Z133:Z134"/>
    <mergeCell ref="AC133:AC134"/>
    <mergeCell ref="A164:A166"/>
    <mergeCell ref="B164:E164"/>
    <mergeCell ref="A132:A133"/>
    <mergeCell ref="B132:F132"/>
    <mergeCell ref="C133:E133"/>
    <mergeCell ref="F133:I133"/>
    <mergeCell ref="J133:M133"/>
    <mergeCell ref="S133:S134"/>
    <mergeCell ref="V133:V134"/>
    <mergeCell ref="W133:W134"/>
    <mergeCell ref="X133:X134"/>
    <mergeCell ref="R133:R134"/>
    <mergeCell ref="T133:T134"/>
    <mergeCell ref="U133:U134"/>
    <mergeCell ref="F20:G20"/>
    <mergeCell ref="C62:E62"/>
    <mergeCell ref="B65:B66"/>
    <mergeCell ref="C65:F65"/>
    <mergeCell ref="G65:J65"/>
    <mergeCell ref="A1:E1"/>
    <mergeCell ref="D20:E20"/>
    <mergeCell ref="A21:B21"/>
    <mergeCell ref="A29:D29"/>
    <mergeCell ref="A30:B30"/>
    <mergeCell ref="A226:G228"/>
    <mergeCell ref="Y133:Y134"/>
    <mergeCell ref="G35:J35"/>
    <mergeCell ref="K35:N35"/>
    <mergeCell ref="O35:R35"/>
    <mergeCell ref="K65:N65"/>
    <mergeCell ref="O65:R65"/>
    <mergeCell ref="K98:N98"/>
    <mergeCell ref="N133:Q133"/>
    <mergeCell ref="B35:B36"/>
    <mergeCell ref="C35:F35"/>
    <mergeCell ref="C92:E92"/>
    <mergeCell ref="A98:A99"/>
    <mergeCell ref="B98:B99"/>
    <mergeCell ref="C98:F98"/>
    <mergeCell ref="G98:J98"/>
  </mergeCells>
  <hyperlinks>
    <hyperlink ref="K207" r:id="rId1" display="https://apps.fas.usda.gov/psdonline/circulars/grain.pdf " xr:uid="{C6180B7D-0325-4DB9-8C21-5F145B4A07AF}"/>
    <hyperlink ref="O207" r:id="rId2" xr:uid="{E7ED5B55-A32A-4665-9607-407B140E5EC9}"/>
    <hyperlink ref="H64" r:id="rId3" xr:uid="{164F16C3-C552-4ED0-B547-DECD2F2AB2F4}"/>
    <hyperlink ref="O64" r:id="rId4" xr:uid="{B15C7242-5349-40A1-A9DC-D99C2FB62C8D}"/>
    <hyperlink ref="I131" r:id="rId5" xr:uid="{7DF04F6C-AC19-4AED-9266-7DF41A7D42E6}"/>
    <hyperlink ref="H126" r:id="rId6" xr:uid="{9D71B50B-9346-4C68-AE41-9005F2050968}"/>
    <hyperlink ref="H128" r:id="rId7" location=":~:text=The%20study%2C%20published%20today%20in,estimate%20of%20%2451%20per%20ton. " xr:uid="{734CB84C-3978-4324-B0D6-C0C77F666783}"/>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E5CC2-2F83-4BB1-9976-E3F7B01FD63B}">
  <dimension ref="A1:AO232"/>
  <sheetViews>
    <sheetView topLeftCell="A210" workbookViewId="0">
      <selection activeCell="AC19" sqref="AC19:AH22"/>
    </sheetView>
  </sheetViews>
  <sheetFormatPr defaultRowHeight="15" x14ac:dyDescent="0.25"/>
  <cols>
    <col min="1" max="1" width="14.5703125" bestFit="1" customWidth="1"/>
    <col min="2" max="2" width="25.5703125" customWidth="1"/>
    <col min="3" max="3" width="24.5703125" customWidth="1"/>
    <col min="4" max="4" width="18.85546875" customWidth="1"/>
    <col min="5" max="5" width="23.140625" customWidth="1"/>
    <col min="6" max="6" width="22" customWidth="1"/>
    <col min="7" max="7" width="19" customWidth="1"/>
    <col min="8" max="8" width="13.5703125" customWidth="1"/>
    <col min="9" max="9" width="12.140625" customWidth="1"/>
    <col min="10" max="10" width="20.140625" customWidth="1"/>
    <col min="11" max="11" width="16.42578125" customWidth="1"/>
    <col min="12" max="12" width="11.85546875" customWidth="1"/>
    <col min="13" max="13" width="12.85546875" customWidth="1"/>
    <col min="14" max="14" width="16.5703125" customWidth="1"/>
    <col min="15" max="15" width="13.5703125" bestFit="1" customWidth="1"/>
    <col min="16" max="16" width="14.42578125" customWidth="1"/>
    <col min="17" max="17" width="13.140625" bestFit="1" customWidth="1"/>
    <col min="18" max="18" width="18.42578125" customWidth="1"/>
    <col min="19" max="19" width="24.85546875" customWidth="1"/>
    <col min="20" max="20" width="20" customWidth="1"/>
    <col min="21" max="22" width="18.85546875" customWidth="1"/>
    <col min="23" max="23" width="14.140625" bestFit="1" customWidth="1"/>
    <col min="24" max="24" width="22.42578125" customWidth="1"/>
    <col min="25" max="25" width="25.140625" customWidth="1"/>
    <col min="26" max="26" width="13.85546875" customWidth="1"/>
    <col min="27" max="28" width="16.5703125" bestFit="1" customWidth="1"/>
    <col min="29" max="29" width="17.85546875" bestFit="1" customWidth="1"/>
    <col min="30" max="30" width="15.5703125" customWidth="1"/>
    <col min="32" max="32" width="13.5703125" customWidth="1"/>
    <col min="33" max="33" width="21.85546875" customWidth="1"/>
    <col min="36" max="36" width="13.5703125" customWidth="1"/>
    <col min="37" max="37" width="10.5703125" customWidth="1"/>
    <col min="38" max="38" width="10.5703125" bestFit="1" customWidth="1"/>
  </cols>
  <sheetData>
    <row r="1" spans="1:22" ht="18.75" x14ac:dyDescent="0.3">
      <c r="A1" s="841" t="s">
        <v>255</v>
      </c>
      <c r="B1" s="841"/>
      <c r="C1" s="841"/>
      <c r="D1" s="841"/>
      <c r="E1" s="841"/>
      <c r="F1" s="12"/>
      <c r="G1" s="12"/>
      <c r="H1" s="58"/>
      <c r="J1" s="1" t="s">
        <v>400</v>
      </c>
      <c r="K1" s="197">
        <f>'Prices,exch.rates,harvest index'!M2</f>
        <v>2.8759999999999999</v>
      </c>
      <c r="L1" s="1" t="s">
        <v>257</v>
      </c>
      <c r="M1" s="1"/>
      <c r="N1" s="1"/>
      <c r="O1" s="1"/>
    </row>
    <row r="2" spans="1:22" x14ac:dyDescent="0.25">
      <c r="A2" s="3" t="s">
        <v>260</v>
      </c>
      <c r="B2" s="8" t="s">
        <v>480</v>
      </c>
      <c r="C2" s="8"/>
      <c r="D2" s="8"/>
      <c r="E2" s="4"/>
      <c r="G2" s="3"/>
      <c r="H2" s="3"/>
    </row>
    <row r="3" spans="1:22" x14ac:dyDescent="0.25">
      <c r="A3" s="3"/>
      <c r="B3" s="10" t="s">
        <v>263</v>
      </c>
      <c r="C3" s="10"/>
      <c r="D3" s="10"/>
      <c r="E3" s="10"/>
      <c r="F3" s="1"/>
      <c r="G3" s="1"/>
      <c r="H3" s="1"/>
      <c r="I3" s="1"/>
      <c r="J3" s="1"/>
      <c r="K3" s="1"/>
      <c r="L3" s="1"/>
      <c r="M3" s="1"/>
      <c r="N3" s="1"/>
      <c r="O3" s="1"/>
      <c r="P3" s="1"/>
      <c r="Q3" s="1"/>
    </row>
    <row r="4" spans="1:22" x14ac:dyDescent="0.25">
      <c r="A4" s="3"/>
      <c r="B4" s="7" t="s">
        <v>265</v>
      </c>
      <c r="C4" s="62"/>
      <c r="D4" s="62"/>
      <c r="E4" s="62"/>
      <c r="F4" s="1"/>
      <c r="G4" s="1"/>
      <c r="H4" s="1"/>
      <c r="I4" s="1"/>
      <c r="J4" s="1"/>
      <c r="K4" s="1"/>
      <c r="L4" s="1"/>
      <c r="M4" s="1"/>
      <c r="N4" s="1"/>
      <c r="O4" s="1"/>
      <c r="P4" s="1"/>
      <c r="Q4" s="1"/>
    </row>
    <row r="5" spans="1:22" x14ac:dyDescent="0.25">
      <c r="A5" s="3"/>
      <c r="B5" s="183" t="s">
        <v>481</v>
      </c>
      <c r="C5" s="136"/>
      <c r="D5" s="136"/>
      <c r="E5" s="136"/>
      <c r="F5" s="1"/>
      <c r="G5" s="1"/>
      <c r="H5" s="1"/>
      <c r="I5" s="1"/>
      <c r="J5" s="1" t="s">
        <v>267</v>
      </c>
      <c r="K5" s="197">
        <f>'Prices,exch.rates,harvest index'!N2</f>
        <v>1.43</v>
      </c>
      <c r="L5" s="1" t="s">
        <v>257</v>
      </c>
      <c r="M5" s="1"/>
      <c r="N5" s="1"/>
      <c r="O5" s="1"/>
      <c r="P5" s="1"/>
      <c r="Q5" s="1"/>
    </row>
    <row r="6" spans="1:22" x14ac:dyDescent="0.25">
      <c r="A6" s="3"/>
      <c r="B6" s="293" t="s">
        <v>268</v>
      </c>
      <c r="C6" s="294"/>
      <c r="D6" s="294"/>
      <c r="E6" s="294"/>
      <c r="F6" s="1"/>
      <c r="G6" s="1"/>
      <c r="H6" s="1"/>
      <c r="I6" s="1"/>
      <c r="J6" s="1"/>
      <c r="K6" s="1"/>
      <c r="L6" s="1"/>
      <c r="M6" s="1"/>
      <c r="N6" s="1"/>
      <c r="O6" s="1"/>
      <c r="P6" s="1"/>
      <c r="Q6" s="1"/>
    </row>
    <row r="7" spans="1:22" x14ac:dyDescent="0.25">
      <c r="A7" s="7" t="s">
        <v>269</v>
      </c>
      <c r="B7" s="7"/>
      <c r="C7" s="7"/>
      <c r="D7" s="7"/>
      <c r="E7" s="7"/>
      <c r="F7" s="7"/>
      <c r="G7" s="7"/>
      <c r="H7" s="7"/>
      <c r="I7" s="6"/>
      <c r="J7" s="6"/>
      <c r="K7" s="6"/>
      <c r="L7" s="6"/>
      <c r="M7" s="6"/>
      <c r="N7" s="6"/>
      <c r="O7" s="6"/>
      <c r="P7" s="6"/>
      <c r="Q7" s="6"/>
      <c r="R7" s="6"/>
      <c r="S7" s="6"/>
      <c r="T7" s="6"/>
    </row>
    <row r="8" spans="1:22" ht="14.45" customHeight="1" x14ac:dyDescent="0.25">
      <c r="A8" s="7" t="s">
        <v>270</v>
      </c>
      <c r="B8" s="7"/>
      <c r="C8" s="7"/>
      <c r="D8" s="7"/>
      <c r="E8" s="7"/>
      <c r="F8" s="7"/>
      <c r="G8" s="7"/>
      <c r="H8" s="7"/>
      <c r="I8" s="7"/>
      <c r="J8" s="7"/>
      <c r="K8" s="7"/>
      <c r="L8" s="7"/>
      <c r="M8" s="7"/>
      <c r="N8" s="7"/>
      <c r="O8" s="7"/>
      <c r="P8" s="7"/>
      <c r="Q8" s="7"/>
      <c r="R8" s="7"/>
      <c r="S8" s="7"/>
      <c r="T8" s="7"/>
    </row>
    <row r="9" spans="1:22" ht="14.45" customHeight="1" x14ac:dyDescent="0.25">
      <c r="A9" s="7"/>
      <c r="B9" s="7"/>
      <c r="C9" s="7"/>
      <c r="D9" s="7"/>
      <c r="E9" s="7"/>
      <c r="F9" s="7"/>
      <c r="G9" s="7"/>
      <c r="H9" s="7"/>
      <c r="I9" s="7"/>
      <c r="J9" s="7"/>
      <c r="K9" s="7"/>
      <c r="L9" s="7"/>
      <c r="M9" s="7"/>
      <c r="N9" s="7"/>
      <c r="O9" s="7"/>
      <c r="P9" s="7"/>
      <c r="Q9" s="7"/>
      <c r="R9" s="7"/>
      <c r="S9" s="7"/>
      <c r="T9" s="7"/>
    </row>
    <row r="10" spans="1:22" ht="14.45" customHeight="1" x14ac:dyDescent="0.25">
      <c r="A10" s="7"/>
      <c r="B10" s="7"/>
      <c r="C10" s="7"/>
      <c r="D10" s="7"/>
      <c r="E10" s="7"/>
      <c r="F10" s="7"/>
      <c r="G10" s="7"/>
      <c r="H10" s="7"/>
      <c r="I10" s="7"/>
      <c r="J10" s="7"/>
      <c r="K10" s="7"/>
      <c r="L10" s="7"/>
      <c r="M10" s="7"/>
      <c r="N10" s="7"/>
      <c r="O10" s="7"/>
      <c r="P10" s="7"/>
      <c r="Q10" s="7"/>
      <c r="R10" s="7"/>
      <c r="S10" s="7"/>
      <c r="T10" s="7"/>
    </row>
    <row r="11" spans="1:22" ht="14.45" customHeight="1" x14ac:dyDescent="0.25">
      <c r="A11" s="3"/>
      <c r="B11" s="3"/>
      <c r="C11" s="3"/>
      <c r="D11" s="3"/>
      <c r="E11" s="3"/>
      <c r="F11" s="3"/>
      <c r="G11" s="3"/>
      <c r="H11" s="3"/>
      <c r="I11" s="3"/>
      <c r="J11" s="3"/>
      <c r="K11" s="3"/>
      <c r="L11" s="3"/>
      <c r="M11" s="3"/>
      <c r="N11" s="3"/>
      <c r="O11" s="3"/>
      <c r="P11" s="3"/>
      <c r="Q11" s="3"/>
      <c r="R11" s="3"/>
      <c r="S11" s="3"/>
      <c r="T11" s="3"/>
    </row>
    <row r="12" spans="1:22" ht="27" customHeight="1" x14ac:dyDescent="0.25">
      <c r="A12" s="194" t="s">
        <v>482</v>
      </c>
      <c r="B12" s="15" t="s">
        <v>103</v>
      </c>
      <c r="C12" s="15" t="s">
        <v>437</v>
      </c>
      <c r="D12" s="195" t="s">
        <v>483</v>
      </c>
      <c r="E12" s="195" t="s">
        <v>439</v>
      </c>
      <c r="F12" s="194" t="s">
        <v>484</v>
      </c>
      <c r="G12" s="194" t="s">
        <v>441</v>
      </c>
      <c r="H12" s="3"/>
      <c r="I12" s="3"/>
      <c r="J12" s="3"/>
      <c r="K12" s="3"/>
      <c r="L12" s="3"/>
      <c r="M12" s="3"/>
      <c r="N12" s="3"/>
      <c r="O12" s="3"/>
      <c r="P12" s="3"/>
      <c r="Q12" s="3"/>
      <c r="R12" s="3"/>
      <c r="S12" s="3"/>
      <c r="T12" s="3"/>
      <c r="U12" s="3"/>
      <c r="V12" s="3"/>
    </row>
    <row r="13" spans="1:22" ht="14.45" customHeight="1" x14ac:dyDescent="0.25">
      <c r="A13" s="199" t="s">
        <v>485</v>
      </c>
      <c r="B13" s="707">
        <f>'Prices,exch.rates,harvest index'!I26</f>
        <v>18695.45</v>
      </c>
      <c r="C13" s="707">
        <f>'Prices,exch.rates,harvest index'!J26</f>
        <v>0</v>
      </c>
      <c r="D13" s="708">
        <f>'Prices,exch.rates,harvest index'!E26</f>
        <v>0</v>
      </c>
      <c r="E13" s="14"/>
      <c r="F13" s="216">
        <f>'Prices,exch.rates,harvest index'!F26</f>
        <v>0</v>
      </c>
      <c r="G13" s="319"/>
      <c r="H13" s="3"/>
      <c r="I13" s="3"/>
      <c r="J13" s="3"/>
      <c r="K13" s="3"/>
      <c r="L13" s="3"/>
      <c r="M13" s="3"/>
      <c r="N13" s="3"/>
      <c r="O13" s="3"/>
      <c r="P13" s="3"/>
      <c r="Q13" s="3"/>
      <c r="R13" s="3"/>
      <c r="S13" s="3"/>
      <c r="T13" s="3"/>
      <c r="U13" s="3"/>
      <c r="V13" s="3"/>
    </row>
    <row r="14" spans="1:22" ht="14.45" customHeight="1" x14ac:dyDescent="0.25">
      <c r="A14" s="199" t="s">
        <v>54</v>
      </c>
      <c r="B14" s="707">
        <f>'Prices,exch.rates,harvest index'!I27</f>
        <v>10830.7</v>
      </c>
      <c r="C14" s="707">
        <f>'Prices,exch.rates,harvest index'!J27</f>
        <v>0</v>
      </c>
      <c r="D14" s="708">
        <f>'Prices,exch.rates,harvest index'!E27</f>
        <v>0</v>
      </c>
      <c r="E14" s="14"/>
      <c r="F14" s="216">
        <f>'Prices,exch.rates,harvest index'!F27</f>
        <v>0</v>
      </c>
      <c r="G14" s="14"/>
      <c r="H14" s="3"/>
      <c r="I14" s="3"/>
      <c r="J14" s="3"/>
      <c r="K14" s="3"/>
      <c r="L14" s="3"/>
      <c r="M14" s="3"/>
      <c r="N14" s="3"/>
      <c r="O14" s="3"/>
      <c r="P14" s="3"/>
      <c r="Q14" s="3"/>
      <c r="R14" s="3"/>
      <c r="S14" s="3"/>
      <c r="T14" s="3"/>
      <c r="U14" s="3"/>
      <c r="V14" s="3"/>
    </row>
    <row r="15" spans="1:22" ht="14.45" customHeight="1" x14ac:dyDescent="0.25">
      <c r="A15" s="199" t="s">
        <v>55</v>
      </c>
      <c r="B15" s="707">
        <f>'Prices,exch.rates,harvest index'!I28</f>
        <v>8639.25</v>
      </c>
      <c r="C15" s="707">
        <f>'Prices,exch.rates,harvest index'!J28</f>
        <v>0</v>
      </c>
      <c r="D15" s="708">
        <f>'Prices,exch.rates,harvest index'!E28</f>
        <v>0</v>
      </c>
      <c r="E15" s="14"/>
      <c r="F15" s="216">
        <f>'Prices,exch.rates,harvest index'!F28</f>
        <v>0</v>
      </c>
      <c r="G15" s="14"/>
      <c r="H15" s="3"/>
      <c r="I15" s="3"/>
      <c r="J15" s="3"/>
      <c r="K15" s="3"/>
      <c r="L15" s="3"/>
      <c r="M15" s="3"/>
      <c r="N15" s="3"/>
      <c r="O15" s="3"/>
      <c r="P15" s="3"/>
      <c r="Q15" s="3"/>
      <c r="R15" s="3"/>
      <c r="S15" s="3"/>
      <c r="T15" s="3"/>
      <c r="U15" s="3"/>
      <c r="V15" s="3"/>
    </row>
    <row r="16" spans="1:22" ht="14.45" customHeight="1" x14ac:dyDescent="0.25">
      <c r="A16" s="199" t="s">
        <v>56</v>
      </c>
      <c r="B16" s="707">
        <f>'Prices,exch.rates,harvest index'!I29</f>
        <v>3040.2</v>
      </c>
      <c r="C16" s="707">
        <f>'Prices,exch.rates,harvest index'!J29</f>
        <v>0</v>
      </c>
      <c r="D16" s="708">
        <f>'Prices,exch.rates,harvest index'!E29</f>
        <v>0</v>
      </c>
      <c r="E16" s="14"/>
      <c r="F16" s="216">
        <f>'Prices,exch.rates,harvest index'!F29</f>
        <v>0</v>
      </c>
      <c r="G16" s="14"/>
      <c r="H16" s="3"/>
      <c r="I16" s="3"/>
      <c r="J16" s="3"/>
      <c r="K16" s="3"/>
      <c r="L16" s="3"/>
      <c r="M16" s="3"/>
      <c r="N16" s="3"/>
      <c r="O16" s="3"/>
      <c r="P16" s="3"/>
      <c r="Q16" s="3"/>
      <c r="R16" s="3"/>
      <c r="S16" s="3"/>
      <c r="T16" s="3"/>
      <c r="U16" s="3"/>
      <c r="V16" s="3"/>
    </row>
    <row r="17" spans="1:34" ht="14.45" customHeight="1" x14ac:dyDescent="0.25">
      <c r="A17" s="199" t="s">
        <v>60</v>
      </c>
      <c r="B17" s="707">
        <f>'Prices,exch.rates,harvest index'!I33</f>
        <v>0</v>
      </c>
      <c r="C17" s="707">
        <f>'Prices,exch.rates,harvest index'!J33</f>
        <v>0</v>
      </c>
      <c r="D17" s="708">
        <f>'Prices,exch.rates,harvest index'!E33</f>
        <v>0</v>
      </c>
      <c r="E17" s="14"/>
      <c r="F17" s="216">
        <f>'Prices,exch.rates,harvest index'!F33</f>
        <v>0</v>
      </c>
      <c r="G17" s="14"/>
      <c r="H17" s="3"/>
      <c r="I17" s="3"/>
      <c r="J17" s="3"/>
      <c r="K17" s="3"/>
      <c r="L17" s="3"/>
      <c r="M17" s="3"/>
      <c r="N17" s="3"/>
      <c r="O17" s="3"/>
      <c r="P17" s="3"/>
      <c r="Q17" s="3"/>
      <c r="R17" s="3"/>
      <c r="S17" s="3"/>
      <c r="T17" s="3"/>
      <c r="U17" s="3"/>
      <c r="V17" s="3"/>
    </row>
    <row r="18" spans="1:34" ht="14.45" customHeight="1" x14ac:dyDescent="0.25">
      <c r="A18" s="199" t="s">
        <v>61</v>
      </c>
      <c r="B18" s="707">
        <f>'Prices,exch.rates,harvest index'!I34</f>
        <v>0</v>
      </c>
      <c r="C18" s="707">
        <f>'Prices,exch.rates,harvest index'!J34</f>
        <v>0</v>
      </c>
      <c r="D18" s="708">
        <f>'Prices,exch.rates,harvest index'!E34</f>
        <v>0</v>
      </c>
      <c r="E18" s="14"/>
      <c r="F18" s="708">
        <f>'Prices,exch.rates,harvest index'!F34</f>
        <v>0</v>
      </c>
      <c r="G18" s="14"/>
      <c r="H18" s="3"/>
      <c r="I18" s="3"/>
      <c r="J18" s="3"/>
      <c r="K18" s="3"/>
      <c r="L18" s="3"/>
      <c r="M18" s="3"/>
      <c r="N18" s="3"/>
      <c r="O18" s="3"/>
      <c r="P18" s="3"/>
      <c r="Q18" s="3"/>
      <c r="R18" s="3"/>
      <c r="S18" s="3"/>
      <c r="T18" s="3"/>
      <c r="U18" s="3"/>
      <c r="V18" s="3"/>
    </row>
    <row r="19" spans="1:34" ht="14.45" customHeight="1" x14ac:dyDescent="0.25">
      <c r="A19" s="199" t="s">
        <v>486</v>
      </c>
      <c r="B19" s="707">
        <f>'Prices,exch.rates,harvest index'!I31</f>
        <v>0</v>
      </c>
      <c r="C19" s="707">
        <f>'Prices,exch.rates,harvest index'!J31</f>
        <v>0</v>
      </c>
      <c r="D19" s="708">
        <f>'Prices,exch.rates,harvest index'!E31</f>
        <v>0</v>
      </c>
      <c r="E19" s="14"/>
      <c r="F19" s="708">
        <f>'Prices,exch.rates,harvest index'!F31</f>
        <v>0</v>
      </c>
      <c r="G19" s="14"/>
      <c r="H19" s="3"/>
      <c r="I19" s="3"/>
      <c r="J19" s="3"/>
      <c r="K19" s="3"/>
      <c r="L19" s="3"/>
      <c r="M19" s="3"/>
      <c r="N19" s="3"/>
      <c r="O19" s="3"/>
      <c r="P19" s="3"/>
      <c r="Q19" s="3"/>
      <c r="R19" s="3"/>
      <c r="S19" s="3"/>
      <c r="T19" s="3"/>
      <c r="U19" s="3"/>
      <c r="V19" s="3"/>
      <c r="AC19" s="852" t="s">
        <v>1258</v>
      </c>
      <c r="AD19" s="852"/>
      <c r="AE19" s="852"/>
      <c r="AF19" s="852"/>
      <c r="AG19" s="852"/>
      <c r="AH19" s="852"/>
    </row>
    <row r="20" spans="1:34" ht="14.45" customHeight="1" x14ac:dyDescent="0.25">
      <c r="A20" s="199" t="s">
        <v>487</v>
      </c>
      <c r="B20" s="707">
        <f>'Prices,exch.rates,harvest index'!I32</f>
        <v>0</v>
      </c>
      <c r="C20" s="707">
        <f>'Prices,exch.rates,harvest index'!J32</f>
        <v>0</v>
      </c>
      <c r="D20" s="708">
        <f>'Prices,exch.rates,harvest index'!E37</f>
        <v>0</v>
      </c>
      <c r="E20" s="14"/>
      <c r="F20" s="216">
        <f>'Prices,exch.rates,harvest index'!F37</f>
        <v>0</v>
      </c>
      <c r="G20" s="14"/>
      <c r="H20" s="3"/>
      <c r="I20" s="3"/>
      <c r="J20" s="3"/>
      <c r="K20" s="3"/>
      <c r="L20" s="3"/>
      <c r="M20" s="3"/>
      <c r="N20" s="3"/>
      <c r="O20" s="3"/>
      <c r="P20" s="3"/>
      <c r="Q20" s="3"/>
      <c r="R20" s="3"/>
      <c r="S20" s="3"/>
      <c r="T20" s="3"/>
      <c r="U20" s="3"/>
      <c r="V20" s="3"/>
      <c r="Z20" s="430"/>
      <c r="AC20" s="852"/>
      <c r="AD20" s="852"/>
      <c r="AE20" s="852"/>
      <c r="AF20" s="852"/>
      <c r="AG20" s="852"/>
      <c r="AH20" s="852"/>
    </row>
    <row r="21" spans="1:34" ht="14.45" customHeight="1" x14ac:dyDescent="0.25">
      <c r="A21" s="199" t="s">
        <v>1260</v>
      </c>
      <c r="B21" s="707">
        <f>'Prices,exch.rates,harvest index'!I36</f>
        <v>0</v>
      </c>
      <c r="C21" s="707">
        <f>'Prices,exch.rates,harvest index'!J36</f>
        <v>0</v>
      </c>
      <c r="D21" s="708">
        <f>'Prices,exch.rates,harvest index'!E36</f>
        <v>0</v>
      </c>
      <c r="E21" s="14"/>
      <c r="F21" s="215">
        <f>'Prices,exch.rates,harvest index'!F36</f>
        <v>0</v>
      </c>
      <c r="G21" s="14"/>
      <c r="H21" s="3"/>
      <c r="I21" s="3"/>
      <c r="J21" s="3"/>
      <c r="K21" s="3"/>
      <c r="L21" s="3"/>
      <c r="M21" s="3"/>
      <c r="N21" s="3"/>
      <c r="O21" s="3"/>
      <c r="P21" s="3"/>
      <c r="Q21" s="3"/>
      <c r="R21" s="3"/>
      <c r="S21" s="3"/>
      <c r="T21" s="3"/>
      <c r="U21" s="3"/>
      <c r="V21" s="3"/>
      <c r="Z21" s="430"/>
      <c r="AC21" s="852"/>
      <c r="AD21" s="852"/>
      <c r="AE21" s="852"/>
      <c r="AF21" s="852"/>
      <c r="AG21" s="852"/>
      <c r="AH21" s="852"/>
    </row>
    <row r="22" spans="1:34" ht="31.5" customHeight="1" x14ac:dyDescent="0.25">
      <c r="A22" s="194" t="s">
        <v>488</v>
      </c>
      <c r="B22" s="198">
        <f>SUM(B13:B21)</f>
        <v>41205.599999999999</v>
      </c>
      <c r="C22" s="307">
        <f>SUM(C13:C21)</f>
        <v>0</v>
      </c>
      <c r="D22" s="307" t="e">
        <f>SUMPRODUCT($C13:$C21,D13:D21)/$C22</f>
        <v>#DIV/0!</v>
      </c>
      <c r="E22" s="198" t="e">
        <f t="shared" ref="E22:G22" si="0">SUMPRODUCT($C13:$C21,E13:E21)/$C22</f>
        <v>#DIV/0!</v>
      </c>
      <c r="F22" s="307" t="e">
        <f t="shared" si="0"/>
        <v>#DIV/0!</v>
      </c>
      <c r="G22" s="198" t="e">
        <f t="shared" si="0"/>
        <v>#DIV/0!</v>
      </c>
      <c r="J22" s="22"/>
      <c r="K22" s="44"/>
      <c r="L22" s="44"/>
      <c r="M22" s="49"/>
      <c r="N22" s="1" t="s">
        <v>489</v>
      </c>
      <c r="P22" s="4" t="s">
        <v>79</v>
      </c>
      <c r="R22" s="18"/>
      <c r="S22" s="44"/>
      <c r="T22" s="449"/>
      <c r="X22" s="1" t="s">
        <v>490</v>
      </c>
      <c r="AC22" s="852"/>
      <c r="AD22" s="852"/>
      <c r="AE22" s="852"/>
      <c r="AF22" s="852"/>
      <c r="AG22" s="852"/>
      <c r="AH22" s="852"/>
    </row>
    <row r="23" spans="1:34" ht="15.75" x14ac:dyDescent="0.25">
      <c r="A23" s="86"/>
      <c r="B23" s="202"/>
      <c r="C23" s="459"/>
      <c r="D23" s="814" t="s">
        <v>450</v>
      </c>
      <c r="E23" s="814"/>
      <c r="F23" s="784" t="s">
        <v>451</v>
      </c>
      <c r="G23" s="784"/>
      <c r="J23" s="22"/>
      <c r="K23" s="44"/>
      <c r="L23" s="1"/>
      <c r="M23" s="49"/>
      <c r="N23" s="1"/>
      <c r="O23" s="265"/>
      <c r="Q23" s="18"/>
      <c r="T23" s="2"/>
      <c r="W23" s="1" t="s">
        <v>136</v>
      </c>
      <c r="X23" s="1" t="s">
        <v>137</v>
      </c>
      <c r="Y23" s="1" t="s">
        <v>289</v>
      </c>
      <c r="Z23" s="22" t="s">
        <v>290</v>
      </c>
      <c r="AA23" s="1" t="s">
        <v>291</v>
      </c>
      <c r="AB23" s="15" t="s">
        <v>292</v>
      </c>
      <c r="AC23" s="15" t="s">
        <v>200</v>
      </c>
      <c r="AD23" s="1" t="s">
        <v>293</v>
      </c>
      <c r="AE23" s="1" t="s">
        <v>294</v>
      </c>
      <c r="AF23" s="1" t="s">
        <v>295</v>
      </c>
    </row>
    <row r="24" spans="1:34" ht="28.5" customHeight="1" x14ac:dyDescent="0.35">
      <c r="A24" s="843" t="s">
        <v>296</v>
      </c>
      <c r="B24" s="843"/>
      <c r="C24" s="18"/>
      <c r="D24" s="18">
        <v>2021</v>
      </c>
      <c r="E24" s="18">
        <v>2010</v>
      </c>
      <c r="F24" s="18">
        <v>2021</v>
      </c>
      <c r="G24" s="18">
        <v>2010</v>
      </c>
      <c r="K24" s="440"/>
      <c r="L24" s="441"/>
      <c r="P24" s="18"/>
      <c r="S24" s="450"/>
      <c r="T24" s="451"/>
      <c r="U24" s="196"/>
      <c r="V24" s="13" t="s">
        <v>139</v>
      </c>
      <c r="W24" s="296">
        <v>0.76125438048069316</v>
      </c>
      <c r="X24" s="296">
        <v>0.66196034551983907</v>
      </c>
      <c r="Y24" s="296">
        <v>0.49034064487432816</v>
      </c>
      <c r="Z24" s="95">
        <f>'Yield-data'!F5</f>
        <v>0</v>
      </c>
      <c r="AA24" s="9">
        <f>Z24*'Area&amp;production data'!I5</f>
        <v>0</v>
      </c>
      <c r="AB24" s="206">
        <f>'Yield-penalty-by-LD-class'!H10</f>
        <v>0</v>
      </c>
      <c r="AC24" s="206">
        <f>'Yield-penalty-by-LD-class'!I10</f>
        <v>0</v>
      </c>
      <c r="AD24" s="95">
        <f t="shared" ref="AD24" si="1">((W24-X24)/X24)-AB24</f>
        <v>0.14999997451943778</v>
      </c>
      <c r="AE24" s="9">
        <f t="shared" ref="AE24" si="2">((X24-Y24)/Y24)-AC24</f>
        <v>0.35000096859091945</v>
      </c>
      <c r="AF24" s="95">
        <f>SUMPRODUCT(W24:Y24,C40:E40)-Z24</f>
        <v>0</v>
      </c>
    </row>
    <row r="25" spans="1:34" x14ac:dyDescent="0.25">
      <c r="A25" s="1" t="s">
        <v>491</v>
      </c>
      <c r="B25" s="1"/>
      <c r="C25" s="1"/>
      <c r="D25" s="214" t="e">
        <f>D22/K1</f>
        <v>#DIV/0!</v>
      </c>
      <c r="E25" s="312" t="e">
        <f>F22/K5</f>
        <v>#DIV/0!</v>
      </c>
      <c r="F25" s="214" t="e">
        <f>D22</f>
        <v>#DIV/0!</v>
      </c>
      <c r="G25" s="312" t="e">
        <f>F22</f>
        <v>#DIV/0!</v>
      </c>
      <c r="K25" s="246"/>
      <c r="L25" s="441"/>
      <c r="S25" s="450"/>
      <c r="T25" s="451"/>
      <c r="U25" s="196"/>
      <c r="V25" s="13" t="s">
        <v>140</v>
      </c>
      <c r="W25" s="296">
        <v>5.7071899427366253</v>
      </c>
      <c r="X25" s="296">
        <v>4.9627740143404226</v>
      </c>
      <c r="Y25" s="296">
        <v>3.6761289782181201</v>
      </c>
      <c r="Z25" s="95">
        <f>'Yield-data'!F6</f>
        <v>0</v>
      </c>
      <c r="AA25" s="9">
        <f>Z25*'Area&amp;production data'!I6</f>
        <v>0</v>
      </c>
      <c r="AB25" s="206">
        <f>'Yield-penalty-by-LD-class'!H11</f>
        <v>0</v>
      </c>
      <c r="AC25" s="206">
        <f>'Yield-penalty-by-LD-class'!I11</f>
        <v>0</v>
      </c>
      <c r="AD25" s="95">
        <f t="shared" ref="AD25:AD47" si="3">((W25-X25)/X25)-AB25</f>
        <v>0.14999996498835927</v>
      </c>
      <c r="AE25" s="9">
        <f t="shared" ref="AE25:AE47" si="4">((X25-Y25)/Y25)-AC25</f>
        <v>0.34999997109621556</v>
      </c>
      <c r="AF25" s="95">
        <f t="shared" ref="AF25:AF47" si="5">SUMPRODUCT(W25:Y25,C41:E41)-Z25</f>
        <v>0</v>
      </c>
    </row>
    <row r="26" spans="1:34" x14ac:dyDescent="0.25">
      <c r="A26" s="1" t="s">
        <v>492</v>
      </c>
      <c r="B26" s="1"/>
      <c r="C26" s="1"/>
      <c r="D26" s="214" t="e">
        <f>E22/K1</f>
        <v>#DIV/0!</v>
      </c>
      <c r="E26" s="312" t="e">
        <f>G22/K5</f>
        <v>#DIV/0!</v>
      </c>
      <c r="F26" s="214" t="e">
        <f>E22</f>
        <v>#DIV/0!</v>
      </c>
      <c r="G26" s="312" t="e">
        <f>G22</f>
        <v>#DIV/0!</v>
      </c>
      <c r="K26" s="246"/>
      <c r="L26" s="441"/>
      <c r="S26" s="450"/>
      <c r="T26" s="451"/>
      <c r="V26" s="13" t="s">
        <v>141</v>
      </c>
      <c r="W26" s="296">
        <v>4.3994622863217456</v>
      </c>
      <c r="X26" s="296">
        <v>3.8256193671267744</v>
      </c>
      <c r="Y26" s="296">
        <v>2.8337921177546113</v>
      </c>
      <c r="Z26" s="95">
        <f>'Yield-data'!F7</f>
        <v>0</v>
      </c>
      <c r="AA26" s="9">
        <f>Z26*'Area&amp;production data'!I7</f>
        <v>0</v>
      </c>
      <c r="AB26" s="206">
        <f>'Yield-penalty-by-LD-class'!H12</f>
        <v>0</v>
      </c>
      <c r="AC26" s="206">
        <f>'Yield-penalty-by-LD-class'!I12</f>
        <v>0</v>
      </c>
      <c r="AD26" s="95">
        <f t="shared" si="3"/>
        <v>0.15000000369246225</v>
      </c>
      <c r="AE26" s="9">
        <f t="shared" si="4"/>
        <v>0.35000000287884531</v>
      </c>
      <c r="AF26" s="95">
        <f t="shared" si="5"/>
        <v>0</v>
      </c>
    </row>
    <row r="27" spans="1:34" x14ac:dyDescent="0.25">
      <c r="A27" s="1"/>
      <c r="B27" s="1"/>
      <c r="C27" s="1"/>
      <c r="D27" s="80" t="s">
        <v>493</v>
      </c>
      <c r="E27" s="17" t="s">
        <v>300</v>
      </c>
      <c r="F27" s="126"/>
      <c r="K27" s="246"/>
      <c r="L27" s="441"/>
      <c r="S27" s="450"/>
      <c r="T27" s="451"/>
      <c r="V27" s="13" t="s">
        <v>142</v>
      </c>
      <c r="W27" s="296">
        <v>11.558026334181855</v>
      </c>
      <c r="X27" s="296">
        <v>9.6316886275498064</v>
      </c>
      <c r="Y27" s="296">
        <v>6.8797776022945278</v>
      </c>
      <c r="Z27" s="95">
        <f>'Yield-data'!F8</f>
        <v>0</v>
      </c>
      <c r="AA27" s="9">
        <f>Z27*'Area&amp;production data'!I8</f>
        <v>0</v>
      </c>
      <c r="AB27" s="206">
        <f>'Yield-penalty-by-LD-class'!H13</f>
        <v>0</v>
      </c>
      <c r="AC27" s="206">
        <f>'Yield-penalty-by-LD-class'!I13</f>
        <v>0</v>
      </c>
      <c r="AD27" s="95">
        <f t="shared" si="3"/>
        <v>0.1999999980400205</v>
      </c>
      <c r="AE27" s="9">
        <f t="shared" si="4"/>
        <v>0.39999999772339551</v>
      </c>
      <c r="AF27" s="95">
        <f t="shared" si="5"/>
        <v>0</v>
      </c>
    </row>
    <row r="28" spans="1:34" x14ac:dyDescent="0.25">
      <c r="A28" s="1" t="s">
        <v>301</v>
      </c>
      <c r="B28" s="1"/>
      <c r="C28" s="1"/>
      <c r="D28" s="124" t="e">
        <f>(F25-G25)/($F$24-$G$24)/K1</f>
        <v>#DIV/0!</v>
      </c>
      <c r="E28" s="124" t="e">
        <f>(F26-G26)/(F24-G24)/K5</f>
        <v>#DIV/0!</v>
      </c>
      <c r="M28" s="44"/>
      <c r="N28" s="44"/>
      <c r="O28" s="44"/>
      <c r="P28" s="44"/>
      <c r="Q28" s="44"/>
      <c r="S28" s="450"/>
      <c r="T28" s="451"/>
      <c r="V28" s="13" t="s">
        <v>143</v>
      </c>
      <c r="W28" s="296">
        <v>10.823711610860988</v>
      </c>
      <c r="X28" s="296">
        <v>9.0197601330642279</v>
      </c>
      <c r="Y28" s="296">
        <v>6.4426861474155013</v>
      </c>
      <c r="Z28" s="95">
        <f>'Yield-data'!F9</f>
        <v>0</v>
      </c>
      <c r="AA28" s="9">
        <f>Z28*'Area&amp;production data'!I9</f>
        <v>0</v>
      </c>
      <c r="AB28" s="206">
        <f>'Yield-penalty-by-LD-class'!H14</f>
        <v>0</v>
      </c>
      <c r="AC28" s="206">
        <f>'Yield-penalty-by-LD-class'!I14</f>
        <v>0</v>
      </c>
      <c r="AD28" s="95">
        <f t="shared" si="3"/>
        <v>0.19999993915402656</v>
      </c>
      <c r="AE28" s="9">
        <f t="shared" si="4"/>
        <v>0.39999992653414074</v>
      </c>
      <c r="AF28" s="95">
        <f t="shared" si="5"/>
        <v>0</v>
      </c>
    </row>
    <row r="29" spans="1:34" x14ac:dyDescent="0.25">
      <c r="A29" s="1" t="s">
        <v>302</v>
      </c>
      <c r="B29" s="1"/>
      <c r="C29" s="1"/>
      <c r="D29" s="124" t="e">
        <f>D28*$F$30</f>
        <v>#DIV/0!</v>
      </c>
      <c r="E29" s="124" t="e">
        <f>E28*$F$30</f>
        <v>#DIV/0!</v>
      </c>
      <c r="F29" s="1"/>
      <c r="M29" s="1"/>
      <c r="N29" s="1"/>
      <c r="O29" s="1"/>
      <c r="P29" s="1"/>
      <c r="Q29" s="1"/>
      <c r="S29" s="450"/>
      <c r="T29" s="451"/>
      <c r="V29" s="13" t="s">
        <v>144</v>
      </c>
      <c r="W29" s="296">
        <v>5.9977662889551508</v>
      </c>
      <c r="X29" s="296">
        <v>4.9981386323794794</v>
      </c>
      <c r="Y29" s="296">
        <v>3.5700990638789398</v>
      </c>
      <c r="Z29" s="95">
        <f>'Yield-data'!F10</f>
        <v>0</v>
      </c>
      <c r="AA29" s="9">
        <f>Z29*'Area&amp;production data'!I10</f>
        <v>0</v>
      </c>
      <c r="AB29" s="206">
        <f>'Yield-penalty-by-LD-class'!H15</f>
        <v>0</v>
      </c>
      <c r="AC29" s="206">
        <f>'Yield-penalty-by-LD-class'!I15</f>
        <v>0</v>
      </c>
      <c r="AD29" s="95">
        <f t="shared" si="3"/>
        <v>0.19999998601474878</v>
      </c>
      <c r="AE29" s="9">
        <f t="shared" si="4"/>
        <v>0.399999984019761</v>
      </c>
      <c r="AF29" s="95">
        <f t="shared" si="5"/>
        <v>0</v>
      </c>
    </row>
    <row r="30" spans="1:34" x14ac:dyDescent="0.25">
      <c r="A30" s="1" t="s">
        <v>303</v>
      </c>
      <c r="B30" s="1"/>
      <c r="C30" s="176">
        <f>'Cereals-all-year'!C24</f>
        <v>6.0970000000000003E-2</v>
      </c>
      <c r="D30" s="1"/>
      <c r="E30" s="1" t="s">
        <v>304</v>
      </c>
      <c r="F30" s="78">
        <f>1/(1+C30)</f>
        <v>0.94253371914380235</v>
      </c>
      <c r="M30" s="33"/>
      <c r="N30" s="33"/>
      <c r="O30" s="33"/>
      <c r="P30" s="33"/>
      <c r="S30" s="450"/>
      <c r="T30" s="451"/>
      <c r="V30" s="13" t="s">
        <v>145</v>
      </c>
      <c r="W30" s="296">
        <v>0.81070487028583516</v>
      </c>
      <c r="X30" s="296">
        <v>0.67558725195234659</v>
      </c>
      <c r="Y30" s="296">
        <v>0.48256222003275034</v>
      </c>
      <c r="Z30" s="95">
        <f>'Yield-data'!F11</f>
        <v>0</v>
      </c>
      <c r="AA30" s="9">
        <f>Z30*'Area&amp;production data'!I11</f>
        <v>0</v>
      </c>
      <c r="AB30" s="206">
        <f>'Yield-penalty-by-LD-class'!H16</f>
        <v>0</v>
      </c>
      <c r="AC30" s="206">
        <f>'Yield-penalty-by-LD-class'!I16</f>
        <v>0</v>
      </c>
      <c r="AD30" s="95">
        <f t="shared" si="3"/>
        <v>0.20000024858820051</v>
      </c>
      <c r="AE30" s="9">
        <f t="shared" si="4"/>
        <v>0.40000029821334976</v>
      </c>
      <c r="AF30" s="95">
        <f t="shared" si="5"/>
        <v>0</v>
      </c>
    </row>
    <row r="31" spans="1:34" ht="28.5" customHeight="1" x14ac:dyDescent="0.25">
      <c r="A31" s="1"/>
      <c r="B31" s="1"/>
      <c r="C31" s="1"/>
      <c r="D31" s="1"/>
      <c r="E31" s="1"/>
      <c r="M31" s="33"/>
      <c r="N31" s="33"/>
      <c r="O31" s="33"/>
      <c r="P31" s="33"/>
      <c r="S31" s="450"/>
      <c r="T31" s="451"/>
      <c r="V31" s="13" t="s">
        <v>146</v>
      </c>
      <c r="W31" s="296">
        <v>2.8167548215893352</v>
      </c>
      <c r="X31" s="296">
        <v>2.3472956902025439</v>
      </c>
      <c r="Y31" s="296">
        <v>1.6766397824576622</v>
      </c>
      <c r="Z31" s="95">
        <f>'Yield-data'!F12</f>
        <v>0</v>
      </c>
      <c r="AA31" s="9">
        <f>Z31*'Area&amp;production data'!I12</f>
        <v>0</v>
      </c>
      <c r="AB31" s="206">
        <f>'Yield-penalty-by-LD-class'!H17</f>
        <v>0</v>
      </c>
      <c r="AC31" s="206">
        <f>'Yield-penalty-by-LD-class'!I17</f>
        <v>0</v>
      </c>
      <c r="AD31" s="95">
        <f t="shared" si="3"/>
        <v>0.19999999716536884</v>
      </c>
      <c r="AE31" s="9">
        <f t="shared" si="4"/>
        <v>0.39999999687578497</v>
      </c>
      <c r="AF31" s="95">
        <f t="shared" si="5"/>
        <v>0</v>
      </c>
    </row>
    <row r="32" spans="1:34" ht="28.5" customHeight="1" x14ac:dyDescent="0.25">
      <c r="A32" s="844" t="s">
        <v>305</v>
      </c>
      <c r="B32" s="844"/>
      <c r="C32" s="844"/>
      <c r="D32" s="844"/>
      <c r="E32" s="18"/>
      <c r="M32" s="33"/>
      <c r="N32" s="33"/>
      <c r="O32" s="33"/>
      <c r="P32" s="33"/>
      <c r="S32" s="450"/>
      <c r="T32" s="451"/>
      <c r="V32" s="13" t="s">
        <v>147</v>
      </c>
      <c r="W32" s="296">
        <v>2.3380638382402976</v>
      </c>
      <c r="X32" s="296">
        <v>1.9483865350589014</v>
      </c>
      <c r="Y32" s="296">
        <v>1.3917046700216471</v>
      </c>
      <c r="Z32" s="95">
        <f>'Yield-data'!F13</f>
        <v>0</v>
      </c>
      <c r="AA32" s="9">
        <f>Z32*'Area&amp;production data'!I13</f>
        <v>0</v>
      </c>
      <c r="AB32" s="206">
        <f>'Yield-penalty-by-LD-class'!H18</f>
        <v>0</v>
      </c>
      <c r="AC32" s="206">
        <f>'Yield-penalty-by-LD-class'!I18</f>
        <v>0</v>
      </c>
      <c r="AD32" s="95">
        <f t="shared" si="3"/>
        <v>0.19999999803407387</v>
      </c>
      <c r="AE32" s="9">
        <f t="shared" si="4"/>
        <v>0.3999999978649173</v>
      </c>
      <c r="AF32" s="95">
        <f t="shared" si="5"/>
        <v>0</v>
      </c>
    </row>
    <row r="33" spans="1:41" x14ac:dyDescent="0.25">
      <c r="A33" s="844" t="s">
        <v>306</v>
      </c>
      <c r="B33" s="844"/>
      <c r="C33" s="18"/>
      <c r="D33" s="18"/>
      <c r="E33" s="18"/>
      <c r="M33" s="33"/>
      <c r="N33" s="33"/>
      <c r="O33" s="33"/>
      <c r="P33" s="33"/>
      <c r="S33" s="450"/>
      <c r="T33" s="451"/>
      <c r="V33" s="13" t="s">
        <v>148</v>
      </c>
      <c r="W33" s="296">
        <v>0.43379043043855881</v>
      </c>
      <c r="X33" s="296">
        <v>0.36149202567675343</v>
      </c>
      <c r="Y33" s="296">
        <v>0.25820858997697338</v>
      </c>
      <c r="Z33" s="95">
        <f>'Yield-data'!F14</f>
        <v>0</v>
      </c>
      <c r="AA33" s="9">
        <f>Z33*'Area&amp;production data'!I14</f>
        <v>0</v>
      </c>
      <c r="AB33" s="206">
        <f>'Yield-penalty-by-LD-class'!H19</f>
        <v>0</v>
      </c>
      <c r="AC33" s="206">
        <f>'Yield-penalty-by-LD-class'!I19</f>
        <v>0</v>
      </c>
      <c r="AD33" s="95">
        <f t="shared" si="3"/>
        <v>0.19999999896665685</v>
      </c>
      <c r="AE33" s="9">
        <f t="shared" si="4"/>
        <v>0.39999999887296817</v>
      </c>
      <c r="AF33" s="95">
        <f t="shared" si="5"/>
        <v>0</v>
      </c>
    </row>
    <row r="34" spans="1:41" ht="27.6" customHeight="1" x14ac:dyDescent="0.25">
      <c r="A34" s="3" t="s">
        <v>494</v>
      </c>
      <c r="B34" s="3"/>
      <c r="C34" s="3"/>
      <c r="D34" s="3"/>
      <c r="E34" s="3"/>
      <c r="M34" s="34"/>
      <c r="N34" s="34"/>
      <c r="O34" s="34"/>
      <c r="P34" s="34"/>
      <c r="Q34" s="35"/>
      <c r="V34" s="13" t="s">
        <v>149</v>
      </c>
      <c r="W34" s="296">
        <v>2.0363798304237433</v>
      </c>
      <c r="X34" s="296">
        <v>1.6969834536535546</v>
      </c>
      <c r="Y34" s="296">
        <v>1.212131231197118</v>
      </c>
      <c r="Z34" s="95">
        <f>'Yield-data'!F15</f>
        <v>0</v>
      </c>
      <c r="AA34" s="9">
        <f>Z34*'Area&amp;production data'!I15</f>
        <v>0</v>
      </c>
      <c r="AB34" s="206">
        <f>'Yield-penalty-by-LD-class'!H20</f>
        <v>0</v>
      </c>
      <c r="AC34" s="206">
        <f>'Yield-penalty-by-LD-class'!I20</f>
        <v>0</v>
      </c>
      <c r="AD34" s="95">
        <f t="shared" si="3"/>
        <v>0.19999981498904917</v>
      </c>
      <c r="AE34" s="9">
        <f t="shared" si="4"/>
        <v>0.39999977723335267</v>
      </c>
      <c r="AF34" s="95">
        <f t="shared" si="5"/>
        <v>0</v>
      </c>
      <c r="AL34" s="1"/>
      <c r="AM34" s="1"/>
      <c r="AN34" s="1"/>
      <c r="AO34" s="22"/>
    </row>
    <row r="35" spans="1:41" x14ac:dyDescent="0.25">
      <c r="A35" s="1" t="s">
        <v>308</v>
      </c>
      <c r="F35" s="1"/>
      <c r="V35" s="13" t="s">
        <v>150</v>
      </c>
      <c r="W35" s="296">
        <v>1.2645910708952708</v>
      </c>
      <c r="X35" s="296">
        <v>1.0538254093301673</v>
      </c>
      <c r="Y35" s="296">
        <v>0.75273207995115621</v>
      </c>
      <c r="Z35" s="95">
        <f>'Yield-data'!F16</f>
        <v>0</v>
      </c>
      <c r="AA35" s="9">
        <f>Z35*'Area&amp;production data'!I16</f>
        <v>0</v>
      </c>
      <c r="AB35" s="206">
        <f>'Yield-penalty-by-LD-class'!H21</f>
        <v>0</v>
      </c>
      <c r="AC35" s="206">
        <f>'Yield-penalty-by-LD-class'!I21</f>
        <v>0</v>
      </c>
      <c r="AD35" s="95">
        <f t="shared" si="3"/>
        <v>0.20000055009023776</v>
      </c>
      <c r="AE35" s="9">
        <f t="shared" si="4"/>
        <v>0.40000066079095326</v>
      </c>
      <c r="AF35" s="95">
        <f t="shared" si="5"/>
        <v>0</v>
      </c>
      <c r="AL35" s="49"/>
      <c r="AM35" s="49"/>
      <c r="AN35" s="49"/>
      <c r="AO35" s="49"/>
    </row>
    <row r="36" spans="1:41" x14ac:dyDescent="0.25">
      <c r="V36" s="13" t="s">
        <v>151</v>
      </c>
      <c r="W36" s="296">
        <v>0.69631665144421617</v>
      </c>
      <c r="X36" s="296">
        <v>0.53562819420865238</v>
      </c>
      <c r="Y36" s="296">
        <v>0.3570854633143366</v>
      </c>
      <c r="Z36" s="95">
        <f>'Yield-data'!F17</f>
        <v>0</v>
      </c>
      <c r="AA36" s="9">
        <f>Z36*'Area&amp;production data'!I17</f>
        <v>0</v>
      </c>
      <c r="AB36" s="206">
        <f>'Yield-penalty-by-LD-class'!H22</f>
        <v>0</v>
      </c>
      <c r="AC36" s="206">
        <f>'Yield-penalty-by-LD-class'!I22</f>
        <v>0</v>
      </c>
      <c r="AD36" s="95">
        <f t="shared" si="3"/>
        <v>0.29999999808256561</v>
      </c>
      <c r="AE36" s="9">
        <f t="shared" si="4"/>
        <v>0.49999999786366961</v>
      </c>
      <c r="AF36" s="95">
        <f t="shared" si="5"/>
        <v>0</v>
      </c>
      <c r="AL36" s="83"/>
      <c r="AM36" s="83"/>
      <c r="AN36" s="83"/>
    </row>
    <row r="37" spans="1:41" ht="19.350000000000001" customHeight="1" x14ac:dyDescent="0.25">
      <c r="A37" s="1" t="s">
        <v>495</v>
      </c>
      <c r="D37" s="1"/>
      <c r="F37" s="1"/>
      <c r="G37" s="60"/>
      <c r="H37" s="60"/>
      <c r="J37" s="246"/>
      <c r="K37" s="246"/>
      <c r="L37" s="442"/>
      <c r="V37" s="13" t="s">
        <v>152</v>
      </c>
      <c r="W37" s="296">
        <v>0.3695151668226429</v>
      </c>
      <c r="X37" s="296">
        <v>0.28424239786683847</v>
      </c>
      <c r="Y37" s="296">
        <v>0.18949490666450586</v>
      </c>
      <c r="Z37" s="95">
        <f>'Yield-data'!F18</f>
        <v>0</v>
      </c>
      <c r="AA37" s="9">
        <f>Z37*'Area&amp;production data'!I18</f>
        <v>0</v>
      </c>
      <c r="AB37" s="206">
        <f>'Yield-penalty-by-LD-class'!H23</f>
        <v>0</v>
      </c>
      <c r="AC37" s="206">
        <f>'Yield-penalty-by-LD-class'!I23</f>
        <v>0</v>
      </c>
      <c r="AD37" s="95">
        <f t="shared" si="3"/>
        <v>0.30000017448400823</v>
      </c>
      <c r="AE37" s="9">
        <f t="shared" si="4"/>
        <v>0.50000019984748056</v>
      </c>
      <c r="AF37" s="95">
        <f t="shared" si="5"/>
        <v>0</v>
      </c>
    </row>
    <row r="38" spans="1:41" ht="44.45" customHeight="1" x14ac:dyDescent="0.25">
      <c r="A38" s="1" t="s">
        <v>101</v>
      </c>
      <c r="B38" s="814" t="s">
        <v>496</v>
      </c>
      <c r="C38" s="814" t="s">
        <v>497</v>
      </c>
      <c r="D38" s="814"/>
      <c r="E38" s="814"/>
      <c r="F38" s="814"/>
      <c r="G38" s="814" t="s">
        <v>498</v>
      </c>
      <c r="H38" s="814"/>
      <c r="I38" s="814"/>
      <c r="J38" s="814"/>
      <c r="K38" s="814" t="s">
        <v>499</v>
      </c>
      <c r="L38" s="814"/>
      <c r="M38" s="814"/>
      <c r="N38" s="814"/>
      <c r="O38" s="814" t="s">
        <v>500</v>
      </c>
      <c r="P38" s="814"/>
      <c r="Q38" s="814"/>
      <c r="R38" s="814"/>
      <c r="S38" s="17" t="s">
        <v>120</v>
      </c>
      <c r="T38" s="44"/>
      <c r="V38" s="13" t="s">
        <v>153</v>
      </c>
      <c r="W38" s="296">
        <v>0.33239161204270201</v>
      </c>
      <c r="X38" s="296">
        <v>0.25568589084605964</v>
      </c>
      <c r="Y38" s="296">
        <v>0.17045728456805037</v>
      </c>
      <c r="Z38" s="95">
        <f>'Yield-data'!F19</f>
        <v>0</v>
      </c>
      <c r="AA38" s="9">
        <f>Z38*'Area&amp;production data'!I19</f>
        <v>0</v>
      </c>
      <c r="AB38" s="206">
        <f>'Yield-penalty-by-LD-class'!H24</f>
        <v>0</v>
      </c>
      <c r="AC38" s="206">
        <f>'Yield-penalty-by-LD-class'!I24</f>
        <v>0</v>
      </c>
      <c r="AD38" s="95">
        <f t="shared" si="3"/>
        <v>0.29999981986813834</v>
      </c>
      <c r="AE38" s="9">
        <f t="shared" si="4"/>
        <v>0.49999978876810097</v>
      </c>
      <c r="AF38" s="95">
        <f t="shared" si="5"/>
        <v>0</v>
      </c>
      <c r="AM38" s="52"/>
      <c r="AN38" s="1"/>
      <c r="AO38" s="1"/>
    </row>
    <row r="39" spans="1:41" x14ac:dyDescent="0.25">
      <c r="A39" s="1"/>
      <c r="B39" s="814"/>
      <c r="C39" s="1" t="s">
        <v>136</v>
      </c>
      <c r="D39" s="1" t="s">
        <v>137</v>
      </c>
      <c r="E39" s="1" t="s">
        <v>138</v>
      </c>
      <c r="F39" s="1" t="s">
        <v>120</v>
      </c>
      <c r="G39" s="1" t="s">
        <v>136</v>
      </c>
      <c r="H39" s="1" t="s">
        <v>137</v>
      </c>
      <c r="I39" s="1" t="s">
        <v>289</v>
      </c>
      <c r="J39" s="1" t="s">
        <v>120</v>
      </c>
      <c r="K39" s="1" t="s">
        <v>136</v>
      </c>
      <c r="L39" s="1" t="s">
        <v>137</v>
      </c>
      <c r="M39" s="1" t="s">
        <v>289</v>
      </c>
      <c r="N39" s="1" t="s">
        <v>120</v>
      </c>
      <c r="O39" s="1" t="s">
        <v>136</v>
      </c>
      <c r="P39" s="1" t="s">
        <v>137</v>
      </c>
      <c r="Q39" s="1" t="s">
        <v>289</v>
      </c>
      <c r="R39" s="1" t="s">
        <v>120</v>
      </c>
      <c r="V39" s="13" t="s">
        <v>154</v>
      </c>
      <c r="W39" s="296">
        <v>1.4769720213269615</v>
      </c>
      <c r="X39" s="296">
        <v>1.1361323829400436</v>
      </c>
      <c r="Y39" s="296">
        <v>0.75742162876275521</v>
      </c>
      <c r="Z39" s="95">
        <f>'Yield-data'!F20</f>
        <v>0</v>
      </c>
      <c r="AA39" s="9">
        <f>Z39*'Area&amp;production data'!I20</f>
        <v>0</v>
      </c>
      <c r="AB39" s="206">
        <f>'Yield-penalty-by-LD-class'!H25</f>
        <v>0</v>
      </c>
      <c r="AC39" s="206">
        <f>'Yield-penalty-by-LD-class'!I25</f>
        <v>0</v>
      </c>
      <c r="AD39" s="95">
        <f t="shared" si="3"/>
        <v>0.29999993267061448</v>
      </c>
      <c r="AE39" s="9">
        <f t="shared" si="4"/>
        <v>0.49999992051443087</v>
      </c>
      <c r="AF39" s="95">
        <f t="shared" si="5"/>
        <v>0</v>
      </c>
    </row>
    <row r="40" spans="1:41" x14ac:dyDescent="0.25">
      <c r="A40" s="13" t="s">
        <v>139</v>
      </c>
      <c r="B40" s="67">
        <f>'Area&amp;production data'!I5</f>
        <v>0</v>
      </c>
      <c r="C40" s="169">
        <f>'Area&amp;production data'!BI5</f>
        <v>0</v>
      </c>
      <c r="D40" s="169">
        <f>'Area&amp;production data'!BJ5</f>
        <v>0</v>
      </c>
      <c r="E40" s="169">
        <f>'Area&amp;production data'!BK5</f>
        <v>0</v>
      </c>
      <c r="F40" s="25">
        <f>SUM(C40:E40)</f>
        <v>0</v>
      </c>
      <c r="G40" s="180">
        <f t="shared" ref="G40:I40" si="6">$W24-W24</f>
        <v>0</v>
      </c>
      <c r="H40" s="180">
        <f t="shared" si="6"/>
        <v>9.9294034960854094E-2</v>
      </c>
      <c r="I40" s="180">
        <f t="shared" si="6"/>
        <v>0.270913735606365</v>
      </c>
      <c r="J40" s="81">
        <f>SUMPRODUCT(C40:E40,G40:I40)</f>
        <v>0</v>
      </c>
      <c r="K40" s="38">
        <f t="shared" ref="K40:M40" si="7">G40*C40*$B40</f>
        <v>0</v>
      </c>
      <c r="L40" s="38">
        <f t="shared" si="7"/>
        <v>0</v>
      </c>
      <c r="M40" s="38">
        <f t="shared" si="7"/>
        <v>0</v>
      </c>
      <c r="N40" s="38">
        <f>SUM(K40:M40)</f>
        <v>0</v>
      </c>
      <c r="O40" s="38" t="e">
        <f t="shared" ref="O40:Q40" si="8">$D$25*K40</f>
        <v>#DIV/0!</v>
      </c>
      <c r="P40" s="38" t="e">
        <f t="shared" si="8"/>
        <v>#DIV/0!</v>
      </c>
      <c r="Q40" s="38" t="e">
        <f t="shared" si="8"/>
        <v>#DIV/0!</v>
      </c>
      <c r="R40" s="24" t="e">
        <f>SUM(O40:Q40)</f>
        <v>#DIV/0!</v>
      </c>
      <c r="V40" s="13" t="s">
        <v>155</v>
      </c>
      <c r="W40" s="296">
        <v>1.1619546378151064</v>
      </c>
      <c r="X40" s="296">
        <v>0.89381126548951051</v>
      </c>
      <c r="Y40" s="296">
        <v>0.59587417864222125</v>
      </c>
      <c r="Z40" s="95">
        <f>'Yield-data'!F21</f>
        <v>0</v>
      </c>
      <c r="AA40" s="9">
        <f>Z40*'Area&amp;production data'!I21</f>
        <v>0</v>
      </c>
      <c r="AB40" s="206">
        <f>'Yield-penalty-by-LD-class'!H26</f>
        <v>0</v>
      </c>
      <c r="AC40" s="206">
        <f>'Yield-penalty-by-LD-class'!I26</f>
        <v>0</v>
      </c>
      <c r="AD40" s="95">
        <f t="shared" si="3"/>
        <v>0.29999999180894499</v>
      </c>
      <c r="AE40" s="9">
        <f t="shared" si="4"/>
        <v>0.49999999584841659</v>
      </c>
      <c r="AF40" s="95">
        <f t="shared" si="5"/>
        <v>0</v>
      </c>
    </row>
    <row r="41" spans="1:41" x14ac:dyDescent="0.25">
      <c r="A41" s="13" t="s">
        <v>140</v>
      </c>
      <c r="B41" s="67">
        <f>'Area&amp;production data'!I6</f>
        <v>0</v>
      </c>
      <c r="C41" s="169">
        <f>'Area&amp;production data'!BI6</f>
        <v>0</v>
      </c>
      <c r="D41" s="169">
        <f>'Area&amp;production data'!BJ6</f>
        <v>0</v>
      </c>
      <c r="E41" s="169">
        <f>'Area&amp;production data'!BK6</f>
        <v>0</v>
      </c>
      <c r="F41" s="25">
        <f t="shared" ref="F41:F63" si="9">SUM(C41:E41)</f>
        <v>0</v>
      </c>
      <c r="G41" s="180">
        <f t="shared" ref="G41:G63" si="10">$W25-W25</f>
        <v>0</v>
      </c>
      <c r="H41" s="180">
        <f t="shared" ref="H41:H63" si="11">$W25-X25</f>
        <v>0.74441592839620263</v>
      </c>
      <c r="I41" s="180">
        <f t="shared" ref="I41:I63" si="12">$W25-Y25</f>
        <v>2.0310609645185052</v>
      </c>
      <c r="J41" s="81">
        <f t="shared" ref="J41:J63" si="13">SUMPRODUCT(C41:E41,G41:I41)</f>
        <v>0</v>
      </c>
      <c r="K41" s="38">
        <f t="shared" ref="K41:K63" si="14">G41*C41*$B41</f>
        <v>0</v>
      </c>
      <c r="L41" s="38">
        <f t="shared" ref="L41:L63" si="15">H41*D41*$B41</f>
        <v>0</v>
      </c>
      <c r="M41" s="38">
        <f t="shared" ref="M41:M63" si="16">I41*E41*$B41</f>
        <v>0</v>
      </c>
      <c r="N41" s="38">
        <f t="shared" ref="N41:N63" si="17">SUM(K41:M41)</f>
        <v>0</v>
      </c>
      <c r="O41" s="38" t="e">
        <f t="shared" ref="O41:O63" si="18">$D$25*K41</f>
        <v>#DIV/0!</v>
      </c>
      <c r="P41" s="38" t="e">
        <f t="shared" ref="P41:P63" si="19">$D$25*L41</f>
        <v>#DIV/0!</v>
      </c>
      <c r="Q41" s="38" t="e">
        <f t="shared" ref="Q41:Q63" si="20">$D$25*M41</f>
        <v>#DIV/0!</v>
      </c>
      <c r="R41" s="24" t="e">
        <f t="shared" ref="R41:R63" si="21">SUM(O41:Q41)</f>
        <v>#DIV/0!</v>
      </c>
      <c r="V41" s="13" t="s">
        <v>156</v>
      </c>
      <c r="W41" s="296">
        <v>1.5392675461280334</v>
      </c>
      <c r="X41" s="296">
        <v>1.1840519678957409</v>
      </c>
      <c r="Y41" s="296">
        <v>0.78936798481205073</v>
      </c>
      <c r="Z41" s="95">
        <f>'Yield-data'!F22</f>
        <v>0</v>
      </c>
      <c r="AA41" s="9">
        <f>Z41*'Area&amp;production data'!I22</f>
        <v>0</v>
      </c>
      <c r="AB41" s="206">
        <f>'Yield-penalty-by-LD-class'!H27</f>
        <v>0</v>
      </c>
      <c r="AC41" s="206">
        <f>'Yield-penalty-by-LD-class'!I27</f>
        <v>0</v>
      </c>
      <c r="AD41" s="95">
        <f t="shared" si="3"/>
        <v>0.29999998975008696</v>
      </c>
      <c r="AE41" s="9">
        <f t="shared" si="4"/>
        <v>0.49999998819012753</v>
      </c>
      <c r="AF41" s="95">
        <f t="shared" si="5"/>
        <v>0</v>
      </c>
    </row>
    <row r="42" spans="1:41" x14ac:dyDescent="0.25">
      <c r="A42" s="13" t="s">
        <v>141</v>
      </c>
      <c r="B42" s="67">
        <f>'Area&amp;production data'!I7</f>
        <v>0</v>
      </c>
      <c r="C42" s="169">
        <f>'Area&amp;production data'!BI7</f>
        <v>0</v>
      </c>
      <c r="D42" s="169">
        <f>'Area&amp;production data'!BJ7</f>
        <v>0</v>
      </c>
      <c r="E42" s="169">
        <f>'Area&amp;production data'!BK7</f>
        <v>0</v>
      </c>
      <c r="F42" s="25">
        <f t="shared" si="9"/>
        <v>0</v>
      </c>
      <c r="G42" s="180">
        <f t="shared" si="10"/>
        <v>0</v>
      </c>
      <c r="H42" s="180">
        <f t="shared" si="11"/>
        <v>0.57384291919497121</v>
      </c>
      <c r="I42" s="180">
        <f t="shared" si="12"/>
        <v>1.5656701685671344</v>
      </c>
      <c r="J42" s="81">
        <f t="shared" si="13"/>
        <v>0</v>
      </c>
      <c r="K42" s="38">
        <f t="shared" si="14"/>
        <v>0</v>
      </c>
      <c r="L42" s="38">
        <f t="shared" si="15"/>
        <v>0</v>
      </c>
      <c r="M42" s="38">
        <f t="shared" si="16"/>
        <v>0</v>
      </c>
      <c r="N42" s="38">
        <f t="shared" si="17"/>
        <v>0</v>
      </c>
      <c r="O42" s="38" t="e">
        <f t="shared" si="18"/>
        <v>#DIV/0!</v>
      </c>
      <c r="P42" s="38" t="e">
        <f t="shared" si="19"/>
        <v>#DIV/0!</v>
      </c>
      <c r="Q42" s="38" t="e">
        <f t="shared" si="20"/>
        <v>#DIV/0!</v>
      </c>
      <c r="R42" s="24" t="e">
        <f t="shared" si="21"/>
        <v>#DIV/0!</v>
      </c>
      <c r="V42" s="13" t="s">
        <v>157</v>
      </c>
      <c r="W42" s="296">
        <v>0.64138296362207381</v>
      </c>
      <c r="X42" s="296">
        <v>0.4933715104785184</v>
      </c>
      <c r="Y42" s="296">
        <v>0.32891442831864737</v>
      </c>
      <c r="Z42" s="95">
        <f>'Yield-data'!F23</f>
        <v>0</v>
      </c>
      <c r="AA42" s="9">
        <f>Z42*'Area&amp;production data'!I23</f>
        <v>0</v>
      </c>
      <c r="AB42" s="206">
        <v>0.3</v>
      </c>
      <c r="AC42" s="206">
        <v>0.5</v>
      </c>
      <c r="AD42" s="95">
        <f t="shared" si="3"/>
        <v>0</v>
      </c>
      <c r="AE42" s="9">
        <f t="shared" si="4"/>
        <v>-4.0131852324654105E-7</v>
      </c>
      <c r="AF42" s="95">
        <f t="shared" si="5"/>
        <v>0</v>
      </c>
    </row>
    <row r="43" spans="1:41" x14ac:dyDescent="0.25">
      <c r="A43" s="13" t="s">
        <v>142</v>
      </c>
      <c r="B43" s="67">
        <f>'Area&amp;production data'!I8</f>
        <v>0</v>
      </c>
      <c r="C43" s="169">
        <f>'Area&amp;production data'!BI8</f>
        <v>0</v>
      </c>
      <c r="D43" s="169">
        <f>'Area&amp;production data'!BJ8</f>
        <v>0</v>
      </c>
      <c r="E43" s="169">
        <f>'Area&amp;production data'!BK8</f>
        <v>0</v>
      </c>
      <c r="F43" s="25">
        <f t="shared" si="9"/>
        <v>0</v>
      </c>
      <c r="G43" s="180">
        <f t="shared" si="10"/>
        <v>0</v>
      </c>
      <c r="H43" s="180">
        <f t="shared" si="11"/>
        <v>1.9263377066320491</v>
      </c>
      <c r="I43" s="180">
        <f t="shared" si="12"/>
        <v>4.6782487318873276</v>
      </c>
      <c r="J43" s="81">
        <f t="shared" si="13"/>
        <v>0</v>
      </c>
      <c r="K43" s="38">
        <f t="shared" si="14"/>
        <v>0</v>
      </c>
      <c r="L43" s="38">
        <f t="shared" si="15"/>
        <v>0</v>
      </c>
      <c r="M43" s="38">
        <f t="shared" si="16"/>
        <v>0</v>
      </c>
      <c r="N43" s="38">
        <f t="shared" si="17"/>
        <v>0</v>
      </c>
      <c r="O43" s="38" t="e">
        <f t="shared" si="18"/>
        <v>#DIV/0!</v>
      </c>
      <c r="P43" s="38" t="e">
        <f t="shared" si="19"/>
        <v>#DIV/0!</v>
      </c>
      <c r="Q43" s="38" t="e">
        <f t="shared" si="20"/>
        <v>#DIV/0!</v>
      </c>
      <c r="R43" s="24" t="e">
        <f t="shared" si="21"/>
        <v>#DIV/0!</v>
      </c>
      <c r="V43" s="13" t="s">
        <v>158</v>
      </c>
      <c r="W43" s="296">
        <v>1.8370799349944971</v>
      </c>
      <c r="X43" s="296">
        <v>1.4131384115340613</v>
      </c>
      <c r="Y43" s="296">
        <v>0.94209233634795064</v>
      </c>
      <c r="Z43" s="95">
        <f>'Yield-data'!F24</f>
        <v>0</v>
      </c>
      <c r="AA43" s="9">
        <f>Z43*'Area&amp;production data'!I24</f>
        <v>0</v>
      </c>
      <c r="AB43" s="206">
        <v>0.3</v>
      </c>
      <c r="AC43" s="206">
        <v>0.5</v>
      </c>
      <c r="AD43" s="95">
        <f t="shared" si="3"/>
        <v>1.538769112130467E-13</v>
      </c>
      <c r="AE43" s="9">
        <f t="shared" si="4"/>
        <v>-9.8703557049883983E-8</v>
      </c>
      <c r="AF43" s="95">
        <f t="shared" si="5"/>
        <v>0</v>
      </c>
    </row>
    <row r="44" spans="1:41" x14ac:dyDescent="0.25">
      <c r="A44" s="13" t="s">
        <v>143</v>
      </c>
      <c r="B44" s="67">
        <f>'Area&amp;production data'!I9</f>
        <v>0</v>
      </c>
      <c r="C44" s="169">
        <f>'Area&amp;production data'!BI9</f>
        <v>0</v>
      </c>
      <c r="D44" s="169">
        <f>'Area&amp;production data'!BJ9</f>
        <v>0</v>
      </c>
      <c r="E44" s="169">
        <f>'Area&amp;production data'!BK9</f>
        <v>0</v>
      </c>
      <c r="F44" s="25">
        <f t="shared" si="9"/>
        <v>0</v>
      </c>
      <c r="G44" s="180">
        <f t="shared" si="10"/>
        <v>0</v>
      </c>
      <c r="H44" s="180">
        <f t="shared" si="11"/>
        <v>1.80395147779676</v>
      </c>
      <c r="I44" s="180">
        <f t="shared" si="12"/>
        <v>4.3810254634454866</v>
      </c>
      <c r="J44" s="81">
        <f t="shared" si="13"/>
        <v>0</v>
      </c>
      <c r="K44" s="38">
        <f t="shared" si="14"/>
        <v>0</v>
      </c>
      <c r="L44" s="38">
        <f t="shared" si="15"/>
        <v>0</v>
      </c>
      <c r="M44" s="38">
        <f t="shared" si="16"/>
        <v>0</v>
      </c>
      <c r="N44" s="38">
        <f t="shared" si="17"/>
        <v>0</v>
      </c>
      <c r="O44" s="38" t="e">
        <f t="shared" si="18"/>
        <v>#DIV/0!</v>
      </c>
      <c r="P44" s="38" t="e">
        <f t="shared" si="19"/>
        <v>#DIV/0!</v>
      </c>
      <c r="Q44" s="38" t="e">
        <f t="shared" si="20"/>
        <v>#DIV/0!</v>
      </c>
      <c r="R44" s="24" t="e">
        <f t="shared" si="21"/>
        <v>#DIV/0!</v>
      </c>
      <c r="V44" s="13" t="s">
        <v>159</v>
      </c>
      <c r="W44" s="296">
        <v>0.57279224547730412</v>
      </c>
      <c r="X44" s="296">
        <v>0.44060941959791755</v>
      </c>
      <c r="Y44" s="296">
        <v>0.29373964064376679</v>
      </c>
      <c r="Z44" s="95">
        <f>'Yield-data'!F25</f>
        <v>0</v>
      </c>
      <c r="AA44" s="9">
        <f>Z44*'Area&amp;production data'!I25</f>
        <v>0</v>
      </c>
      <c r="AB44" s="206">
        <v>0.3</v>
      </c>
      <c r="AC44" s="206">
        <v>0.5</v>
      </c>
      <c r="AD44" s="95">
        <f t="shared" si="3"/>
        <v>2.5646151868841116E-14</v>
      </c>
      <c r="AE44" s="9">
        <f t="shared" si="4"/>
        <v>-1.4083129040720621E-7</v>
      </c>
      <c r="AF44" s="95">
        <f t="shared" si="5"/>
        <v>0</v>
      </c>
    </row>
    <row r="45" spans="1:41" x14ac:dyDescent="0.25">
      <c r="A45" s="13" t="s">
        <v>144</v>
      </c>
      <c r="B45" s="67">
        <f>'Area&amp;production data'!I10</f>
        <v>0</v>
      </c>
      <c r="C45" s="169">
        <f>'Area&amp;production data'!BI10</f>
        <v>0</v>
      </c>
      <c r="D45" s="169">
        <f>'Area&amp;production data'!BJ10</f>
        <v>0</v>
      </c>
      <c r="E45" s="169">
        <f>'Area&amp;production data'!BK10</f>
        <v>0</v>
      </c>
      <c r="F45" s="25">
        <f t="shared" si="9"/>
        <v>0</v>
      </c>
      <c r="G45" s="180">
        <f t="shared" si="10"/>
        <v>0</v>
      </c>
      <c r="H45" s="180">
        <f t="shared" si="11"/>
        <v>0.99962765657567143</v>
      </c>
      <c r="I45" s="180">
        <f t="shared" si="12"/>
        <v>2.427667225076211</v>
      </c>
      <c r="J45" s="81">
        <f t="shared" si="13"/>
        <v>0</v>
      </c>
      <c r="K45" s="38">
        <f t="shared" si="14"/>
        <v>0</v>
      </c>
      <c r="L45" s="38">
        <f t="shared" si="15"/>
        <v>0</v>
      </c>
      <c r="M45" s="38">
        <f t="shared" si="16"/>
        <v>0</v>
      </c>
      <c r="N45" s="38">
        <f t="shared" si="17"/>
        <v>0</v>
      </c>
      <c r="O45" s="38" t="e">
        <f t="shared" si="18"/>
        <v>#DIV/0!</v>
      </c>
      <c r="P45" s="38" t="e">
        <f t="shared" si="19"/>
        <v>#DIV/0!</v>
      </c>
      <c r="Q45" s="38" t="e">
        <f t="shared" si="20"/>
        <v>#DIV/0!</v>
      </c>
      <c r="R45" s="24" t="e">
        <f t="shared" si="21"/>
        <v>#DIV/0!</v>
      </c>
      <c r="V45" s="13" t="s">
        <v>160</v>
      </c>
      <c r="W45" s="296">
        <v>0.37974366177145552</v>
      </c>
      <c r="X45" s="296">
        <v>0.29211044164485661</v>
      </c>
      <c r="Y45" s="296">
        <v>0.19474029330536302</v>
      </c>
      <c r="Z45" s="95">
        <f>'Yield-data'!F26</f>
        <v>0</v>
      </c>
      <c r="AA45" s="9">
        <f>Z45*'Area&amp;production data'!I26</f>
        <v>0</v>
      </c>
      <c r="AB45" s="206">
        <v>0.3</v>
      </c>
      <c r="AC45" s="206">
        <v>0.5</v>
      </c>
      <c r="AD45" s="95">
        <f t="shared" si="3"/>
        <v>3.0000003231611672E-7</v>
      </c>
      <c r="AE45" s="9">
        <f t="shared" si="4"/>
        <v>8.6618544559158295E-9</v>
      </c>
      <c r="AF45" s="95">
        <f t="shared" si="5"/>
        <v>0</v>
      </c>
    </row>
    <row r="46" spans="1:41" x14ac:dyDescent="0.25">
      <c r="A46" s="13" t="s">
        <v>145</v>
      </c>
      <c r="B46" s="67">
        <f>'Area&amp;production data'!I11</f>
        <v>0</v>
      </c>
      <c r="C46" s="169">
        <f>'Area&amp;production data'!BI11</f>
        <v>0</v>
      </c>
      <c r="D46" s="169">
        <f>'Area&amp;production data'!BJ11</f>
        <v>0</v>
      </c>
      <c r="E46" s="169">
        <f>'Area&amp;production data'!BK11</f>
        <v>0</v>
      </c>
      <c r="F46" s="25">
        <f t="shared" si="9"/>
        <v>0</v>
      </c>
      <c r="G46" s="180">
        <f t="shared" si="10"/>
        <v>0</v>
      </c>
      <c r="H46" s="180">
        <f t="shared" si="11"/>
        <v>0.13511761833348856</v>
      </c>
      <c r="I46" s="180">
        <f t="shared" si="12"/>
        <v>0.32814265025308481</v>
      </c>
      <c r="J46" s="81">
        <f t="shared" si="13"/>
        <v>0</v>
      </c>
      <c r="K46" s="38">
        <f t="shared" si="14"/>
        <v>0</v>
      </c>
      <c r="L46" s="38">
        <f t="shared" si="15"/>
        <v>0</v>
      </c>
      <c r="M46" s="38">
        <f t="shared" si="16"/>
        <v>0</v>
      </c>
      <c r="N46" s="38">
        <f t="shared" si="17"/>
        <v>0</v>
      </c>
      <c r="O46" s="38" t="e">
        <f t="shared" si="18"/>
        <v>#DIV/0!</v>
      </c>
      <c r="P46" s="38" t="e">
        <f t="shared" si="19"/>
        <v>#DIV/0!</v>
      </c>
      <c r="Q46" s="38" t="e">
        <f t="shared" si="20"/>
        <v>#DIV/0!</v>
      </c>
      <c r="R46" s="24" t="e">
        <f t="shared" si="21"/>
        <v>#DIV/0!</v>
      </c>
      <c r="V46" s="13" t="s">
        <v>161</v>
      </c>
      <c r="W46" s="296">
        <v>5.8311956531114717</v>
      </c>
      <c r="X46" s="296">
        <v>4.4855354200308</v>
      </c>
      <c r="Y46" s="296">
        <v>2.9903571466796595</v>
      </c>
      <c r="Z46" s="95">
        <f>'Yield-data'!F27</f>
        <v>0</v>
      </c>
      <c r="AA46" s="9">
        <f>Z46*'Area&amp;production data'!I27</f>
        <v>0</v>
      </c>
      <c r="AB46" s="206">
        <v>0.3</v>
      </c>
      <c r="AC46" s="206">
        <v>0.5</v>
      </c>
      <c r="AD46" s="95">
        <f t="shared" si="3"/>
        <v>-8.7599033637975054E-8</v>
      </c>
      <c r="AE46" s="9">
        <f t="shared" si="4"/>
        <v>-1.0031868252768916E-7</v>
      </c>
      <c r="AF46" s="95">
        <f t="shared" si="5"/>
        <v>0</v>
      </c>
    </row>
    <row r="47" spans="1:41" x14ac:dyDescent="0.25">
      <c r="A47" s="13" t="s">
        <v>146</v>
      </c>
      <c r="B47" s="67">
        <f>'Area&amp;production data'!I12</f>
        <v>0</v>
      </c>
      <c r="C47" s="169">
        <f>'Area&amp;production data'!BI12</f>
        <v>0</v>
      </c>
      <c r="D47" s="169">
        <f>'Area&amp;production data'!BJ12</f>
        <v>0</v>
      </c>
      <c r="E47" s="169">
        <f>'Area&amp;production data'!BK12</f>
        <v>0</v>
      </c>
      <c r="F47" s="25">
        <f t="shared" si="9"/>
        <v>0</v>
      </c>
      <c r="G47" s="180">
        <f t="shared" si="10"/>
        <v>0</v>
      </c>
      <c r="H47" s="180">
        <f t="shared" si="11"/>
        <v>0.4694591313867913</v>
      </c>
      <c r="I47" s="180">
        <f t="shared" si="12"/>
        <v>1.140115039131673</v>
      </c>
      <c r="J47" s="81">
        <f t="shared" si="13"/>
        <v>0</v>
      </c>
      <c r="K47" s="38">
        <f t="shared" si="14"/>
        <v>0</v>
      </c>
      <c r="L47" s="38">
        <f t="shared" si="15"/>
        <v>0</v>
      </c>
      <c r="M47" s="38">
        <f t="shared" si="16"/>
        <v>0</v>
      </c>
      <c r="N47" s="38">
        <f t="shared" si="17"/>
        <v>0</v>
      </c>
      <c r="O47" s="38" t="e">
        <f t="shared" si="18"/>
        <v>#DIV/0!</v>
      </c>
      <c r="P47" s="38" t="e">
        <f t="shared" si="19"/>
        <v>#DIV/0!</v>
      </c>
      <c r="Q47" s="38" t="e">
        <f t="shared" si="20"/>
        <v>#DIV/0!</v>
      </c>
      <c r="R47" s="24" t="e">
        <f t="shared" si="21"/>
        <v>#DIV/0!</v>
      </c>
      <c r="V47" s="13" t="s">
        <v>162</v>
      </c>
      <c r="W47" s="296">
        <v>6.0549251875921204</v>
      </c>
      <c r="X47" s="296">
        <v>4.65763489628395</v>
      </c>
      <c r="Y47" s="296">
        <v>3.1050900222147799</v>
      </c>
      <c r="Z47" s="95">
        <f>'Yield-data'!F28</f>
        <v>0</v>
      </c>
      <c r="AA47" s="9">
        <f>Z47*'Area&amp;production data'!I28</f>
        <v>0</v>
      </c>
      <c r="AB47" s="206">
        <v>0.3</v>
      </c>
      <c r="AC47" s="206">
        <v>0.5</v>
      </c>
      <c r="AD47" s="95">
        <f t="shared" si="3"/>
        <v>-3.8126005685867881E-8</v>
      </c>
      <c r="AE47" s="9">
        <f t="shared" si="4"/>
        <v>-4.413341286868544E-8</v>
      </c>
      <c r="AF47" s="95">
        <f t="shared" si="5"/>
        <v>0</v>
      </c>
    </row>
    <row r="48" spans="1:41" x14ac:dyDescent="0.25">
      <c r="A48" s="13" t="s">
        <v>147</v>
      </c>
      <c r="B48" s="67">
        <f>'Area&amp;production data'!I13</f>
        <v>0</v>
      </c>
      <c r="C48" s="169">
        <f>'Area&amp;production data'!BI13</f>
        <v>0</v>
      </c>
      <c r="D48" s="169">
        <f>'Area&amp;production data'!BJ13</f>
        <v>0</v>
      </c>
      <c r="E48" s="169">
        <f>'Area&amp;production data'!BK13</f>
        <v>0</v>
      </c>
      <c r="F48" s="25">
        <f t="shared" si="9"/>
        <v>0</v>
      </c>
      <c r="G48" s="180">
        <f t="shared" si="10"/>
        <v>0</v>
      </c>
      <c r="H48" s="180">
        <f t="shared" si="11"/>
        <v>0.38967730318139626</v>
      </c>
      <c r="I48" s="180">
        <f t="shared" si="12"/>
        <v>0.94635916821865051</v>
      </c>
      <c r="J48" s="81">
        <f t="shared" si="13"/>
        <v>0</v>
      </c>
      <c r="K48" s="38">
        <f t="shared" si="14"/>
        <v>0</v>
      </c>
      <c r="L48" s="38">
        <f t="shared" si="15"/>
        <v>0</v>
      </c>
      <c r="M48" s="38">
        <f t="shared" si="16"/>
        <v>0</v>
      </c>
      <c r="N48" s="38">
        <f t="shared" si="17"/>
        <v>0</v>
      </c>
      <c r="O48" s="38" t="e">
        <f t="shared" si="18"/>
        <v>#DIV/0!</v>
      </c>
      <c r="P48" s="38" t="e">
        <f t="shared" si="19"/>
        <v>#DIV/0!</v>
      </c>
      <c r="Q48" s="38" t="e">
        <f t="shared" si="20"/>
        <v>#DIV/0!</v>
      </c>
      <c r="R48" s="24" t="e">
        <f t="shared" si="21"/>
        <v>#DIV/0!</v>
      </c>
      <c r="V48" s="447" t="s">
        <v>163</v>
      </c>
      <c r="W48" s="28" t="e">
        <f>SUMPRODUCT($B$40:$B$63,W24:W47)/$B$64</f>
        <v>#DIV/0!</v>
      </c>
      <c r="X48" s="28" t="e">
        <f>SUMPRODUCT($B$40:$B$63,X24:X47)/$B$64</f>
        <v>#DIV/0!</v>
      </c>
      <c r="Y48" s="28" t="e">
        <f>SUMPRODUCT($B$40:$B$63,Y24:Y47)/$B$64</f>
        <v>#DIV/0!</v>
      </c>
      <c r="Z48" s="28" t="e">
        <f>SUMPRODUCT($B$40:$B$63,Z24:Z47)/$B$64</f>
        <v>#DIV/0!</v>
      </c>
      <c r="AA48" s="28" t="e">
        <f>Z48*'Area&amp;production data'!I29</f>
        <v>#DIV/0!</v>
      </c>
      <c r="AB48" s="26" t="e">
        <f>SUMPRODUCT(AB24:AB47,B40:B63)/B64</f>
        <v>#DIV/0!</v>
      </c>
      <c r="AC48" s="26" t="e">
        <f>SUMPRODUCT(AC24:AC47,B40:B63)/B64</f>
        <v>#DIV/0!</v>
      </c>
      <c r="AD48" s="124">
        <f>SUM(AD24:AD47)</f>
        <v>4.0500005551821729</v>
      </c>
      <c r="AE48" s="124">
        <f>SUM(AE24:AE47)</f>
        <v>7.6500006950832189</v>
      </c>
      <c r="AF48" s="124">
        <f>SUM(AF24:AF47)</f>
        <v>0</v>
      </c>
    </row>
    <row r="49" spans="1:30" x14ac:dyDescent="0.25">
      <c r="A49" s="13" t="s">
        <v>148</v>
      </c>
      <c r="B49" s="67">
        <f>'Area&amp;production data'!I14</f>
        <v>0</v>
      </c>
      <c r="C49" s="169">
        <f>'Area&amp;production data'!BI14</f>
        <v>0</v>
      </c>
      <c r="D49" s="169">
        <f>'Area&amp;production data'!BJ14</f>
        <v>0</v>
      </c>
      <c r="E49" s="169">
        <f>'Area&amp;production data'!BK14</f>
        <v>0</v>
      </c>
      <c r="F49" s="25">
        <f t="shared" si="9"/>
        <v>0</v>
      </c>
      <c r="G49" s="180">
        <f t="shared" si="10"/>
        <v>0</v>
      </c>
      <c r="H49" s="180">
        <f t="shared" si="11"/>
        <v>7.2298404761805379E-2</v>
      </c>
      <c r="I49" s="180">
        <f t="shared" si="12"/>
        <v>0.17558184046158543</v>
      </c>
      <c r="J49" s="81">
        <f t="shared" si="13"/>
        <v>0</v>
      </c>
      <c r="K49" s="38">
        <f t="shared" si="14"/>
        <v>0</v>
      </c>
      <c r="L49" s="38">
        <f t="shared" si="15"/>
        <v>0</v>
      </c>
      <c r="M49" s="38">
        <f t="shared" si="16"/>
        <v>0</v>
      </c>
      <c r="N49" s="38">
        <f t="shared" si="17"/>
        <v>0</v>
      </c>
      <c r="O49" s="38" t="e">
        <f t="shared" si="18"/>
        <v>#DIV/0!</v>
      </c>
      <c r="P49" s="38" t="e">
        <f t="shared" si="19"/>
        <v>#DIV/0!</v>
      </c>
      <c r="Q49" s="38" t="e">
        <f t="shared" si="20"/>
        <v>#DIV/0!</v>
      </c>
      <c r="R49" s="24" t="e">
        <f t="shared" si="21"/>
        <v>#DIV/0!</v>
      </c>
      <c r="V49" s="189"/>
      <c r="W49" s="1"/>
      <c r="X49" s="1"/>
      <c r="Y49" s="1"/>
    </row>
    <row r="50" spans="1:30" x14ac:dyDescent="0.25">
      <c r="A50" s="13" t="s">
        <v>149</v>
      </c>
      <c r="B50" s="67">
        <f>'Area&amp;production data'!I15</f>
        <v>0</v>
      </c>
      <c r="C50" s="169">
        <f>'Area&amp;production data'!BI15</f>
        <v>0</v>
      </c>
      <c r="D50" s="169">
        <f>'Area&amp;production data'!BJ15</f>
        <v>0</v>
      </c>
      <c r="E50" s="169">
        <f>'Area&amp;production data'!BK15</f>
        <v>0</v>
      </c>
      <c r="F50" s="25">
        <f t="shared" si="9"/>
        <v>0</v>
      </c>
      <c r="G50" s="180">
        <f t="shared" si="10"/>
        <v>0</v>
      </c>
      <c r="H50" s="180">
        <f t="shared" si="11"/>
        <v>0.33939637677018863</v>
      </c>
      <c r="I50" s="180">
        <f t="shared" si="12"/>
        <v>0.8242485992266253</v>
      </c>
      <c r="J50" s="81">
        <f t="shared" si="13"/>
        <v>0</v>
      </c>
      <c r="K50" s="38">
        <f t="shared" si="14"/>
        <v>0</v>
      </c>
      <c r="L50" s="38">
        <f t="shared" si="15"/>
        <v>0</v>
      </c>
      <c r="M50" s="38">
        <f t="shared" si="16"/>
        <v>0</v>
      </c>
      <c r="N50" s="38">
        <f t="shared" si="17"/>
        <v>0</v>
      </c>
      <c r="O50" s="38" t="e">
        <f t="shared" si="18"/>
        <v>#DIV/0!</v>
      </c>
      <c r="P50" s="38" t="e">
        <f t="shared" si="19"/>
        <v>#DIV/0!</v>
      </c>
      <c r="Q50" s="38" t="e">
        <f t="shared" si="20"/>
        <v>#DIV/0!</v>
      </c>
      <c r="R50" s="24" t="e">
        <f t="shared" si="21"/>
        <v>#DIV/0!</v>
      </c>
      <c r="V50" s="189"/>
      <c r="W50" s="1"/>
      <c r="X50" s="1"/>
      <c r="Y50" s="1"/>
    </row>
    <row r="51" spans="1:30" x14ac:dyDescent="0.25">
      <c r="A51" s="13" t="s">
        <v>150</v>
      </c>
      <c r="B51" s="67">
        <f>'Area&amp;production data'!I16</f>
        <v>0</v>
      </c>
      <c r="C51" s="169">
        <f>'Area&amp;production data'!BI16</f>
        <v>0</v>
      </c>
      <c r="D51" s="169">
        <f>'Area&amp;production data'!BJ16</f>
        <v>0</v>
      </c>
      <c r="E51" s="169">
        <f>'Area&amp;production data'!BK16</f>
        <v>0</v>
      </c>
      <c r="F51" s="25">
        <f t="shared" si="9"/>
        <v>0</v>
      </c>
      <c r="G51" s="180">
        <f t="shared" si="10"/>
        <v>0</v>
      </c>
      <c r="H51" s="180">
        <f t="shared" si="11"/>
        <v>0.21076566156510346</v>
      </c>
      <c r="I51" s="180">
        <f t="shared" si="12"/>
        <v>0.51185899094411458</v>
      </c>
      <c r="J51" s="81">
        <f t="shared" si="13"/>
        <v>0</v>
      </c>
      <c r="K51" s="38">
        <f t="shared" si="14"/>
        <v>0</v>
      </c>
      <c r="L51" s="38">
        <f t="shared" si="15"/>
        <v>0</v>
      </c>
      <c r="M51" s="38">
        <f t="shared" si="16"/>
        <v>0</v>
      </c>
      <c r="N51" s="38">
        <f t="shared" si="17"/>
        <v>0</v>
      </c>
      <c r="O51" s="38" t="e">
        <f t="shared" si="18"/>
        <v>#DIV/0!</v>
      </c>
      <c r="P51" s="38" t="e">
        <f t="shared" si="19"/>
        <v>#DIV/0!</v>
      </c>
      <c r="Q51" s="38" t="e">
        <f t="shared" si="20"/>
        <v>#DIV/0!</v>
      </c>
      <c r="R51" s="24" t="e">
        <f t="shared" si="21"/>
        <v>#DIV/0!</v>
      </c>
      <c r="V51" s="189"/>
      <c r="W51" s="1"/>
      <c r="X51" s="1"/>
      <c r="Y51" s="1"/>
    </row>
    <row r="52" spans="1:30" x14ac:dyDescent="0.25">
      <c r="A52" s="13" t="s">
        <v>151</v>
      </c>
      <c r="B52" s="67">
        <f>'Area&amp;production data'!I17</f>
        <v>0</v>
      </c>
      <c r="C52" s="169">
        <f>'Area&amp;production data'!BI17</f>
        <v>0</v>
      </c>
      <c r="D52" s="169">
        <f>'Area&amp;production data'!BJ17</f>
        <v>0</v>
      </c>
      <c r="E52" s="169">
        <f>'Area&amp;production data'!BK17</f>
        <v>0</v>
      </c>
      <c r="F52" s="25">
        <f t="shared" si="9"/>
        <v>0</v>
      </c>
      <c r="G52" s="180">
        <f t="shared" si="10"/>
        <v>0</v>
      </c>
      <c r="H52" s="180">
        <f t="shared" si="11"/>
        <v>0.1606884572355638</v>
      </c>
      <c r="I52" s="180">
        <f t="shared" si="12"/>
        <v>0.33923118812987957</v>
      </c>
      <c r="J52" s="81">
        <f t="shared" si="13"/>
        <v>0</v>
      </c>
      <c r="K52" s="38">
        <f t="shared" si="14"/>
        <v>0</v>
      </c>
      <c r="L52" s="38">
        <f t="shared" si="15"/>
        <v>0</v>
      </c>
      <c r="M52" s="38">
        <f t="shared" si="16"/>
        <v>0</v>
      </c>
      <c r="N52" s="38">
        <f t="shared" si="17"/>
        <v>0</v>
      </c>
      <c r="O52" s="38" t="e">
        <f t="shared" si="18"/>
        <v>#DIV/0!</v>
      </c>
      <c r="P52" s="38" t="e">
        <f t="shared" si="19"/>
        <v>#DIV/0!</v>
      </c>
      <c r="Q52" s="38" t="e">
        <f t="shared" si="20"/>
        <v>#DIV/0!</v>
      </c>
      <c r="R52" s="24" t="e">
        <f t="shared" si="21"/>
        <v>#DIV/0!</v>
      </c>
      <c r="V52" s="189"/>
      <c r="W52" s="1"/>
      <c r="X52" s="1"/>
      <c r="Y52" s="1"/>
    </row>
    <row r="53" spans="1:30" x14ac:dyDescent="0.25">
      <c r="A53" s="13" t="s">
        <v>152</v>
      </c>
      <c r="B53" s="67">
        <f>'Area&amp;production data'!I18</f>
        <v>0</v>
      </c>
      <c r="C53" s="169">
        <f>'Area&amp;production data'!BI18</f>
        <v>0</v>
      </c>
      <c r="D53" s="169">
        <f>'Area&amp;production data'!BJ18</f>
        <v>0</v>
      </c>
      <c r="E53" s="169">
        <f>'Area&amp;production data'!BK18</f>
        <v>0</v>
      </c>
      <c r="F53" s="25">
        <f t="shared" si="9"/>
        <v>0</v>
      </c>
      <c r="G53" s="180">
        <f t="shared" si="10"/>
        <v>0</v>
      </c>
      <c r="H53" s="180">
        <f t="shared" si="11"/>
        <v>8.5272768955804434E-2</v>
      </c>
      <c r="I53" s="180">
        <f t="shared" si="12"/>
        <v>0.18002026015813705</v>
      </c>
      <c r="J53" s="81">
        <f t="shared" si="13"/>
        <v>0</v>
      </c>
      <c r="K53" s="38">
        <f t="shared" si="14"/>
        <v>0</v>
      </c>
      <c r="L53" s="38">
        <f t="shared" si="15"/>
        <v>0</v>
      </c>
      <c r="M53" s="38">
        <f t="shared" si="16"/>
        <v>0</v>
      </c>
      <c r="N53" s="38">
        <f t="shared" si="17"/>
        <v>0</v>
      </c>
      <c r="O53" s="38" t="e">
        <f t="shared" si="18"/>
        <v>#DIV/0!</v>
      </c>
      <c r="P53" s="38" t="e">
        <f t="shared" si="19"/>
        <v>#DIV/0!</v>
      </c>
      <c r="Q53" s="38" t="e">
        <f t="shared" si="20"/>
        <v>#DIV/0!</v>
      </c>
      <c r="R53" s="24" t="e">
        <f t="shared" si="21"/>
        <v>#DIV/0!</v>
      </c>
    </row>
    <row r="54" spans="1:30" x14ac:dyDescent="0.25">
      <c r="A54" s="13" t="s">
        <v>153</v>
      </c>
      <c r="B54" s="67">
        <f>'Area&amp;production data'!I19</f>
        <v>0</v>
      </c>
      <c r="C54" s="169">
        <f>'Area&amp;production data'!BI19</f>
        <v>0</v>
      </c>
      <c r="D54" s="169">
        <f>'Area&amp;production data'!BJ19</f>
        <v>0</v>
      </c>
      <c r="E54" s="169">
        <f>'Area&amp;production data'!BK19</f>
        <v>0</v>
      </c>
      <c r="F54" s="25">
        <f t="shared" si="9"/>
        <v>0</v>
      </c>
      <c r="G54" s="180">
        <f t="shared" si="10"/>
        <v>0</v>
      </c>
      <c r="H54" s="180">
        <f t="shared" si="11"/>
        <v>7.6705721196642374E-2</v>
      </c>
      <c r="I54" s="180">
        <f t="shared" si="12"/>
        <v>0.16193432747465164</v>
      </c>
      <c r="J54" s="81">
        <f t="shared" si="13"/>
        <v>0</v>
      </c>
      <c r="K54" s="38">
        <f t="shared" si="14"/>
        <v>0</v>
      </c>
      <c r="L54" s="38">
        <f t="shared" si="15"/>
        <v>0</v>
      </c>
      <c r="M54" s="38">
        <f t="shared" si="16"/>
        <v>0</v>
      </c>
      <c r="N54" s="38">
        <f t="shared" si="17"/>
        <v>0</v>
      </c>
      <c r="O54" s="38" t="e">
        <f t="shared" si="18"/>
        <v>#DIV/0!</v>
      </c>
      <c r="P54" s="38" t="e">
        <f t="shared" si="19"/>
        <v>#DIV/0!</v>
      </c>
      <c r="Q54" s="38" t="e">
        <f t="shared" si="20"/>
        <v>#DIV/0!</v>
      </c>
      <c r="R54" s="24" t="e">
        <f t="shared" si="21"/>
        <v>#DIV/0!</v>
      </c>
    </row>
    <row r="55" spans="1:30" x14ac:dyDescent="0.25">
      <c r="A55" s="13" t="s">
        <v>154</v>
      </c>
      <c r="B55" s="67">
        <f>'Area&amp;production data'!I20</f>
        <v>0</v>
      </c>
      <c r="C55" s="169">
        <f>'Area&amp;production data'!BI20</f>
        <v>0</v>
      </c>
      <c r="D55" s="169">
        <f>'Area&amp;production data'!BJ20</f>
        <v>0</v>
      </c>
      <c r="E55" s="169">
        <f>'Area&amp;production data'!BK20</f>
        <v>0</v>
      </c>
      <c r="F55" s="25">
        <f t="shared" si="9"/>
        <v>0</v>
      </c>
      <c r="G55" s="180">
        <f t="shared" si="10"/>
        <v>0</v>
      </c>
      <c r="H55" s="180">
        <f t="shared" si="11"/>
        <v>0.34083963838691789</v>
      </c>
      <c r="I55" s="180">
        <f t="shared" si="12"/>
        <v>0.71955039256420628</v>
      </c>
      <c r="J55" s="81">
        <f t="shared" si="13"/>
        <v>0</v>
      </c>
      <c r="K55" s="38">
        <f t="shared" si="14"/>
        <v>0</v>
      </c>
      <c r="L55" s="38">
        <f t="shared" si="15"/>
        <v>0</v>
      </c>
      <c r="M55" s="38">
        <f t="shared" si="16"/>
        <v>0</v>
      </c>
      <c r="N55" s="38">
        <f t="shared" si="17"/>
        <v>0</v>
      </c>
      <c r="O55" s="38" t="e">
        <f t="shared" si="18"/>
        <v>#DIV/0!</v>
      </c>
      <c r="P55" s="38" t="e">
        <f t="shared" si="19"/>
        <v>#DIV/0!</v>
      </c>
      <c r="Q55" s="38" t="e">
        <f t="shared" si="20"/>
        <v>#DIV/0!</v>
      </c>
      <c r="R55" s="24" t="e">
        <f t="shared" si="21"/>
        <v>#DIV/0!</v>
      </c>
    </row>
    <row r="56" spans="1:30" x14ac:dyDescent="0.25">
      <c r="A56" s="13" t="s">
        <v>155</v>
      </c>
      <c r="B56" s="67">
        <f>'Area&amp;production data'!I21</f>
        <v>0</v>
      </c>
      <c r="C56" s="169">
        <f>'Area&amp;production data'!BI21</f>
        <v>0</v>
      </c>
      <c r="D56" s="169">
        <f>'Area&amp;production data'!BJ21</f>
        <v>0</v>
      </c>
      <c r="E56" s="169">
        <f>'Area&amp;production data'!BK21</f>
        <v>0</v>
      </c>
      <c r="F56" s="25">
        <f t="shared" si="9"/>
        <v>0</v>
      </c>
      <c r="G56" s="180">
        <f t="shared" si="10"/>
        <v>0</v>
      </c>
      <c r="H56" s="180">
        <f t="shared" si="11"/>
        <v>0.26814337232559593</v>
      </c>
      <c r="I56" s="180">
        <f t="shared" si="12"/>
        <v>0.56608045917288519</v>
      </c>
      <c r="J56" s="81">
        <f t="shared" si="13"/>
        <v>0</v>
      </c>
      <c r="K56" s="38">
        <f t="shared" si="14"/>
        <v>0</v>
      </c>
      <c r="L56" s="38">
        <f t="shared" si="15"/>
        <v>0</v>
      </c>
      <c r="M56" s="38">
        <f t="shared" si="16"/>
        <v>0</v>
      </c>
      <c r="N56" s="38">
        <f t="shared" si="17"/>
        <v>0</v>
      </c>
      <c r="O56" s="38" t="e">
        <f t="shared" si="18"/>
        <v>#DIV/0!</v>
      </c>
      <c r="P56" s="38" t="e">
        <f t="shared" si="19"/>
        <v>#DIV/0!</v>
      </c>
      <c r="Q56" s="38" t="e">
        <f t="shared" si="20"/>
        <v>#DIV/0!</v>
      </c>
      <c r="R56" s="24" t="e">
        <f t="shared" si="21"/>
        <v>#DIV/0!</v>
      </c>
    </row>
    <row r="57" spans="1:30" x14ac:dyDescent="0.25">
      <c r="A57" s="13" t="s">
        <v>156</v>
      </c>
      <c r="B57" s="67">
        <f>'Area&amp;production data'!I22</f>
        <v>0</v>
      </c>
      <c r="C57" s="169">
        <f>'Area&amp;production data'!BI22</f>
        <v>0</v>
      </c>
      <c r="D57" s="169">
        <f>'Area&amp;production data'!BJ22</f>
        <v>0</v>
      </c>
      <c r="E57" s="169">
        <f>'Area&amp;production data'!BK22</f>
        <v>0</v>
      </c>
      <c r="F57" s="25">
        <f t="shared" si="9"/>
        <v>0</v>
      </c>
      <c r="G57" s="180">
        <f t="shared" si="10"/>
        <v>0</v>
      </c>
      <c r="H57" s="180">
        <f t="shared" si="11"/>
        <v>0.35521557823229255</v>
      </c>
      <c r="I57" s="180">
        <f t="shared" si="12"/>
        <v>0.74989956131598268</v>
      </c>
      <c r="J57" s="81">
        <f t="shared" si="13"/>
        <v>0</v>
      </c>
      <c r="K57" s="38">
        <f t="shared" si="14"/>
        <v>0</v>
      </c>
      <c r="L57" s="38">
        <f t="shared" si="15"/>
        <v>0</v>
      </c>
      <c r="M57" s="38">
        <f t="shared" si="16"/>
        <v>0</v>
      </c>
      <c r="N57" s="38">
        <f t="shared" si="17"/>
        <v>0</v>
      </c>
      <c r="O57" s="38" t="e">
        <f t="shared" si="18"/>
        <v>#DIV/0!</v>
      </c>
      <c r="P57" s="38" t="e">
        <f t="shared" si="19"/>
        <v>#DIV/0!</v>
      </c>
      <c r="Q57" s="38" t="e">
        <f t="shared" si="20"/>
        <v>#DIV/0!</v>
      </c>
      <c r="R57" s="24" t="e">
        <f t="shared" si="21"/>
        <v>#DIV/0!</v>
      </c>
    </row>
    <row r="58" spans="1:30" x14ac:dyDescent="0.25">
      <c r="A58" s="13" t="s">
        <v>157</v>
      </c>
      <c r="B58" s="67">
        <f>'Area&amp;production data'!I23</f>
        <v>0</v>
      </c>
      <c r="C58" s="169">
        <f>'Area&amp;production data'!BI23</f>
        <v>0</v>
      </c>
      <c r="D58" s="169">
        <f>'Area&amp;production data'!BJ23</f>
        <v>0</v>
      </c>
      <c r="E58" s="169">
        <f>'Area&amp;production data'!BK23</f>
        <v>0</v>
      </c>
      <c r="F58" s="25">
        <f t="shared" si="9"/>
        <v>0</v>
      </c>
      <c r="G58" s="180">
        <f t="shared" si="10"/>
        <v>0</v>
      </c>
      <c r="H58" s="180">
        <f t="shared" si="11"/>
        <v>0.1480114531435554</v>
      </c>
      <c r="I58" s="180">
        <f t="shared" si="12"/>
        <v>0.31246853530342644</v>
      </c>
      <c r="J58" s="81">
        <f t="shared" si="13"/>
        <v>0</v>
      </c>
      <c r="K58" s="38">
        <f t="shared" si="14"/>
        <v>0</v>
      </c>
      <c r="L58" s="38">
        <f t="shared" si="15"/>
        <v>0</v>
      </c>
      <c r="M58" s="38">
        <f t="shared" si="16"/>
        <v>0</v>
      </c>
      <c r="N58" s="38">
        <f t="shared" si="17"/>
        <v>0</v>
      </c>
      <c r="O58" s="38" t="e">
        <f t="shared" si="18"/>
        <v>#DIV/0!</v>
      </c>
      <c r="P58" s="38" t="e">
        <f t="shared" si="19"/>
        <v>#DIV/0!</v>
      </c>
      <c r="Q58" s="38" t="e">
        <f t="shared" si="20"/>
        <v>#DIV/0!</v>
      </c>
      <c r="R58" s="24" t="e">
        <f t="shared" si="21"/>
        <v>#DIV/0!</v>
      </c>
    </row>
    <row r="59" spans="1:30" x14ac:dyDescent="0.25">
      <c r="A59" s="13" t="s">
        <v>158</v>
      </c>
      <c r="B59" s="67">
        <f>'Area&amp;production data'!I24</f>
        <v>0</v>
      </c>
      <c r="C59" s="169">
        <f>'Area&amp;production data'!BI24</f>
        <v>0</v>
      </c>
      <c r="D59" s="169">
        <f>'Area&amp;production data'!BJ24</f>
        <v>0</v>
      </c>
      <c r="E59" s="169">
        <f>'Area&amp;production data'!BK24</f>
        <v>0</v>
      </c>
      <c r="F59" s="25">
        <f t="shared" si="9"/>
        <v>0</v>
      </c>
      <c r="G59" s="180">
        <f t="shared" si="10"/>
        <v>0</v>
      </c>
      <c r="H59" s="180">
        <f t="shared" si="11"/>
        <v>0.42394152346043579</v>
      </c>
      <c r="I59" s="180">
        <f t="shared" si="12"/>
        <v>0.89498759864654642</v>
      </c>
      <c r="J59" s="81">
        <f t="shared" si="13"/>
        <v>0</v>
      </c>
      <c r="K59" s="38">
        <f t="shared" si="14"/>
        <v>0</v>
      </c>
      <c r="L59" s="38">
        <f t="shared" si="15"/>
        <v>0</v>
      </c>
      <c r="M59" s="38">
        <f t="shared" si="16"/>
        <v>0</v>
      </c>
      <c r="N59" s="38">
        <f t="shared" si="17"/>
        <v>0</v>
      </c>
      <c r="O59" s="38" t="e">
        <f t="shared" si="18"/>
        <v>#DIV/0!</v>
      </c>
      <c r="P59" s="38" t="e">
        <f t="shared" si="19"/>
        <v>#DIV/0!</v>
      </c>
      <c r="Q59" s="38" t="e">
        <f t="shared" si="20"/>
        <v>#DIV/0!</v>
      </c>
      <c r="R59" s="24" t="e">
        <f t="shared" si="21"/>
        <v>#DIV/0!</v>
      </c>
    </row>
    <row r="60" spans="1:30" x14ac:dyDescent="0.25">
      <c r="A60" s="13" t="s">
        <v>159</v>
      </c>
      <c r="B60" s="67">
        <f>'Area&amp;production data'!I25</f>
        <v>0</v>
      </c>
      <c r="C60" s="169">
        <f>'Area&amp;production data'!BI25</f>
        <v>0</v>
      </c>
      <c r="D60" s="169">
        <f>'Area&amp;production data'!BJ25</f>
        <v>0</v>
      </c>
      <c r="E60" s="169">
        <f>'Area&amp;production data'!BK25</f>
        <v>0</v>
      </c>
      <c r="F60" s="25">
        <f t="shared" si="9"/>
        <v>0</v>
      </c>
      <c r="G60" s="180">
        <f t="shared" si="10"/>
        <v>0</v>
      </c>
      <c r="H60" s="180">
        <f t="shared" si="11"/>
        <v>0.13218282587938657</v>
      </c>
      <c r="I60" s="180">
        <f t="shared" si="12"/>
        <v>0.27905260483353733</v>
      </c>
      <c r="J60" s="81">
        <f t="shared" si="13"/>
        <v>0</v>
      </c>
      <c r="K60" s="38">
        <f t="shared" si="14"/>
        <v>0</v>
      </c>
      <c r="L60" s="38">
        <f t="shared" si="15"/>
        <v>0</v>
      </c>
      <c r="M60" s="38">
        <f t="shared" si="16"/>
        <v>0</v>
      </c>
      <c r="N60" s="38">
        <f t="shared" si="17"/>
        <v>0</v>
      </c>
      <c r="O60" s="38" t="e">
        <f t="shared" si="18"/>
        <v>#DIV/0!</v>
      </c>
      <c r="P60" s="38" t="e">
        <f t="shared" si="19"/>
        <v>#DIV/0!</v>
      </c>
      <c r="Q60" s="38" t="e">
        <f t="shared" si="20"/>
        <v>#DIV/0!</v>
      </c>
      <c r="R60" s="24" t="e">
        <f t="shared" si="21"/>
        <v>#DIV/0!</v>
      </c>
    </row>
    <row r="61" spans="1:30" x14ac:dyDescent="0.25">
      <c r="A61" s="13" t="s">
        <v>160</v>
      </c>
      <c r="B61" s="67">
        <f>'Area&amp;production data'!I26</f>
        <v>0</v>
      </c>
      <c r="C61" s="169">
        <f>'Area&amp;production data'!BI26</f>
        <v>0</v>
      </c>
      <c r="D61" s="169">
        <f>'Area&amp;production data'!BJ26</f>
        <v>0</v>
      </c>
      <c r="E61" s="169">
        <f>'Area&amp;production data'!BK26</f>
        <v>0</v>
      </c>
      <c r="F61" s="25">
        <f t="shared" si="9"/>
        <v>0</v>
      </c>
      <c r="G61" s="180">
        <f t="shared" si="10"/>
        <v>0</v>
      </c>
      <c r="H61" s="180">
        <f t="shared" si="11"/>
        <v>8.763322012659891E-2</v>
      </c>
      <c r="I61" s="180">
        <f t="shared" si="12"/>
        <v>0.1850033684660925</v>
      </c>
      <c r="J61" s="81">
        <f t="shared" si="13"/>
        <v>0</v>
      </c>
      <c r="K61" s="38">
        <f t="shared" si="14"/>
        <v>0</v>
      </c>
      <c r="L61" s="38">
        <f t="shared" si="15"/>
        <v>0</v>
      </c>
      <c r="M61" s="38">
        <f t="shared" si="16"/>
        <v>0</v>
      </c>
      <c r="N61" s="38">
        <f t="shared" si="17"/>
        <v>0</v>
      </c>
      <c r="O61" s="38" t="e">
        <f t="shared" si="18"/>
        <v>#DIV/0!</v>
      </c>
      <c r="P61" s="38" t="e">
        <f t="shared" si="19"/>
        <v>#DIV/0!</v>
      </c>
      <c r="Q61" s="38" t="e">
        <f t="shared" si="20"/>
        <v>#DIV/0!</v>
      </c>
      <c r="R61" s="24" t="e">
        <f t="shared" si="21"/>
        <v>#DIV/0!</v>
      </c>
      <c r="T61" s="1"/>
      <c r="W61" s="1"/>
      <c r="X61" s="1"/>
      <c r="Y61" s="1"/>
    </row>
    <row r="62" spans="1:30" x14ac:dyDescent="0.25">
      <c r="A62" s="13" t="s">
        <v>161</v>
      </c>
      <c r="B62" s="67">
        <f>'Area&amp;production data'!I27</f>
        <v>0</v>
      </c>
      <c r="C62" s="169">
        <f>'Area&amp;production data'!BI27</f>
        <v>0</v>
      </c>
      <c r="D62" s="169">
        <f>'Area&amp;production data'!BJ27</f>
        <v>0</v>
      </c>
      <c r="E62" s="169">
        <f>'Area&amp;production data'!BK27</f>
        <v>0</v>
      </c>
      <c r="F62" s="25">
        <f t="shared" si="9"/>
        <v>0</v>
      </c>
      <c r="G62" s="180">
        <f t="shared" si="10"/>
        <v>0</v>
      </c>
      <c r="H62" s="180">
        <f t="shared" si="11"/>
        <v>1.3456602330806717</v>
      </c>
      <c r="I62" s="180">
        <f t="shared" si="12"/>
        <v>2.8408385064318122</v>
      </c>
      <c r="J62" s="81">
        <f t="shared" si="13"/>
        <v>0</v>
      </c>
      <c r="K62" s="38">
        <f t="shared" si="14"/>
        <v>0</v>
      </c>
      <c r="L62" s="38">
        <f t="shared" si="15"/>
        <v>0</v>
      </c>
      <c r="M62" s="38">
        <f t="shared" si="16"/>
        <v>0</v>
      </c>
      <c r="N62" s="38">
        <f t="shared" si="17"/>
        <v>0</v>
      </c>
      <c r="O62" s="38" t="e">
        <f t="shared" si="18"/>
        <v>#DIV/0!</v>
      </c>
      <c r="P62" s="38" t="e">
        <f t="shared" si="19"/>
        <v>#DIV/0!</v>
      </c>
      <c r="Q62" s="38" t="e">
        <f t="shared" si="20"/>
        <v>#DIV/0!</v>
      </c>
      <c r="R62" s="24" t="e">
        <f t="shared" si="21"/>
        <v>#DIV/0!</v>
      </c>
      <c r="U62" s="1"/>
      <c r="V62" s="1"/>
      <c r="W62" s="126"/>
    </row>
    <row r="63" spans="1:30" s="1" customFormat="1" x14ac:dyDescent="0.25">
      <c r="A63" s="13" t="s">
        <v>162</v>
      </c>
      <c r="B63" s="67">
        <f>'Area&amp;production data'!I28</f>
        <v>0</v>
      </c>
      <c r="C63" s="169">
        <f>'Area&amp;production data'!BI28</f>
        <v>0</v>
      </c>
      <c r="D63" s="169">
        <f>'Area&amp;production data'!BJ28</f>
        <v>0</v>
      </c>
      <c r="E63" s="169">
        <f>'Area&amp;production data'!BK28</f>
        <v>0</v>
      </c>
      <c r="F63" s="25">
        <f t="shared" si="9"/>
        <v>0</v>
      </c>
      <c r="G63" s="180">
        <f t="shared" si="10"/>
        <v>0</v>
      </c>
      <c r="H63" s="180">
        <f t="shared" si="11"/>
        <v>1.3972902913081704</v>
      </c>
      <c r="I63" s="180">
        <f t="shared" si="12"/>
        <v>2.9498351653773405</v>
      </c>
      <c r="J63" s="81">
        <f t="shared" si="13"/>
        <v>0</v>
      </c>
      <c r="K63" s="38">
        <f t="shared" si="14"/>
        <v>0</v>
      </c>
      <c r="L63" s="38">
        <f t="shared" si="15"/>
        <v>0</v>
      </c>
      <c r="M63" s="38">
        <f t="shared" si="16"/>
        <v>0</v>
      </c>
      <c r="N63" s="38">
        <f t="shared" si="17"/>
        <v>0</v>
      </c>
      <c r="O63" s="38" t="e">
        <f t="shared" si="18"/>
        <v>#DIV/0!</v>
      </c>
      <c r="P63" s="38" t="e">
        <f t="shared" si="19"/>
        <v>#DIV/0!</v>
      </c>
      <c r="Q63" s="38" t="e">
        <f t="shared" si="20"/>
        <v>#DIV/0!</v>
      </c>
      <c r="R63" s="24" t="e">
        <f t="shared" si="21"/>
        <v>#DIV/0!</v>
      </c>
      <c r="S63"/>
      <c r="T63"/>
      <c r="W63" s="126"/>
      <c r="AD63"/>
    </row>
    <row r="64" spans="1:30" x14ac:dyDescent="0.25">
      <c r="A64" s="1" t="s">
        <v>163</v>
      </c>
      <c r="B64" s="24">
        <f>SUM(B40:B63)</f>
        <v>0</v>
      </c>
      <c r="C64" s="51" t="e">
        <f>SUMPRODUCT($B$40:$B$63,C40:C63)/$B$64</f>
        <v>#DIV/0!</v>
      </c>
      <c r="D64" s="51" t="e">
        <f>SUMPRODUCT($B$40:$B$63,D40:D63)/$B$64</f>
        <v>#DIV/0!</v>
      </c>
      <c r="E64" s="51" t="e">
        <f>SUMPRODUCT($B$40:$B$63,E40:E63)/$B$64</f>
        <v>#DIV/0!</v>
      </c>
      <c r="F64" s="27" t="e">
        <f>SUM(C64:E64)</f>
        <v>#DIV/0!</v>
      </c>
      <c r="G64" s="28" t="e">
        <f>SUMPRODUCT($B$40:$B$63,G40:G63)/$B$64</f>
        <v>#DIV/0!</v>
      </c>
      <c r="H64" s="10" t="e">
        <f>SUMPRODUCT($B$40:$B$63,H40:H63)/$B$64</f>
        <v>#DIV/0!</v>
      </c>
      <c r="I64" s="10" t="e">
        <f>SUMPRODUCT($B$40:$B$63,I40:I63)/$B$64</f>
        <v>#DIV/0!</v>
      </c>
      <c r="J64" s="81" t="e">
        <f>SUMPRODUCT(C64:E64,G64:I64)</f>
        <v>#DIV/0!</v>
      </c>
      <c r="K64" s="38">
        <f t="shared" ref="K64:R64" si="22">SUM(K40:K63)</f>
        <v>0</v>
      </c>
      <c r="L64" s="38">
        <f t="shared" si="22"/>
        <v>0</v>
      </c>
      <c r="M64" s="38">
        <f t="shared" si="22"/>
        <v>0</v>
      </c>
      <c r="N64" s="38">
        <f t="shared" si="22"/>
        <v>0</v>
      </c>
      <c r="O64" s="38" t="e">
        <f t="shared" si="22"/>
        <v>#DIV/0!</v>
      </c>
      <c r="P64" s="38" t="e">
        <f t="shared" si="22"/>
        <v>#DIV/0!</v>
      </c>
      <c r="Q64" s="38" t="e">
        <f t="shared" si="22"/>
        <v>#DIV/0!</v>
      </c>
      <c r="R64" s="24" t="e">
        <f t="shared" si="22"/>
        <v>#DIV/0!</v>
      </c>
    </row>
    <row r="65" spans="1:30" x14ac:dyDescent="0.25">
      <c r="A65" s="17" t="s">
        <v>8</v>
      </c>
      <c r="B65" s="29" t="b">
        <f>B64='Area&amp;production data'!I29</f>
        <v>1</v>
      </c>
      <c r="C65" s="842" t="e">
        <f>SUM(C64:E64)=100%</f>
        <v>#DIV/0!</v>
      </c>
      <c r="D65" s="842"/>
      <c r="E65" s="842"/>
      <c r="F65" s="6" t="e">
        <f>F64=100%</f>
        <v>#DIV/0!</v>
      </c>
      <c r="N65" s="29" t="b">
        <f>SUM(K64:M64)=N64</f>
        <v>1</v>
      </c>
      <c r="S65" s="39" t="e">
        <f>SUM(O64:Q64)=R64</f>
        <v>#DIV/0!</v>
      </c>
      <c r="X65" s="39" t="e">
        <f>SUM(O64:Q64)=R64</f>
        <v>#DIV/0!</v>
      </c>
      <c r="AD65" s="1"/>
    </row>
    <row r="66" spans="1:30" x14ac:dyDescent="0.25">
      <c r="A66" s="17"/>
      <c r="C66" s="21"/>
      <c r="D66" s="21"/>
      <c r="E66" s="21"/>
      <c r="N66" s="30" t="e">
        <f>N64/'Area&amp;production data'!Z29</f>
        <v>#DIV/0!</v>
      </c>
    </row>
    <row r="67" spans="1:30" ht="45.95" customHeight="1" x14ac:dyDescent="0.25">
      <c r="A67" s="1" t="s">
        <v>501</v>
      </c>
      <c r="D67" s="3" t="s">
        <v>502</v>
      </c>
      <c r="E67" s="1"/>
      <c r="F67" s="54">
        <v>0</v>
      </c>
      <c r="G67" t="s">
        <v>96</v>
      </c>
      <c r="H67" s="20" t="s">
        <v>464</v>
      </c>
      <c r="O67" s="20" t="s">
        <v>320</v>
      </c>
      <c r="P67" s="20"/>
    </row>
    <row r="68" spans="1:30" ht="39" customHeight="1" x14ac:dyDescent="0.25">
      <c r="A68" s="1" t="s">
        <v>101</v>
      </c>
      <c r="B68" s="814" t="s">
        <v>496</v>
      </c>
      <c r="C68" s="814" t="s">
        <v>497</v>
      </c>
      <c r="D68" s="814"/>
      <c r="E68" s="814"/>
      <c r="F68" s="814"/>
      <c r="G68" s="814" t="s">
        <v>465</v>
      </c>
      <c r="H68" s="814"/>
      <c r="I68" s="814"/>
      <c r="J68" s="814"/>
      <c r="K68" s="814" t="s">
        <v>503</v>
      </c>
      <c r="L68" s="814"/>
      <c r="M68" s="814"/>
      <c r="N68" s="814"/>
      <c r="O68" s="814" t="s">
        <v>504</v>
      </c>
      <c r="P68" s="814"/>
      <c r="Q68" s="814"/>
      <c r="R68" s="814"/>
      <c r="S68" s="17" t="s">
        <v>120</v>
      </c>
      <c r="T68" s="44"/>
      <c r="U68" s="814"/>
      <c r="V68" s="814"/>
      <c r="W68" s="814"/>
    </row>
    <row r="69" spans="1:30" x14ac:dyDescent="0.25">
      <c r="A69" s="1"/>
      <c r="B69" s="814"/>
      <c r="C69" s="1" t="s">
        <v>136</v>
      </c>
      <c r="D69" s="1" t="s">
        <v>137</v>
      </c>
      <c r="E69" s="1" t="s">
        <v>138</v>
      </c>
      <c r="F69" s="1" t="s">
        <v>120</v>
      </c>
      <c r="G69" s="1" t="s">
        <v>136</v>
      </c>
      <c r="H69" s="1" t="s">
        <v>137</v>
      </c>
      <c r="I69" s="1" t="s">
        <v>289</v>
      </c>
      <c r="J69" s="1" t="s">
        <v>120</v>
      </c>
      <c r="K69" s="1" t="s">
        <v>136</v>
      </c>
      <c r="L69" s="1" t="s">
        <v>137</v>
      </c>
      <c r="M69" s="1" t="s">
        <v>289</v>
      </c>
      <c r="N69" s="1" t="s">
        <v>120</v>
      </c>
      <c r="O69" s="1" t="s">
        <v>136</v>
      </c>
      <c r="P69" s="1" t="s">
        <v>137</v>
      </c>
      <c r="Q69" s="1" t="s">
        <v>289</v>
      </c>
      <c r="R69" s="17"/>
    </row>
    <row r="70" spans="1:30" x14ac:dyDescent="0.25">
      <c r="A70" s="13" t="s">
        <v>139</v>
      </c>
      <c r="B70" s="36">
        <f>B40</f>
        <v>0</v>
      </c>
      <c r="C70" s="25">
        <f>C40</f>
        <v>0</v>
      </c>
      <c r="D70" s="25">
        <f>D40</f>
        <v>0</v>
      </c>
      <c r="E70" s="25">
        <f>E40</f>
        <v>0</v>
      </c>
      <c r="F70" s="25">
        <f>SUM(C70:E70)</f>
        <v>0</v>
      </c>
      <c r="G70" s="184">
        <f>$F$67*G40</f>
        <v>0</v>
      </c>
      <c r="H70" s="184">
        <f>$F$67*H40</f>
        <v>0</v>
      </c>
      <c r="I70" s="184">
        <f>$F$67*I40</f>
        <v>0</v>
      </c>
      <c r="J70" s="9">
        <f>SUMPRODUCT(C70:E70,G70:I70)</f>
        <v>0</v>
      </c>
      <c r="K70" s="26">
        <f t="shared" ref="K70:N70" si="23">G70*C70*$B70</f>
        <v>0</v>
      </c>
      <c r="L70" s="26">
        <f t="shared" si="23"/>
        <v>0</v>
      </c>
      <c r="M70" s="26">
        <f t="shared" si="23"/>
        <v>0</v>
      </c>
      <c r="N70" s="26">
        <f t="shared" si="23"/>
        <v>0</v>
      </c>
      <c r="O70" s="26" t="e">
        <f t="shared" ref="O70:Q70" si="24">$D$26*K70</f>
        <v>#DIV/0!</v>
      </c>
      <c r="P70" s="26" t="e">
        <f t="shared" si="24"/>
        <v>#DIV/0!</v>
      </c>
      <c r="Q70" s="26" t="e">
        <f t="shared" si="24"/>
        <v>#DIV/0!</v>
      </c>
      <c r="R70" s="26" t="e">
        <f>SUM(O70:Q70)</f>
        <v>#DIV/0!</v>
      </c>
    </row>
    <row r="71" spans="1:30" x14ac:dyDescent="0.25">
      <c r="A71" s="13" t="s">
        <v>140</v>
      </c>
      <c r="B71" s="36">
        <f t="shared" ref="B71:E71" si="25">B41</f>
        <v>0</v>
      </c>
      <c r="C71" s="25">
        <f t="shared" si="25"/>
        <v>0</v>
      </c>
      <c r="D71" s="25">
        <f t="shared" si="25"/>
        <v>0</v>
      </c>
      <c r="E71" s="25">
        <f t="shared" si="25"/>
        <v>0</v>
      </c>
      <c r="F71" s="25">
        <f t="shared" ref="F71:F93" si="26">SUM(C71:E71)</f>
        <v>0</v>
      </c>
      <c r="G71" s="184">
        <f t="shared" ref="G71:I71" si="27">$F$67*G41</f>
        <v>0</v>
      </c>
      <c r="H71" s="184">
        <f t="shared" si="27"/>
        <v>0</v>
      </c>
      <c r="I71" s="184">
        <f t="shared" si="27"/>
        <v>0</v>
      </c>
      <c r="J71" s="9">
        <f t="shared" ref="J71:J93" si="28">SUMPRODUCT(C71:E71,G71:I71)</f>
        <v>0</v>
      </c>
      <c r="K71" s="26">
        <f t="shared" ref="K71:K93" si="29">G71*C71*$B71</f>
        <v>0</v>
      </c>
      <c r="L71" s="26">
        <f t="shared" ref="L71:L93" si="30">H71*D71*$B71</f>
        <v>0</v>
      </c>
      <c r="M71" s="26">
        <f t="shared" ref="M71:M93" si="31">I71*E71*$B71</f>
        <v>0</v>
      </c>
      <c r="N71" s="26">
        <f t="shared" ref="N71:N93" si="32">J71*F71*$B71</f>
        <v>0</v>
      </c>
      <c r="O71" s="26" t="e">
        <f t="shared" ref="O71:O93" si="33">$D$26*K71</f>
        <v>#DIV/0!</v>
      </c>
      <c r="P71" s="26" t="e">
        <f t="shared" ref="P71:P93" si="34">$D$26*L71</f>
        <v>#DIV/0!</v>
      </c>
      <c r="Q71" s="26" t="e">
        <f t="shared" ref="Q71:Q93" si="35">$D$26*M71</f>
        <v>#DIV/0!</v>
      </c>
      <c r="R71" s="26" t="e">
        <f t="shared" ref="R71:R93" si="36">SUM(O71:Q71)</f>
        <v>#DIV/0!</v>
      </c>
    </row>
    <row r="72" spans="1:30" x14ac:dyDescent="0.25">
      <c r="A72" s="13" t="s">
        <v>141</v>
      </c>
      <c r="B72" s="36">
        <f t="shared" ref="B72:E72" si="37">B42</f>
        <v>0</v>
      </c>
      <c r="C72" s="25">
        <f t="shared" si="37"/>
        <v>0</v>
      </c>
      <c r="D72" s="25">
        <f t="shared" si="37"/>
        <v>0</v>
      </c>
      <c r="E72" s="25">
        <f t="shared" si="37"/>
        <v>0</v>
      </c>
      <c r="F72" s="25">
        <f t="shared" si="26"/>
        <v>0</v>
      </c>
      <c r="G72" s="184">
        <f t="shared" ref="G72:I72" si="38">$F$67*G42</f>
        <v>0</v>
      </c>
      <c r="H72" s="184">
        <f t="shared" si="38"/>
        <v>0</v>
      </c>
      <c r="I72" s="184">
        <f t="shared" si="38"/>
        <v>0</v>
      </c>
      <c r="J72" s="9">
        <f t="shared" si="28"/>
        <v>0</v>
      </c>
      <c r="K72" s="26">
        <f t="shared" si="29"/>
        <v>0</v>
      </c>
      <c r="L72" s="26">
        <f t="shared" si="30"/>
        <v>0</v>
      </c>
      <c r="M72" s="26">
        <f t="shared" si="31"/>
        <v>0</v>
      </c>
      <c r="N72" s="26">
        <f t="shared" si="32"/>
        <v>0</v>
      </c>
      <c r="O72" s="26" t="e">
        <f t="shared" si="33"/>
        <v>#DIV/0!</v>
      </c>
      <c r="P72" s="26" t="e">
        <f t="shared" si="34"/>
        <v>#DIV/0!</v>
      </c>
      <c r="Q72" s="26" t="e">
        <f t="shared" si="35"/>
        <v>#DIV/0!</v>
      </c>
      <c r="R72" s="26" t="e">
        <f t="shared" si="36"/>
        <v>#DIV/0!</v>
      </c>
    </row>
    <row r="73" spans="1:30" x14ac:dyDescent="0.25">
      <c r="A73" s="13" t="s">
        <v>142</v>
      </c>
      <c r="B73" s="36">
        <f t="shared" ref="B73:E73" si="39">B43</f>
        <v>0</v>
      </c>
      <c r="C73" s="25">
        <f t="shared" si="39"/>
        <v>0</v>
      </c>
      <c r="D73" s="25">
        <f t="shared" si="39"/>
        <v>0</v>
      </c>
      <c r="E73" s="25">
        <f t="shared" si="39"/>
        <v>0</v>
      </c>
      <c r="F73" s="25">
        <f t="shared" si="26"/>
        <v>0</v>
      </c>
      <c r="G73" s="184">
        <f t="shared" ref="G73:I73" si="40">$F$67*G43</f>
        <v>0</v>
      </c>
      <c r="H73" s="184">
        <f t="shared" si="40"/>
        <v>0</v>
      </c>
      <c r="I73" s="184">
        <f t="shared" si="40"/>
        <v>0</v>
      </c>
      <c r="J73" s="9">
        <f t="shared" si="28"/>
        <v>0</v>
      </c>
      <c r="K73" s="26">
        <f t="shared" si="29"/>
        <v>0</v>
      </c>
      <c r="L73" s="26">
        <f t="shared" si="30"/>
        <v>0</v>
      </c>
      <c r="M73" s="26">
        <f t="shared" si="31"/>
        <v>0</v>
      </c>
      <c r="N73" s="26">
        <f t="shared" si="32"/>
        <v>0</v>
      </c>
      <c r="O73" s="26" t="e">
        <f t="shared" si="33"/>
        <v>#DIV/0!</v>
      </c>
      <c r="P73" s="26" t="e">
        <f t="shared" si="34"/>
        <v>#DIV/0!</v>
      </c>
      <c r="Q73" s="26" t="e">
        <f t="shared" si="35"/>
        <v>#DIV/0!</v>
      </c>
      <c r="R73" s="26" t="e">
        <f t="shared" si="36"/>
        <v>#DIV/0!</v>
      </c>
    </row>
    <row r="74" spans="1:30" x14ac:dyDescent="0.25">
      <c r="A74" s="13" t="s">
        <v>143</v>
      </c>
      <c r="B74" s="36">
        <f t="shared" ref="B74:E74" si="41">B44</f>
        <v>0</v>
      </c>
      <c r="C74" s="25">
        <f t="shared" si="41"/>
        <v>0</v>
      </c>
      <c r="D74" s="25">
        <f t="shared" si="41"/>
        <v>0</v>
      </c>
      <c r="E74" s="25">
        <f t="shared" si="41"/>
        <v>0</v>
      </c>
      <c r="F74" s="25">
        <f t="shared" si="26"/>
        <v>0</v>
      </c>
      <c r="G74" s="184">
        <f t="shared" ref="G74:I74" si="42">$F$67*G44</f>
        <v>0</v>
      </c>
      <c r="H74" s="184">
        <f t="shared" si="42"/>
        <v>0</v>
      </c>
      <c r="I74" s="184">
        <f t="shared" si="42"/>
        <v>0</v>
      </c>
      <c r="J74" s="9">
        <f t="shared" si="28"/>
        <v>0</v>
      </c>
      <c r="K74" s="26">
        <f t="shared" si="29"/>
        <v>0</v>
      </c>
      <c r="L74" s="26">
        <f t="shared" si="30"/>
        <v>0</v>
      </c>
      <c r="M74" s="26">
        <f t="shared" si="31"/>
        <v>0</v>
      </c>
      <c r="N74" s="26">
        <f t="shared" si="32"/>
        <v>0</v>
      </c>
      <c r="O74" s="26" t="e">
        <f t="shared" si="33"/>
        <v>#DIV/0!</v>
      </c>
      <c r="P74" s="26" t="e">
        <f t="shared" si="34"/>
        <v>#DIV/0!</v>
      </c>
      <c r="Q74" s="26" t="e">
        <f t="shared" si="35"/>
        <v>#DIV/0!</v>
      </c>
      <c r="R74" s="26" t="e">
        <f t="shared" si="36"/>
        <v>#DIV/0!</v>
      </c>
    </row>
    <row r="75" spans="1:30" x14ac:dyDescent="0.25">
      <c r="A75" s="13" t="s">
        <v>144</v>
      </c>
      <c r="B75" s="36">
        <f t="shared" ref="B75:E75" si="43">B45</f>
        <v>0</v>
      </c>
      <c r="C75" s="25">
        <f t="shared" si="43"/>
        <v>0</v>
      </c>
      <c r="D75" s="25">
        <f t="shared" si="43"/>
        <v>0</v>
      </c>
      <c r="E75" s="25">
        <f t="shared" si="43"/>
        <v>0</v>
      </c>
      <c r="F75" s="25">
        <f t="shared" si="26"/>
        <v>0</v>
      </c>
      <c r="G75" s="184">
        <f t="shared" ref="G75:I75" si="44">$F$67*G45</f>
        <v>0</v>
      </c>
      <c r="H75" s="184">
        <f t="shared" si="44"/>
        <v>0</v>
      </c>
      <c r="I75" s="184">
        <f t="shared" si="44"/>
        <v>0</v>
      </c>
      <c r="J75" s="9">
        <f t="shared" si="28"/>
        <v>0</v>
      </c>
      <c r="K75" s="26">
        <f t="shared" si="29"/>
        <v>0</v>
      </c>
      <c r="L75" s="26">
        <f t="shared" si="30"/>
        <v>0</v>
      </c>
      <c r="M75" s="26">
        <f t="shared" si="31"/>
        <v>0</v>
      </c>
      <c r="N75" s="26">
        <f t="shared" si="32"/>
        <v>0</v>
      </c>
      <c r="O75" s="26" t="e">
        <f t="shared" si="33"/>
        <v>#DIV/0!</v>
      </c>
      <c r="P75" s="26" t="e">
        <f t="shared" si="34"/>
        <v>#DIV/0!</v>
      </c>
      <c r="Q75" s="26" t="e">
        <f t="shared" si="35"/>
        <v>#DIV/0!</v>
      </c>
      <c r="R75" s="26" t="e">
        <f t="shared" si="36"/>
        <v>#DIV/0!</v>
      </c>
    </row>
    <row r="76" spans="1:30" x14ac:dyDescent="0.25">
      <c r="A76" s="13" t="s">
        <v>145</v>
      </c>
      <c r="B76" s="36">
        <f t="shared" ref="B76:E76" si="45">B46</f>
        <v>0</v>
      </c>
      <c r="C76" s="25">
        <f t="shared" si="45"/>
        <v>0</v>
      </c>
      <c r="D76" s="25">
        <f t="shared" si="45"/>
        <v>0</v>
      </c>
      <c r="E76" s="25">
        <f t="shared" si="45"/>
        <v>0</v>
      </c>
      <c r="F76" s="25">
        <f t="shared" si="26"/>
        <v>0</v>
      </c>
      <c r="G76" s="184">
        <f t="shared" ref="G76:I76" si="46">$F$67*G46</f>
        <v>0</v>
      </c>
      <c r="H76" s="184">
        <f t="shared" si="46"/>
        <v>0</v>
      </c>
      <c r="I76" s="184">
        <f t="shared" si="46"/>
        <v>0</v>
      </c>
      <c r="J76" s="9">
        <f t="shared" si="28"/>
        <v>0</v>
      </c>
      <c r="K76" s="26">
        <f t="shared" si="29"/>
        <v>0</v>
      </c>
      <c r="L76" s="26">
        <f t="shared" si="30"/>
        <v>0</v>
      </c>
      <c r="M76" s="26">
        <f t="shared" si="31"/>
        <v>0</v>
      </c>
      <c r="N76" s="26">
        <f t="shared" si="32"/>
        <v>0</v>
      </c>
      <c r="O76" s="26" t="e">
        <f t="shared" si="33"/>
        <v>#DIV/0!</v>
      </c>
      <c r="P76" s="26" t="e">
        <f t="shared" si="34"/>
        <v>#DIV/0!</v>
      </c>
      <c r="Q76" s="26" t="e">
        <f t="shared" si="35"/>
        <v>#DIV/0!</v>
      </c>
      <c r="R76" s="26" t="e">
        <f t="shared" si="36"/>
        <v>#DIV/0!</v>
      </c>
    </row>
    <row r="77" spans="1:30" x14ac:dyDescent="0.25">
      <c r="A77" s="13" t="s">
        <v>146</v>
      </c>
      <c r="B77" s="36">
        <f t="shared" ref="B77:E77" si="47">B47</f>
        <v>0</v>
      </c>
      <c r="C77" s="25">
        <f t="shared" si="47"/>
        <v>0</v>
      </c>
      <c r="D77" s="25">
        <f t="shared" si="47"/>
        <v>0</v>
      </c>
      <c r="E77" s="25">
        <f t="shared" si="47"/>
        <v>0</v>
      </c>
      <c r="F77" s="25">
        <f t="shared" si="26"/>
        <v>0</v>
      </c>
      <c r="G77" s="184">
        <f t="shared" ref="G77:I77" si="48">$F$67*G47</f>
        <v>0</v>
      </c>
      <c r="H77" s="184">
        <f t="shared" si="48"/>
        <v>0</v>
      </c>
      <c r="I77" s="184">
        <f t="shared" si="48"/>
        <v>0</v>
      </c>
      <c r="J77" s="9">
        <f t="shared" si="28"/>
        <v>0</v>
      </c>
      <c r="K77" s="26">
        <f t="shared" si="29"/>
        <v>0</v>
      </c>
      <c r="L77" s="26">
        <f t="shared" si="30"/>
        <v>0</v>
      </c>
      <c r="M77" s="26">
        <f t="shared" si="31"/>
        <v>0</v>
      </c>
      <c r="N77" s="26">
        <f t="shared" si="32"/>
        <v>0</v>
      </c>
      <c r="O77" s="26" t="e">
        <f t="shared" si="33"/>
        <v>#DIV/0!</v>
      </c>
      <c r="P77" s="26" t="e">
        <f t="shared" si="34"/>
        <v>#DIV/0!</v>
      </c>
      <c r="Q77" s="26" t="e">
        <f t="shared" si="35"/>
        <v>#DIV/0!</v>
      </c>
      <c r="R77" s="26" t="e">
        <f t="shared" si="36"/>
        <v>#DIV/0!</v>
      </c>
    </row>
    <row r="78" spans="1:30" x14ac:dyDescent="0.25">
      <c r="A78" s="13" t="s">
        <v>147</v>
      </c>
      <c r="B78" s="36">
        <f t="shared" ref="B78:E78" si="49">B48</f>
        <v>0</v>
      </c>
      <c r="C78" s="25">
        <f t="shared" si="49"/>
        <v>0</v>
      </c>
      <c r="D78" s="25">
        <f t="shared" si="49"/>
        <v>0</v>
      </c>
      <c r="E78" s="25">
        <f t="shared" si="49"/>
        <v>0</v>
      </c>
      <c r="F78" s="25">
        <f t="shared" si="26"/>
        <v>0</v>
      </c>
      <c r="G78" s="184">
        <f t="shared" ref="G78:I78" si="50">$F$67*G48</f>
        <v>0</v>
      </c>
      <c r="H78" s="184">
        <f t="shared" si="50"/>
        <v>0</v>
      </c>
      <c r="I78" s="184">
        <f t="shared" si="50"/>
        <v>0</v>
      </c>
      <c r="J78" s="9">
        <f t="shared" si="28"/>
        <v>0</v>
      </c>
      <c r="K78" s="26">
        <f t="shared" si="29"/>
        <v>0</v>
      </c>
      <c r="L78" s="26">
        <f t="shared" si="30"/>
        <v>0</v>
      </c>
      <c r="M78" s="26">
        <f t="shared" si="31"/>
        <v>0</v>
      </c>
      <c r="N78" s="26">
        <f t="shared" si="32"/>
        <v>0</v>
      </c>
      <c r="O78" s="26" t="e">
        <f t="shared" si="33"/>
        <v>#DIV/0!</v>
      </c>
      <c r="P78" s="26" t="e">
        <f t="shared" si="34"/>
        <v>#DIV/0!</v>
      </c>
      <c r="Q78" s="26" t="e">
        <f t="shared" si="35"/>
        <v>#DIV/0!</v>
      </c>
      <c r="R78" s="26" t="e">
        <f t="shared" si="36"/>
        <v>#DIV/0!</v>
      </c>
    </row>
    <row r="79" spans="1:30" x14ac:dyDescent="0.25">
      <c r="A79" s="13" t="s">
        <v>148</v>
      </c>
      <c r="B79" s="36">
        <f t="shared" ref="B79:E79" si="51">B49</f>
        <v>0</v>
      </c>
      <c r="C79" s="25">
        <f t="shared" si="51"/>
        <v>0</v>
      </c>
      <c r="D79" s="25">
        <f t="shared" si="51"/>
        <v>0</v>
      </c>
      <c r="E79" s="25">
        <f t="shared" si="51"/>
        <v>0</v>
      </c>
      <c r="F79" s="25">
        <f t="shared" si="26"/>
        <v>0</v>
      </c>
      <c r="G79" s="184">
        <f t="shared" ref="G79:I79" si="52">$F$67*G49</f>
        <v>0</v>
      </c>
      <c r="H79" s="184">
        <f t="shared" si="52"/>
        <v>0</v>
      </c>
      <c r="I79" s="184">
        <f t="shared" si="52"/>
        <v>0</v>
      </c>
      <c r="J79" s="9">
        <f t="shared" si="28"/>
        <v>0</v>
      </c>
      <c r="K79" s="26">
        <f t="shared" si="29"/>
        <v>0</v>
      </c>
      <c r="L79" s="26">
        <f t="shared" si="30"/>
        <v>0</v>
      </c>
      <c r="M79" s="26">
        <f t="shared" si="31"/>
        <v>0</v>
      </c>
      <c r="N79" s="26">
        <f t="shared" si="32"/>
        <v>0</v>
      </c>
      <c r="O79" s="26" t="e">
        <f t="shared" si="33"/>
        <v>#DIV/0!</v>
      </c>
      <c r="P79" s="26" t="e">
        <f t="shared" si="34"/>
        <v>#DIV/0!</v>
      </c>
      <c r="Q79" s="26" t="e">
        <f t="shared" si="35"/>
        <v>#DIV/0!</v>
      </c>
      <c r="R79" s="26" t="e">
        <f t="shared" si="36"/>
        <v>#DIV/0!</v>
      </c>
    </row>
    <row r="80" spans="1:30" x14ac:dyDescent="0.25">
      <c r="A80" s="13" t="s">
        <v>149</v>
      </c>
      <c r="B80" s="36">
        <f t="shared" ref="B80:E80" si="53">B50</f>
        <v>0</v>
      </c>
      <c r="C80" s="25">
        <f t="shared" si="53"/>
        <v>0</v>
      </c>
      <c r="D80" s="25">
        <f t="shared" si="53"/>
        <v>0</v>
      </c>
      <c r="E80" s="25">
        <f t="shared" si="53"/>
        <v>0</v>
      </c>
      <c r="F80" s="25">
        <f t="shared" si="26"/>
        <v>0</v>
      </c>
      <c r="G80" s="184">
        <f t="shared" ref="G80:I80" si="54">$F$67*G50</f>
        <v>0</v>
      </c>
      <c r="H80" s="184">
        <f t="shared" si="54"/>
        <v>0</v>
      </c>
      <c r="I80" s="184">
        <f t="shared" si="54"/>
        <v>0</v>
      </c>
      <c r="J80" s="9">
        <f t="shared" si="28"/>
        <v>0</v>
      </c>
      <c r="K80" s="26">
        <f t="shared" si="29"/>
        <v>0</v>
      </c>
      <c r="L80" s="26">
        <f t="shared" si="30"/>
        <v>0</v>
      </c>
      <c r="M80" s="26">
        <f t="shared" si="31"/>
        <v>0</v>
      </c>
      <c r="N80" s="26">
        <f t="shared" si="32"/>
        <v>0</v>
      </c>
      <c r="O80" s="26" t="e">
        <f t="shared" si="33"/>
        <v>#DIV/0!</v>
      </c>
      <c r="P80" s="26" t="e">
        <f t="shared" si="34"/>
        <v>#DIV/0!</v>
      </c>
      <c r="Q80" s="26" t="e">
        <f t="shared" si="35"/>
        <v>#DIV/0!</v>
      </c>
      <c r="R80" s="26" t="e">
        <f t="shared" si="36"/>
        <v>#DIV/0!</v>
      </c>
    </row>
    <row r="81" spans="1:19" x14ac:dyDescent="0.25">
      <c r="A81" s="13" t="s">
        <v>150</v>
      </c>
      <c r="B81" s="36">
        <f t="shared" ref="B81:E81" si="55">B51</f>
        <v>0</v>
      </c>
      <c r="C81" s="25">
        <f t="shared" si="55"/>
        <v>0</v>
      </c>
      <c r="D81" s="25">
        <f t="shared" si="55"/>
        <v>0</v>
      </c>
      <c r="E81" s="25">
        <f t="shared" si="55"/>
        <v>0</v>
      </c>
      <c r="F81" s="25">
        <f t="shared" si="26"/>
        <v>0</v>
      </c>
      <c r="G81" s="184">
        <f t="shared" ref="G81:I81" si="56">$F$67*G51</f>
        <v>0</v>
      </c>
      <c r="H81" s="184">
        <f t="shared" si="56"/>
        <v>0</v>
      </c>
      <c r="I81" s="184">
        <f t="shared" si="56"/>
        <v>0</v>
      </c>
      <c r="J81" s="9">
        <f t="shared" si="28"/>
        <v>0</v>
      </c>
      <c r="K81" s="26">
        <f t="shared" si="29"/>
        <v>0</v>
      </c>
      <c r="L81" s="26">
        <f t="shared" si="30"/>
        <v>0</v>
      </c>
      <c r="M81" s="26">
        <f t="shared" si="31"/>
        <v>0</v>
      </c>
      <c r="N81" s="26">
        <f t="shared" si="32"/>
        <v>0</v>
      </c>
      <c r="O81" s="26" t="e">
        <f t="shared" si="33"/>
        <v>#DIV/0!</v>
      </c>
      <c r="P81" s="26" t="e">
        <f t="shared" si="34"/>
        <v>#DIV/0!</v>
      </c>
      <c r="Q81" s="26" t="e">
        <f t="shared" si="35"/>
        <v>#DIV/0!</v>
      </c>
      <c r="R81" s="26" t="e">
        <f t="shared" si="36"/>
        <v>#DIV/0!</v>
      </c>
    </row>
    <row r="82" spans="1:19" x14ac:dyDescent="0.25">
      <c r="A82" s="13" t="s">
        <v>151</v>
      </c>
      <c r="B82" s="36">
        <f t="shared" ref="B82:E82" si="57">B52</f>
        <v>0</v>
      </c>
      <c r="C82" s="25">
        <f t="shared" si="57"/>
        <v>0</v>
      </c>
      <c r="D82" s="25">
        <f t="shared" si="57"/>
        <v>0</v>
      </c>
      <c r="E82" s="25">
        <f t="shared" si="57"/>
        <v>0</v>
      </c>
      <c r="F82" s="25">
        <f t="shared" si="26"/>
        <v>0</v>
      </c>
      <c r="G82" s="184">
        <f t="shared" ref="G82:I82" si="58">$F$67*G52</f>
        <v>0</v>
      </c>
      <c r="H82" s="184">
        <f t="shared" si="58"/>
        <v>0</v>
      </c>
      <c r="I82" s="184">
        <f t="shared" si="58"/>
        <v>0</v>
      </c>
      <c r="J82" s="9">
        <f t="shared" si="28"/>
        <v>0</v>
      </c>
      <c r="K82" s="26">
        <f t="shared" si="29"/>
        <v>0</v>
      </c>
      <c r="L82" s="26">
        <f t="shared" si="30"/>
        <v>0</v>
      </c>
      <c r="M82" s="26">
        <f t="shared" si="31"/>
        <v>0</v>
      </c>
      <c r="N82" s="26">
        <f t="shared" si="32"/>
        <v>0</v>
      </c>
      <c r="O82" s="26" t="e">
        <f t="shared" si="33"/>
        <v>#DIV/0!</v>
      </c>
      <c r="P82" s="26" t="e">
        <f t="shared" si="34"/>
        <v>#DIV/0!</v>
      </c>
      <c r="Q82" s="26" t="e">
        <f t="shared" si="35"/>
        <v>#DIV/0!</v>
      </c>
      <c r="R82" s="26" t="e">
        <f t="shared" si="36"/>
        <v>#DIV/0!</v>
      </c>
    </row>
    <row r="83" spans="1:19" x14ac:dyDescent="0.25">
      <c r="A83" s="13" t="s">
        <v>152</v>
      </c>
      <c r="B83" s="36">
        <f t="shared" ref="B83:E83" si="59">B53</f>
        <v>0</v>
      </c>
      <c r="C83" s="25">
        <f t="shared" si="59"/>
        <v>0</v>
      </c>
      <c r="D83" s="25">
        <f t="shared" si="59"/>
        <v>0</v>
      </c>
      <c r="E83" s="25">
        <f t="shared" si="59"/>
        <v>0</v>
      </c>
      <c r="F83" s="25">
        <f t="shared" si="26"/>
        <v>0</v>
      </c>
      <c r="G83" s="184">
        <f t="shared" ref="G83:I83" si="60">$F$67*G53</f>
        <v>0</v>
      </c>
      <c r="H83" s="184">
        <f t="shared" si="60"/>
        <v>0</v>
      </c>
      <c r="I83" s="184">
        <f t="shared" si="60"/>
        <v>0</v>
      </c>
      <c r="J83" s="9">
        <f t="shared" si="28"/>
        <v>0</v>
      </c>
      <c r="K83" s="26">
        <f t="shared" si="29"/>
        <v>0</v>
      </c>
      <c r="L83" s="26">
        <f t="shared" si="30"/>
        <v>0</v>
      </c>
      <c r="M83" s="26">
        <f t="shared" si="31"/>
        <v>0</v>
      </c>
      <c r="N83" s="26">
        <f t="shared" si="32"/>
        <v>0</v>
      </c>
      <c r="O83" s="26" t="e">
        <f t="shared" si="33"/>
        <v>#DIV/0!</v>
      </c>
      <c r="P83" s="26" t="e">
        <f t="shared" si="34"/>
        <v>#DIV/0!</v>
      </c>
      <c r="Q83" s="26" t="e">
        <f t="shared" si="35"/>
        <v>#DIV/0!</v>
      </c>
      <c r="R83" s="26" t="e">
        <f t="shared" si="36"/>
        <v>#DIV/0!</v>
      </c>
    </row>
    <row r="84" spans="1:19" x14ac:dyDescent="0.25">
      <c r="A84" s="13" t="s">
        <v>153</v>
      </c>
      <c r="B84" s="36">
        <f t="shared" ref="B84:E84" si="61">B54</f>
        <v>0</v>
      </c>
      <c r="C84" s="25">
        <f t="shared" si="61"/>
        <v>0</v>
      </c>
      <c r="D84" s="25">
        <f t="shared" si="61"/>
        <v>0</v>
      </c>
      <c r="E84" s="25">
        <f t="shared" si="61"/>
        <v>0</v>
      </c>
      <c r="F84" s="25">
        <f t="shared" si="26"/>
        <v>0</v>
      </c>
      <c r="G84" s="184">
        <f t="shared" ref="G84:I84" si="62">$F$67*G54</f>
        <v>0</v>
      </c>
      <c r="H84" s="184">
        <f t="shared" si="62"/>
        <v>0</v>
      </c>
      <c r="I84" s="184">
        <f t="shared" si="62"/>
        <v>0</v>
      </c>
      <c r="J84" s="9">
        <f t="shared" si="28"/>
        <v>0</v>
      </c>
      <c r="K84" s="26">
        <f t="shared" si="29"/>
        <v>0</v>
      </c>
      <c r="L84" s="26">
        <f t="shared" si="30"/>
        <v>0</v>
      </c>
      <c r="M84" s="26">
        <f t="shared" si="31"/>
        <v>0</v>
      </c>
      <c r="N84" s="26">
        <f t="shared" si="32"/>
        <v>0</v>
      </c>
      <c r="O84" s="26" t="e">
        <f t="shared" si="33"/>
        <v>#DIV/0!</v>
      </c>
      <c r="P84" s="26" t="e">
        <f t="shared" si="34"/>
        <v>#DIV/0!</v>
      </c>
      <c r="Q84" s="26" t="e">
        <f t="shared" si="35"/>
        <v>#DIV/0!</v>
      </c>
      <c r="R84" s="26" t="e">
        <f t="shared" si="36"/>
        <v>#DIV/0!</v>
      </c>
    </row>
    <row r="85" spans="1:19" x14ac:dyDescent="0.25">
      <c r="A85" s="13" t="s">
        <v>154</v>
      </c>
      <c r="B85" s="36">
        <f t="shared" ref="B85:E85" si="63">B55</f>
        <v>0</v>
      </c>
      <c r="C85" s="25">
        <f t="shared" si="63"/>
        <v>0</v>
      </c>
      <c r="D85" s="25">
        <f t="shared" si="63"/>
        <v>0</v>
      </c>
      <c r="E85" s="25">
        <f t="shared" si="63"/>
        <v>0</v>
      </c>
      <c r="F85" s="25">
        <f t="shared" si="26"/>
        <v>0</v>
      </c>
      <c r="G85" s="184">
        <f t="shared" ref="G85:I85" si="64">$F$67*G55</f>
        <v>0</v>
      </c>
      <c r="H85" s="184">
        <f t="shared" si="64"/>
        <v>0</v>
      </c>
      <c r="I85" s="184">
        <f t="shared" si="64"/>
        <v>0</v>
      </c>
      <c r="J85" s="9">
        <f t="shared" si="28"/>
        <v>0</v>
      </c>
      <c r="K85" s="26">
        <f t="shared" si="29"/>
        <v>0</v>
      </c>
      <c r="L85" s="26">
        <f t="shared" si="30"/>
        <v>0</v>
      </c>
      <c r="M85" s="26">
        <f t="shared" si="31"/>
        <v>0</v>
      </c>
      <c r="N85" s="26">
        <f t="shared" si="32"/>
        <v>0</v>
      </c>
      <c r="O85" s="26" t="e">
        <f t="shared" si="33"/>
        <v>#DIV/0!</v>
      </c>
      <c r="P85" s="26" t="e">
        <f t="shared" si="34"/>
        <v>#DIV/0!</v>
      </c>
      <c r="Q85" s="26" t="e">
        <f t="shared" si="35"/>
        <v>#DIV/0!</v>
      </c>
      <c r="R85" s="26" t="e">
        <f t="shared" si="36"/>
        <v>#DIV/0!</v>
      </c>
    </row>
    <row r="86" spans="1:19" x14ac:dyDescent="0.25">
      <c r="A86" s="13" t="s">
        <v>155</v>
      </c>
      <c r="B86" s="36">
        <f t="shared" ref="B86:E86" si="65">B56</f>
        <v>0</v>
      </c>
      <c r="C86" s="25">
        <f t="shared" si="65"/>
        <v>0</v>
      </c>
      <c r="D86" s="25">
        <f t="shared" si="65"/>
        <v>0</v>
      </c>
      <c r="E86" s="25">
        <f t="shared" si="65"/>
        <v>0</v>
      </c>
      <c r="F86" s="25">
        <f t="shared" si="26"/>
        <v>0</v>
      </c>
      <c r="G86" s="184">
        <f t="shared" ref="G86:I86" si="66">$F$67*G56</f>
        <v>0</v>
      </c>
      <c r="H86" s="184">
        <f t="shared" si="66"/>
        <v>0</v>
      </c>
      <c r="I86" s="184">
        <f t="shared" si="66"/>
        <v>0</v>
      </c>
      <c r="J86" s="9">
        <f t="shared" si="28"/>
        <v>0</v>
      </c>
      <c r="K86" s="26">
        <f t="shared" si="29"/>
        <v>0</v>
      </c>
      <c r="L86" s="26">
        <f t="shared" si="30"/>
        <v>0</v>
      </c>
      <c r="M86" s="26">
        <f t="shared" si="31"/>
        <v>0</v>
      </c>
      <c r="N86" s="26">
        <f t="shared" si="32"/>
        <v>0</v>
      </c>
      <c r="O86" s="26" t="e">
        <f t="shared" si="33"/>
        <v>#DIV/0!</v>
      </c>
      <c r="P86" s="26" t="e">
        <f t="shared" si="34"/>
        <v>#DIV/0!</v>
      </c>
      <c r="Q86" s="26" t="e">
        <f t="shared" si="35"/>
        <v>#DIV/0!</v>
      </c>
      <c r="R86" s="26" t="e">
        <f t="shared" si="36"/>
        <v>#DIV/0!</v>
      </c>
    </row>
    <row r="87" spans="1:19" x14ac:dyDescent="0.25">
      <c r="A87" s="13" t="s">
        <v>156</v>
      </c>
      <c r="B87" s="36">
        <f t="shared" ref="B87:E87" si="67">B57</f>
        <v>0</v>
      </c>
      <c r="C87" s="25">
        <f t="shared" si="67"/>
        <v>0</v>
      </c>
      <c r="D87" s="25">
        <f t="shared" si="67"/>
        <v>0</v>
      </c>
      <c r="E87" s="25">
        <f t="shared" si="67"/>
        <v>0</v>
      </c>
      <c r="F87" s="25">
        <f t="shared" si="26"/>
        <v>0</v>
      </c>
      <c r="G87" s="184">
        <f t="shared" ref="G87:I87" si="68">$F$67*G57</f>
        <v>0</v>
      </c>
      <c r="H87" s="184">
        <f t="shared" si="68"/>
        <v>0</v>
      </c>
      <c r="I87" s="184">
        <f t="shared" si="68"/>
        <v>0</v>
      </c>
      <c r="J87" s="9">
        <f t="shared" si="28"/>
        <v>0</v>
      </c>
      <c r="K87" s="26">
        <f t="shared" si="29"/>
        <v>0</v>
      </c>
      <c r="L87" s="26">
        <f t="shared" si="30"/>
        <v>0</v>
      </c>
      <c r="M87" s="26">
        <f t="shared" si="31"/>
        <v>0</v>
      </c>
      <c r="N87" s="26">
        <f t="shared" si="32"/>
        <v>0</v>
      </c>
      <c r="O87" s="26" t="e">
        <f t="shared" si="33"/>
        <v>#DIV/0!</v>
      </c>
      <c r="P87" s="26" t="e">
        <f t="shared" si="34"/>
        <v>#DIV/0!</v>
      </c>
      <c r="Q87" s="26" t="e">
        <f t="shared" si="35"/>
        <v>#DIV/0!</v>
      </c>
      <c r="R87" s="26" t="e">
        <f t="shared" si="36"/>
        <v>#DIV/0!</v>
      </c>
    </row>
    <row r="88" spans="1:19" x14ac:dyDescent="0.25">
      <c r="A88" s="13" t="s">
        <v>157</v>
      </c>
      <c r="B88" s="36">
        <f t="shared" ref="B88:E88" si="69">B58</f>
        <v>0</v>
      </c>
      <c r="C88" s="25">
        <f t="shared" si="69"/>
        <v>0</v>
      </c>
      <c r="D88" s="25">
        <f t="shared" si="69"/>
        <v>0</v>
      </c>
      <c r="E88" s="25">
        <f t="shared" si="69"/>
        <v>0</v>
      </c>
      <c r="F88" s="25">
        <f t="shared" si="26"/>
        <v>0</v>
      </c>
      <c r="G88" s="184">
        <f t="shared" ref="G88:I88" si="70">$F$67*G58</f>
        <v>0</v>
      </c>
      <c r="H88" s="184">
        <f t="shared" si="70"/>
        <v>0</v>
      </c>
      <c r="I88" s="184">
        <f t="shared" si="70"/>
        <v>0</v>
      </c>
      <c r="J88" s="9">
        <f t="shared" si="28"/>
        <v>0</v>
      </c>
      <c r="K88" s="26">
        <f t="shared" si="29"/>
        <v>0</v>
      </c>
      <c r="L88" s="26">
        <f t="shared" si="30"/>
        <v>0</v>
      </c>
      <c r="M88" s="26">
        <f t="shared" si="31"/>
        <v>0</v>
      </c>
      <c r="N88" s="26">
        <f t="shared" si="32"/>
        <v>0</v>
      </c>
      <c r="O88" s="26" t="e">
        <f t="shared" si="33"/>
        <v>#DIV/0!</v>
      </c>
      <c r="P88" s="26" t="e">
        <f t="shared" si="34"/>
        <v>#DIV/0!</v>
      </c>
      <c r="Q88" s="26" t="e">
        <f t="shared" si="35"/>
        <v>#DIV/0!</v>
      </c>
      <c r="R88" s="26" t="e">
        <f t="shared" si="36"/>
        <v>#DIV/0!</v>
      </c>
    </row>
    <row r="89" spans="1:19" x14ac:dyDescent="0.25">
      <c r="A89" s="13" t="s">
        <v>158</v>
      </c>
      <c r="B89" s="36">
        <f t="shared" ref="B89:E89" si="71">B59</f>
        <v>0</v>
      </c>
      <c r="C89" s="25">
        <f t="shared" si="71"/>
        <v>0</v>
      </c>
      <c r="D89" s="25">
        <f t="shared" si="71"/>
        <v>0</v>
      </c>
      <c r="E89" s="25">
        <f t="shared" si="71"/>
        <v>0</v>
      </c>
      <c r="F89" s="25">
        <f t="shared" si="26"/>
        <v>0</v>
      </c>
      <c r="G89" s="184">
        <f t="shared" ref="G89:I89" si="72">$F$67*G59</f>
        <v>0</v>
      </c>
      <c r="H89" s="184">
        <f t="shared" si="72"/>
        <v>0</v>
      </c>
      <c r="I89" s="184">
        <f t="shared" si="72"/>
        <v>0</v>
      </c>
      <c r="J89" s="9">
        <f t="shared" si="28"/>
        <v>0</v>
      </c>
      <c r="K89" s="26">
        <f t="shared" si="29"/>
        <v>0</v>
      </c>
      <c r="L89" s="26">
        <f t="shared" si="30"/>
        <v>0</v>
      </c>
      <c r="M89" s="26">
        <f t="shared" si="31"/>
        <v>0</v>
      </c>
      <c r="N89" s="26">
        <f t="shared" si="32"/>
        <v>0</v>
      </c>
      <c r="O89" s="26" t="e">
        <f t="shared" si="33"/>
        <v>#DIV/0!</v>
      </c>
      <c r="P89" s="26" t="e">
        <f t="shared" si="34"/>
        <v>#DIV/0!</v>
      </c>
      <c r="Q89" s="26" t="e">
        <f t="shared" si="35"/>
        <v>#DIV/0!</v>
      </c>
      <c r="R89" s="26" t="e">
        <f t="shared" si="36"/>
        <v>#DIV/0!</v>
      </c>
    </row>
    <row r="90" spans="1:19" x14ac:dyDescent="0.25">
      <c r="A90" s="13" t="s">
        <v>159</v>
      </c>
      <c r="B90" s="36">
        <f t="shared" ref="B90:E90" si="73">B60</f>
        <v>0</v>
      </c>
      <c r="C90" s="25">
        <f t="shared" si="73"/>
        <v>0</v>
      </c>
      <c r="D90" s="25">
        <f t="shared" si="73"/>
        <v>0</v>
      </c>
      <c r="E90" s="25">
        <f t="shared" si="73"/>
        <v>0</v>
      </c>
      <c r="F90" s="25">
        <f t="shared" si="26"/>
        <v>0</v>
      </c>
      <c r="G90" s="184">
        <f t="shared" ref="G90:I90" si="74">$F$67*G60</f>
        <v>0</v>
      </c>
      <c r="H90" s="184">
        <f t="shared" si="74"/>
        <v>0</v>
      </c>
      <c r="I90" s="184">
        <f t="shared" si="74"/>
        <v>0</v>
      </c>
      <c r="J90" s="9">
        <f t="shared" si="28"/>
        <v>0</v>
      </c>
      <c r="K90" s="26">
        <f t="shared" si="29"/>
        <v>0</v>
      </c>
      <c r="L90" s="26">
        <f t="shared" si="30"/>
        <v>0</v>
      </c>
      <c r="M90" s="26">
        <f t="shared" si="31"/>
        <v>0</v>
      </c>
      <c r="N90" s="26">
        <f t="shared" si="32"/>
        <v>0</v>
      </c>
      <c r="O90" s="26" t="e">
        <f t="shared" si="33"/>
        <v>#DIV/0!</v>
      </c>
      <c r="P90" s="26" t="e">
        <f t="shared" si="34"/>
        <v>#DIV/0!</v>
      </c>
      <c r="Q90" s="26" t="e">
        <f t="shared" si="35"/>
        <v>#DIV/0!</v>
      </c>
      <c r="R90" s="26" t="e">
        <f t="shared" si="36"/>
        <v>#DIV/0!</v>
      </c>
    </row>
    <row r="91" spans="1:19" x14ac:dyDescent="0.25">
      <c r="A91" s="13" t="s">
        <v>160</v>
      </c>
      <c r="B91" s="36">
        <f t="shared" ref="B91:E91" si="75">B61</f>
        <v>0</v>
      </c>
      <c r="C91" s="25">
        <f t="shared" si="75"/>
        <v>0</v>
      </c>
      <c r="D91" s="25">
        <f t="shared" si="75"/>
        <v>0</v>
      </c>
      <c r="E91" s="25">
        <f t="shared" si="75"/>
        <v>0</v>
      </c>
      <c r="F91" s="25">
        <f t="shared" si="26"/>
        <v>0</v>
      </c>
      <c r="G91" s="184">
        <f t="shared" ref="G91:I91" si="76">$F$67*G61</f>
        <v>0</v>
      </c>
      <c r="H91" s="184">
        <f t="shared" si="76"/>
        <v>0</v>
      </c>
      <c r="I91" s="184">
        <f t="shared" si="76"/>
        <v>0</v>
      </c>
      <c r="J91" s="9">
        <f t="shared" si="28"/>
        <v>0</v>
      </c>
      <c r="K91" s="26">
        <f t="shared" si="29"/>
        <v>0</v>
      </c>
      <c r="L91" s="26">
        <f t="shared" si="30"/>
        <v>0</v>
      </c>
      <c r="M91" s="26">
        <f t="shared" si="31"/>
        <v>0</v>
      </c>
      <c r="N91" s="26">
        <f t="shared" si="32"/>
        <v>0</v>
      </c>
      <c r="O91" s="26" t="e">
        <f t="shared" si="33"/>
        <v>#DIV/0!</v>
      </c>
      <c r="P91" s="26" t="e">
        <f t="shared" si="34"/>
        <v>#DIV/0!</v>
      </c>
      <c r="Q91" s="26" t="e">
        <f t="shared" si="35"/>
        <v>#DIV/0!</v>
      </c>
      <c r="R91" s="26" t="e">
        <f t="shared" si="36"/>
        <v>#DIV/0!</v>
      </c>
    </row>
    <row r="92" spans="1:19" x14ac:dyDescent="0.25">
      <c r="A92" s="13" t="s">
        <v>161</v>
      </c>
      <c r="B92" s="36">
        <f t="shared" ref="B92:E92" si="77">B62</f>
        <v>0</v>
      </c>
      <c r="C92" s="25">
        <f t="shared" si="77"/>
        <v>0</v>
      </c>
      <c r="D92" s="25">
        <f t="shared" si="77"/>
        <v>0</v>
      </c>
      <c r="E92" s="25">
        <f t="shared" si="77"/>
        <v>0</v>
      </c>
      <c r="F92" s="25">
        <f t="shared" si="26"/>
        <v>0</v>
      </c>
      <c r="G92" s="184">
        <f t="shared" ref="G92:I92" si="78">$F$67*G62</f>
        <v>0</v>
      </c>
      <c r="H92" s="184">
        <f t="shared" si="78"/>
        <v>0</v>
      </c>
      <c r="I92" s="184">
        <f t="shared" si="78"/>
        <v>0</v>
      </c>
      <c r="J92" s="9">
        <f t="shared" si="28"/>
        <v>0</v>
      </c>
      <c r="K92" s="26">
        <f t="shared" si="29"/>
        <v>0</v>
      </c>
      <c r="L92" s="26">
        <f t="shared" si="30"/>
        <v>0</v>
      </c>
      <c r="M92" s="26">
        <f t="shared" si="31"/>
        <v>0</v>
      </c>
      <c r="N92" s="26">
        <f t="shared" si="32"/>
        <v>0</v>
      </c>
      <c r="O92" s="26" t="e">
        <f t="shared" si="33"/>
        <v>#DIV/0!</v>
      </c>
      <c r="P92" s="26" t="e">
        <f t="shared" si="34"/>
        <v>#DIV/0!</v>
      </c>
      <c r="Q92" s="26" t="e">
        <f t="shared" si="35"/>
        <v>#DIV/0!</v>
      </c>
      <c r="R92" s="26" t="e">
        <f t="shared" si="36"/>
        <v>#DIV/0!</v>
      </c>
    </row>
    <row r="93" spans="1:19" x14ac:dyDescent="0.25">
      <c r="A93" s="13" t="s">
        <v>162</v>
      </c>
      <c r="B93" s="36">
        <f t="shared" ref="B93:E93" si="79">B63</f>
        <v>0</v>
      </c>
      <c r="C93" s="25">
        <f t="shared" si="79"/>
        <v>0</v>
      </c>
      <c r="D93" s="25">
        <f t="shared" si="79"/>
        <v>0</v>
      </c>
      <c r="E93" s="25">
        <f t="shared" si="79"/>
        <v>0</v>
      </c>
      <c r="F93" s="25">
        <f t="shared" si="26"/>
        <v>0</v>
      </c>
      <c r="G93" s="184">
        <f t="shared" ref="G93:I93" si="80">$F$67*G63</f>
        <v>0</v>
      </c>
      <c r="H93" s="184">
        <f t="shared" si="80"/>
        <v>0</v>
      </c>
      <c r="I93" s="184">
        <f t="shared" si="80"/>
        <v>0</v>
      </c>
      <c r="J93" s="9">
        <f t="shared" si="28"/>
        <v>0</v>
      </c>
      <c r="K93" s="26">
        <f t="shared" si="29"/>
        <v>0</v>
      </c>
      <c r="L93" s="26">
        <f t="shared" si="30"/>
        <v>0</v>
      </c>
      <c r="M93" s="26">
        <f t="shared" si="31"/>
        <v>0</v>
      </c>
      <c r="N93" s="26">
        <f t="shared" si="32"/>
        <v>0</v>
      </c>
      <c r="O93" s="26" t="e">
        <f t="shared" si="33"/>
        <v>#DIV/0!</v>
      </c>
      <c r="P93" s="26" t="e">
        <f t="shared" si="34"/>
        <v>#DIV/0!</v>
      </c>
      <c r="Q93" s="26" t="e">
        <f t="shared" si="35"/>
        <v>#DIV/0!</v>
      </c>
      <c r="R93" s="26" t="e">
        <f t="shared" si="36"/>
        <v>#DIV/0!</v>
      </c>
    </row>
    <row r="94" spans="1:19" x14ac:dyDescent="0.25">
      <c r="A94" s="1" t="s">
        <v>163</v>
      </c>
      <c r="B94" s="23">
        <f>SUM(B70:B93)</f>
        <v>0</v>
      </c>
      <c r="C94" s="51" t="e">
        <f>SUMPRODUCT($B$70:$B$93,C70:C93)/$B$94</f>
        <v>#DIV/0!</v>
      </c>
      <c r="D94" s="51" t="e">
        <f>SUMPRODUCT($B$70:$B$93,D70:D93)/$B$94</f>
        <v>#DIV/0!</v>
      </c>
      <c r="E94" s="51" t="e">
        <f>SUMPRODUCT($B$70:$B$93,E70:E93)/$B$94</f>
        <v>#DIV/0!</v>
      </c>
      <c r="F94" s="37" t="e">
        <f>SUM(C94:E94)</f>
        <v>#DIV/0!</v>
      </c>
      <c r="G94" s="10" t="e">
        <f>SUMPRODUCT(B70:B93,G70:G93)/E94</f>
        <v>#DIV/0!</v>
      </c>
      <c r="H94" s="10" t="e">
        <f>SUMPRODUCT(B70:B93,H70:H93)/G94</f>
        <v>#DIV/0!</v>
      </c>
      <c r="I94" s="10" t="e">
        <f>SUMPRODUCT(B70:B93,I70:I93)/H94</f>
        <v>#DIV/0!</v>
      </c>
      <c r="J94" s="9" t="e">
        <f>SUMPRODUCT(C94:E94,G94:I94)</f>
        <v>#DIV/0!</v>
      </c>
      <c r="K94" s="10">
        <f>SUM(K70:K93)</f>
        <v>0</v>
      </c>
      <c r="L94" s="10">
        <f>SUM(L70:L93)</f>
        <v>0</v>
      </c>
      <c r="M94" s="10">
        <f t="shared" ref="M94" si="81">SUM(M70:M93)</f>
        <v>0</v>
      </c>
      <c r="N94" s="23">
        <f>SUM(K94:M94)</f>
        <v>0</v>
      </c>
      <c r="O94" s="10" t="e">
        <f>SUM(O70:O93)</f>
        <v>#DIV/0!</v>
      </c>
      <c r="P94" s="10" t="e">
        <f>SUM(P70:P93)</f>
        <v>#DIV/0!</v>
      </c>
      <c r="Q94" s="10" t="e">
        <f>SUM(Q70:Q93)</f>
        <v>#DIV/0!</v>
      </c>
      <c r="R94" s="23" t="e">
        <f>SUM(R70:R93)</f>
        <v>#DIV/0!</v>
      </c>
    </row>
    <row r="95" spans="1:19" x14ac:dyDescent="0.25">
      <c r="A95" s="17" t="s">
        <v>8</v>
      </c>
      <c r="C95" s="842" t="e">
        <f>SUM(C94:E94)=100%</f>
        <v>#DIV/0!</v>
      </c>
      <c r="D95" s="842"/>
      <c r="E95" s="842"/>
      <c r="F95" s="6" t="e">
        <f>F94=100%</f>
        <v>#DIV/0!</v>
      </c>
      <c r="N95" s="29" t="b">
        <f>SUM(K94:M94)=N94</f>
        <v>1</v>
      </c>
      <c r="S95" s="39" t="e">
        <f>SUM(O94:Q94)=R94</f>
        <v>#DIV/0!</v>
      </c>
    </row>
    <row r="96" spans="1:19" x14ac:dyDescent="0.25">
      <c r="A96" s="17"/>
      <c r="C96" s="21"/>
      <c r="D96" s="21"/>
      <c r="E96" s="21"/>
    </row>
    <row r="99" spans="1:20" x14ac:dyDescent="0.25">
      <c r="A99" s="3" t="s">
        <v>505</v>
      </c>
    </row>
    <row r="100" spans="1:20" ht="38.450000000000003" customHeight="1" x14ac:dyDescent="0.25">
      <c r="A100" s="59" t="s">
        <v>506</v>
      </c>
    </row>
    <row r="101" spans="1:20" ht="33.6" customHeight="1" x14ac:dyDescent="0.25">
      <c r="A101" s="838" t="s">
        <v>101</v>
      </c>
      <c r="B101" s="814" t="s">
        <v>327</v>
      </c>
      <c r="C101" s="814" t="s">
        <v>328</v>
      </c>
      <c r="D101" s="814"/>
      <c r="E101" s="814"/>
      <c r="F101" s="814"/>
      <c r="G101" s="814" t="s">
        <v>507</v>
      </c>
      <c r="H101" s="814"/>
      <c r="I101" s="814"/>
      <c r="J101" s="814"/>
      <c r="K101" s="814" t="s">
        <v>508</v>
      </c>
      <c r="L101" s="814"/>
      <c r="M101" s="814"/>
      <c r="N101" s="814"/>
      <c r="O101" s="44"/>
      <c r="P101" s="44"/>
      <c r="Q101" s="44"/>
      <c r="R101" s="44"/>
      <c r="S101" s="44"/>
      <c r="T101" s="44"/>
    </row>
    <row r="102" spans="1:20" x14ac:dyDescent="0.25">
      <c r="A102" s="838"/>
      <c r="B102" s="814"/>
      <c r="C102" s="1" t="s">
        <v>331</v>
      </c>
      <c r="D102" s="1" t="s">
        <v>137</v>
      </c>
      <c r="E102" s="1" t="s">
        <v>289</v>
      </c>
      <c r="F102" s="1" t="s">
        <v>120</v>
      </c>
      <c r="G102" s="1" t="s">
        <v>136</v>
      </c>
      <c r="H102" s="1" t="s">
        <v>137</v>
      </c>
      <c r="I102" s="1" t="s">
        <v>289</v>
      </c>
      <c r="J102" s="1" t="s">
        <v>120</v>
      </c>
      <c r="K102" s="1" t="s">
        <v>136</v>
      </c>
      <c r="L102" s="1" t="s">
        <v>137</v>
      </c>
      <c r="M102" s="1" t="s">
        <v>289</v>
      </c>
      <c r="N102" s="1" t="s">
        <v>120</v>
      </c>
    </row>
    <row r="103" spans="1:20" x14ac:dyDescent="0.25">
      <c r="A103" s="13" t="s">
        <v>139</v>
      </c>
      <c r="B103" s="40">
        <v>0</v>
      </c>
      <c r="C103" s="394">
        <f t="shared" ref="C103:E103" si="82">C70</f>
        <v>0</v>
      </c>
      <c r="D103" s="394">
        <f t="shared" si="82"/>
        <v>0</v>
      </c>
      <c r="E103" s="394">
        <f t="shared" si="82"/>
        <v>0</v>
      </c>
      <c r="F103" s="25">
        <f>SUM(C103:E103)</f>
        <v>0</v>
      </c>
      <c r="G103" s="36">
        <f>IFERROR(C103*$B103/(C40*$B40),0)</f>
        <v>0</v>
      </c>
      <c r="H103" s="36">
        <f t="shared" ref="H103:I103" si="83">IFERROR(D103*$B103/(D40*$B40),0)</f>
        <v>0</v>
      </c>
      <c r="I103" s="36">
        <f t="shared" si="83"/>
        <v>0</v>
      </c>
      <c r="J103" s="9">
        <f>SUMPRODUCT(C103:E103,G103:I103)</f>
        <v>0</v>
      </c>
      <c r="K103" s="9">
        <f>($G103-G103)*(C40*$B40)</f>
        <v>0</v>
      </c>
      <c r="L103" s="9">
        <f>($G103-H103)*(D40*$B40)</f>
        <v>0</v>
      </c>
      <c r="M103" s="9">
        <f>($G103-I103)*(E40*$B40)</f>
        <v>0</v>
      </c>
      <c r="N103" s="140">
        <f>K103+L103+M103</f>
        <v>0</v>
      </c>
      <c r="P103" s="342"/>
      <c r="Q103" s="76"/>
    </row>
    <row r="104" spans="1:20" x14ac:dyDescent="0.25">
      <c r="A104" s="13" t="s">
        <v>140</v>
      </c>
      <c r="B104" s="40">
        <v>0</v>
      </c>
      <c r="C104" s="394">
        <f t="shared" ref="C104:E104" si="84">C71</f>
        <v>0</v>
      </c>
      <c r="D104" s="394">
        <f t="shared" si="84"/>
        <v>0</v>
      </c>
      <c r="E104" s="394">
        <f t="shared" si="84"/>
        <v>0</v>
      </c>
      <c r="F104" s="25">
        <f t="shared" ref="F104:F126" si="85">SUM(C104:E104)</f>
        <v>0</v>
      </c>
      <c r="G104" s="36">
        <f t="shared" ref="G104:G126" si="86">IFERROR(C104*$B104/(C41*$B41),0)</f>
        <v>0</v>
      </c>
      <c r="H104" s="36">
        <f t="shared" ref="H104:H126" si="87">IFERROR(D104*$B104/(D41*$B41),0)</f>
        <v>0</v>
      </c>
      <c r="I104" s="36">
        <f t="shared" ref="I104:I126" si="88">IFERROR(E104*$B104/(E41*$B41),0)</f>
        <v>0</v>
      </c>
      <c r="J104" s="9">
        <f t="shared" ref="J104:J126" si="89">SUMPRODUCT(C104:E104,G104:I104)</f>
        <v>0</v>
      </c>
      <c r="K104" s="9">
        <f t="shared" ref="K104:M104" si="90">($G104-G104)*(C41*$B41)</f>
        <v>0</v>
      </c>
      <c r="L104" s="9">
        <f t="shared" si="90"/>
        <v>0</v>
      </c>
      <c r="M104" s="9">
        <f t="shared" si="90"/>
        <v>0</v>
      </c>
      <c r="N104" s="140">
        <f t="shared" ref="N104:N126" si="91">K104+L104+M104</f>
        <v>0</v>
      </c>
      <c r="P104" s="342"/>
      <c r="Q104" s="76"/>
    </row>
    <row r="105" spans="1:20" x14ac:dyDescent="0.25">
      <c r="A105" s="13" t="s">
        <v>141</v>
      </c>
      <c r="B105" s="40">
        <v>0</v>
      </c>
      <c r="C105" s="394">
        <f t="shared" ref="C105:E105" si="92">C72</f>
        <v>0</v>
      </c>
      <c r="D105" s="394">
        <f t="shared" si="92"/>
        <v>0</v>
      </c>
      <c r="E105" s="394">
        <f t="shared" si="92"/>
        <v>0</v>
      </c>
      <c r="F105" s="25">
        <f t="shared" si="85"/>
        <v>0</v>
      </c>
      <c r="G105" s="36">
        <f t="shared" si="86"/>
        <v>0</v>
      </c>
      <c r="H105" s="36">
        <f t="shared" si="87"/>
        <v>0</v>
      </c>
      <c r="I105" s="36">
        <f t="shared" si="88"/>
        <v>0</v>
      </c>
      <c r="J105" s="9">
        <f t="shared" si="89"/>
        <v>0</v>
      </c>
      <c r="K105" s="9">
        <f t="shared" ref="K105:M105" si="93">($G105-G105)*(C42*$B42)</f>
        <v>0</v>
      </c>
      <c r="L105" s="9">
        <f t="shared" si="93"/>
        <v>0</v>
      </c>
      <c r="M105" s="9">
        <f t="shared" si="93"/>
        <v>0</v>
      </c>
      <c r="N105" s="140">
        <f t="shared" si="91"/>
        <v>0</v>
      </c>
      <c r="P105" s="342"/>
      <c r="Q105" s="76"/>
    </row>
    <row r="106" spans="1:20" x14ac:dyDescent="0.25">
      <c r="A106" s="13" t="s">
        <v>142</v>
      </c>
      <c r="B106" s="40">
        <v>0</v>
      </c>
      <c r="C106" s="394">
        <f t="shared" ref="C106:E106" si="94">C73</f>
        <v>0</v>
      </c>
      <c r="D106" s="394">
        <f t="shared" si="94"/>
        <v>0</v>
      </c>
      <c r="E106" s="394">
        <f t="shared" si="94"/>
        <v>0</v>
      </c>
      <c r="F106" s="25">
        <f t="shared" si="85"/>
        <v>0</v>
      </c>
      <c r="G106" s="36">
        <f t="shared" si="86"/>
        <v>0</v>
      </c>
      <c r="H106" s="36">
        <f t="shared" si="87"/>
        <v>0</v>
      </c>
      <c r="I106" s="36">
        <f t="shared" si="88"/>
        <v>0</v>
      </c>
      <c r="J106" s="9">
        <f t="shared" si="89"/>
        <v>0</v>
      </c>
      <c r="K106" s="9">
        <f t="shared" ref="K106:M106" si="95">($G106-G106)*(C43*$B43)</f>
        <v>0</v>
      </c>
      <c r="L106" s="9">
        <f t="shared" si="95"/>
        <v>0</v>
      </c>
      <c r="M106" s="9">
        <f t="shared" si="95"/>
        <v>0</v>
      </c>
      <c r="N106" s="140">
        <f t="shared" si="91"/>
        <v>0</v>
      </c>
      <c r="P106" s="342"/>
      <c r="Q106" s="76"/>
    </row>
    <row r="107" spans="1:20" x14ac:dyDescent="0.25">
      <c r="A107" s="13" t="s">
        <v>143</v>
      </c>
      <c r="B107" s="40">
        <v>0</v>
      </c>
      <c r="C107" s="394">
        <f t="shared" ref="C107:E107" si="96">C74</f>
        <v>0</v>
      </c>
      <c r="D107" s="394">
        <f t="shared" si="96"/>
        <v>0</v>
      </c>
      <c r="E107" s="394">
        <f t="shared" si="96"/>
        <v>0</v>
      </c>
      <c r="F107" s="25">
        <f t="shared" si="85"/>
        <v>0</v>
      </c>
      <c r="G107" s="36">
        <f t="shared" si="86"/>
        <v>0</v>
      </c>
      <c r="H107" s="36">
        <f t="shared" si="87"/>
        <v>0</v>
      </c>
      <c r="I107" s="36">
        <f t="shared" si="88"/>
        <v>0</v>
      </c>
      <c r="J107" s="9">
        <f t="shared" si="89"/>
        <v>0</v>
      </c>
      <c r="K107" s="9">
        <f t="shared" ref="K107:M107" si="97">($G107-G107)*(C44*$B44)</f>
        <v>0</v>
      </c>
      <c r="L107" s="9">
        <f t="shared" si="97"/>
        <v>0</v>
      </c>
      <c r="M107" s="9">
        <f t="shared" si="97"/>
        <v>0</v>
      </c>
      <c r="N107" s="140">
        <f t="shared" si="91"/>
        <v>0</v>
      </c>
      <c r="P107" s="342"/>
      <c r="Q107" s="76"/>
    </row>
    <row r="108" spans="1:20" x14ac:dyDescent="0.25">
      <c r="A108" s="13" t="s">
        <v>144</v>
      </c>
      <c r="B108" s="40">
        <v>0</v>
      </c>
      <c r="C108" s="394">
        <f t="shared" ref="C108:E108" si="98">C75</f>
        <v>0</v>
      </c>
      <c r="D108" s="394">
        <f t="shared" si="98"/>
        <v>0</v>
      </c>
      <c r="E108" s="394">
        <f t="shared" si="98"/>
        <v>0</v>
      </c>
      <c r="F108" s="25">
        <f t="shared" si="85"/>
        <v>0</v>
      </c>
      <c r="G108" s="36">
        <f t="shared" si="86"/>
        <v>0</v>
      </c>
      <c r="H108" s="36">
        <f t="shared" si="87"/>
        <v>0</v>
      </c>
      <c r="I108" s="36">
        <f t="shared" si="88"/>
        <v>0</v>
      </c>
      <c r="J108" s="9">
        <f t="shared" si="89"/>
        <v>0</v>
      </c>
      <c r="K108" s="9">
        <f t="shared" ref="K108:M108" si="99">($G108-G108)*(C45*$B45)</f>
        <v>0</v>
      </c>
      <c r="L108" s="9">
        <f t="shared" si="99"/>
        <v>0</v>
      </c>
      <c r="M108" s="9">
        <f t="shared" si="99"/>
        <v>0</v>
      </c>
      <c r="N108" s="140">
        <f t="shared" si="91"/>
        <v>0</v>
      </c>
      <c r="P108" s="342"/>
      <c r="Q108" s="76"/>
    </row>
    <row r="109" spans="1:20" x14ac:dyDescent="0.25">
      <c r="A109" s="13" t="s">
        <v>145</v>
      </c>
      <c r="B109" s="40">
        <v>0</v>
      </c>
      <c r="C109" s="394">
        <f t="shared" ref="C109:E109" si="100">C76</f>
        <v>0</v>
      </c>
      <c r="D109" s="394">
        <f t="shared" si="100"/>
        <v>0</v>
      </c>
      <c r="E109" s="394">
        <f t="shared" si="100"/>
        <v>0</v>
      </c>
      <c r="F109" s="25">
        <f t="shared" si="85"/>
        <v>0</v>
      </c>
      <c r="G109" s="36">
        <f t="shared" si="86"/>
        <v>0</v>
      </c>
      <c r="H109" s="36">
        <f t="shared" si="87"/>
        <v>0</v>
      </c>
      <c r="I109" s="36">
        <f t="shared" si="88"/>
        <v>0</v>
      </c>
      <c r="J109" s="9">
        <f t="shared" si="89"/>
        <v>0</v>
      </c>
      <c r="K109" s="9">
        <f t="shared" ref="K109:M109" si="101">($G109-G109)*(C46*$B46)</f>
        <v>0</v>
      </c>
      <c r="L109" s="9">
        <f t="shared" si="101"/>
        <v>0</v>
      </c>
      <c r="M109" s="9">
        <f t="shared" si="101"/>
        <v>0</v>
      </c>
      <c r="N109" s="140">
        <f t="shared" si="91"/>
        <v>0</v>
      </c>
      <c r="P109" s="342"/>
      <c r="Q109" s="76"/>
    </row>
    <row r="110" spans="1:20" x14ac:dyDescent="0.25">
      <c r="A110" s="13" t="s">
        <v>146</v>
      </c>
      <c r="B110" s="40">
        <v>0</v>
      </c>
      <c r="C110" s="394">
        <f t="shared" ref="C110:E110" si="102">C77</f>
        <v>0</v>
      </c>
      <c r="D110" s="394">
        <f t="shared" si="102"/>
        <v>0</v>
      </c>
      <c r="E110" s="394">
        <f t="shared" si="102"/>
        <v>0</v>
      </c>
      <c r="F110" s="25">
        <f t="shared" si="85"/>
        <v>0</v>
      </c>
      <c r="G110" s="36">
        <f t="shared" si="86"/>
        <v>0</v>
      </c>
      <c r="H110" s="36">
        <f t="shared" si="87"/>
        <v>0</v>
      </c>
      <c r="I110" s="36">
        <f t="shared" si="88"/>
        <v>0</v>
      </c>
      <c r="J110" s="9">
        <f t="shared" si="89"/>
        <v>0</v>
      </c>
      <c r="K110" s="9">
        <f t="shared" ref="K110:M110" si="103">($G110-G110)*(C47*$B47)</f>
        <v>0</v>
      </c>
      <c r="L110" s="9">
        <f t="shared" si="103"/>
        <v>0</v>
      </c>
      <c r="M110" s="9">
        <f t="shared" si="103"/>
        <v>0</v>
      </c>
      <c r="N110" s="140">
        <f t="shared" si="91"/>
        <v>0</v>
      </c>
      <c r="P110" s="342"/>
      <c r="Q110" s="76"/>
    </row>
    <row r="111" spans="1:20" x14ac:dyDescent="0.25">
      <c r="A111" s="13" t="s">
        <v>147</v>
      </c>
      <c r="B111" s="40">
        <v>0</v>
      </c>
      <c r="C111" s="394">
        <f t="shared" ref="C111:E111" si="104">C78</f>
        <v>0</v>
      </c>
      <c r="D111" s="394">
        <f t="shared" si="104"/>
        <v>0</v>
      </c>
      <c r="E111" s="394">
        <f t="shared" si="104"/>
        <v>0</v>
      </c>
      <c r="F111" s="25">
        <f t="shared" si="85"/>
        <v>0</v>
      </c>
      <c r="G111" s="36">
        <f t="shared" si="86"/>
        <v>0</v>
      </c>
      <c r="H111" s="36">
        <f t="shared" si="87"/>
        <v>0</v>
      </c>
      <c r="I111" s="36">
        <f t="shared" si="88"/>
        <v>0</v>
      </c>
      <c r="J111" s="9">
        <f t="shared" si="89"/>
        <v>0</v>
      </c>
      <c r="K111" s="9">
        <f t="shared" ref="K111:M111" si="105">($G111-G111)*(C48*$B48)</f>
        <v>0</v>
      </c>
      <c r="L111" s="9">
        <f t="shared" si="105"/>
        <v>0</v>
      </c>
      <c r="M111" s="9">
        <f t="shared" si="105"/>
        <v>0</v>
      </c>
      <c r="N111" s="140">
        <f t="shared" si="91"/>
        <v>0</v>
      </c>
      <c r="P111" s="342"/>
      <c r="Q111" s="76"/>
    </row>
    <row r="112" spans="1:20" x14ac:dyDescent="0.25">
      <c r="A112" s="13" t="s">
        <v>148</v>
      </c>
      <c r="B112" s="40">
        <v>0</v>
      </c>
      <c r="C112" s="394">
        <f t="shared" ref="C112:E112" si="106">C79</f>
        <v>0</v>
      </c>
      <c r="D112" s="394">
        <f t="shared" si="106"/>
        <v>0</v>
      </c>
      <c r="E112" s="394">
        <f t="shared" si="106"/>
        <v>0</v>
      </c>
      <c r="F112" s="25">
        <f t="shared" si="85"/>
        <v>0</v>
      </c>
      <c r="G112" s="36">
        <f t="shared" si="86"/>
        <v>0</v>
      </c>
      <c r="H112" s="36">
        <f t="shared" si="87"/>
        <v>0</v>
      </c>
      <c r="I112" s="36">
        <f t="shared" si="88"/>
        <v>0</v>
      </c>
      <c r="J112" s="9">
        <f t="shared" si="89"/>
        <v>0</v>
      </c>
      <c r="K112" s="9">
        <f t="shared" ref="K112:M112" si="107">($G112-G112)*(C49*$B49)</f>
        <v>0</v>
      </c>
      <c r="L112" s="9">
        <f t="shared" si="107"/>
        <v>0</v>
      </c>
      <c r="M112" s="9">
        <f t="shared" si="107"/>
        <v>0</v>
      </c>
      <c r="N112" s="140">
        <f t="shared" si="91"/>
        <v>0</v>
      </c>
      <c r="P112" s="342"/>
      <c r="Q112" s="76"/>
    </row>
    <row r="113" spans="1:18" x14ac:dyDescent="0.25">
      <c r="A113" s="13" t="s">
        <v>149</v>
      </c>
      <c r="B113" s="40">
        <v>0</v>
      </c>
      <c r="C113" s="394">
        <f t="shared" ref="C113:E113" si="108">C80</f>
        <v>0</v>
      </c>
      <c r="D113" s="394">
        <f t="shared" si="108"/>
        <v>0</v>
      </c>
      <c r="E113" s="394">
        <f t="shared" si="108"/>
        <v>0</v>
      </c>
      <c r="F113" s="25">
        <f t="shared" si="85"/>
        <v>0</v>
      </c>
      <c r="G113" s="36">
        <f t="shared" si="86"/>
        <v>0</v>
      </c>
      <c r="H113" s="36">
        <f t="shared" si="87"/>
        <v>0</v>
      </c>
      <c r="I113" s="36">
        <f t="shared" si="88"/>
        <v>0</v>
      </c>
      <c r="J113" s="9">
        <f t="shared" si="89"/>
        <v>0</v>
      </c>
      <c r="K113" s="9">
        <f t="shared" ref="K113:M113" si="109">($G113-G113)*(C50*$B50)</f>
        <v>0</v>
      </c>
      <c r="L113" s="9">
        <f t="shared" si="109"/>
        <v>0</v>
      </c>
      <c r="M113" s="9">
        <f t="shared" si="109"/>
        <v>0</v>
      </c>
      <c r="N113" s="140">
        <f t="shared" si="91"/>
        <v>0</v>
      </c>
      <c r="P113" s="342"/>
      <c r="Q113" s="76"/>
    </row>
    <row r="114" spans="1:18" x14ac:dyDescent="0.25">
      <c r="A114" s="13" t="s">
        <v>150</v>
      </c>
      <c r="B114" s="40">
        <v>0</v>
      </c>
      <c r="C114" s="394">
        <f t="shared" ref="C114:E114" si="110">C81</f>
        <v>0</v>
      </c>
      <c r="D114" s="394">
        <f t="shared" si="110"/>
        <v>0</v>
      </c>
      <c r="E114" s="394">
        <f t="shared" si="110"/>
        <v>0</v>
      </c>
      <c r="F114" s="25">
        <f t="shared" si="85"/>
        <v>0</v>
      </c>
      <c r="G114" s="36">
        <f t="shared" si="86"/>
        <v>0</v>
      </c>
      <c r="H114" s="36">
        <f t="shared" si="87"/>
        <v>0</v>
      </c>
      <c r="I114" s="36">
        <f t="shared" si="88"/>
        <v>0</v>
      </c>
      <c r="J114" s="9">
        <f t="shared" si="89"/>
        <v>0</v>
      </c>
      <c r="K114" s="9">
        <f t="shared" ref="K114:M114" si="111">($G114-G114)*(C51*$B51)</f>
        <v>0</v>
      </c>
      <c r="L114" s="9">
        <f t="shared" si="111"/>
        <v>0</v>
      </c>
      <c r="M114" s="9">
        <f t="shared" si="111"/>
        <v>0</v>
      </c>
      <c r="N114" s="140">
        <f t="shared" si="91"/>
        <v>0</v>
      </c>
      <c r="P114" s="342"/>
      <c r="Q114" s="76"/>
    </row>
    <row r="115" spans="1:18" x14ac:dyDescent="0.25">
      <c r="A115" s="13" t="s">
        <v>151</v>
      </c>
      <c r="B115" s="40">
        <v>0</v>
      </c>
      <c r="C115" s="394">
        <f t="shared" ref="C115:E115" si="112">C82</f>
        <v>0</v>
      </c>
      <c r="D115" s="394">
        <f t="shared" si="112"/>
        <v>0</v>
      </c>
      <c r="E115" s="394">
        <f t="shared" si="112"/>
        <v>0</v>
      </c>
      <c r="F115" s="25">
        <f t="shared" si="85"/>
        <v>0</v>
      </c>
      <c r="G115" s="36">
        <f t="shared" si="86"/>
        <v>0</v>
      </c>
      <c r="H115" s="36">
        <f t="shared" si="87"/>
        <v>0</v>
      </c>
      <c r="I115" s="36">
        <f t="shared" si="88"/>
        <v>0</v>
      </c>
      <c r="J115" s="9">
        <f t="shared" si="89"/>
        <v>0</v>
      </c>
      <c r="K115" s="9">
        <f t="shared" ref="K115:M115" si="113">($G115-G115)*(C52*$B52)</f>
        <v>0</v>
      </c>
      <c r="L115" s="9">
        <f t="shared" si="113"/>
        <v>0</v>
      </c>
      <c r="M115" s="9">
        <f t="shared" si="113"/>
        <v>0</v>
      </c>
      <c r="N115" s="140">
        <f t="shared" si="91"/>
        <v>0</v>
      </c>
      <c r="P115" s="342"/>
      <c r="Q115" s="76"/>
    </row>
    <row r="116" spans="1:18" x14ac:dyDescent="0.25">
      <c r="A116" s="13" t="s">
        <v>152</v>
      </c>
      <c r="B116" s="40">
        <v>0</v>
      </c>
      <c r="C116" s="394">
        <f t="shared" ref="C116:E116" si="114">C83</f>
        <v>0</v>
      </c>
      <c r="D116" s="394">
        <f t="shared" si="114"/>
        <v>0</v>
      </c>
      <c r="E116" s="394">
        <f t="shared" si="114"/>
        <v>0</v>
      </c>
      <c r="F116" s="25">
        <f t="shared" si="85"/>
        <v>0</v>
      </c>
      <c r="G116" s="36">
        <f t="shared" si="86"/>
        <v>0</v>
      </c>
      <c r="H116" s="36">
        <f t="shared" si="87"/>
        <v>0</v>
      </c>
      <c r="I116" s="36">
        <f t="shared" si="88"/>
        <v>0</v>
      </c>
      <c r="J116" s="9">
        <f t="shared" si="89"/>
        <v>0</v>
      </c>
      <c r="K116" s="9">
        <f t="shared" ref="K116:M116" si="115">($G116-G116)*(C53*$B53)</f>
        <v>0</v>
      </c>
      <c r="L116" s="9">
        <f t="shared" si="115"/>
        <v>0</v>
      </c>
      <c r="M116" s="9">
        <f t="shared" si="115"/>
        <v>0</v>
      </c>
      <c r="N116" s="140">
        <f t="shared" si="91"/>
        <v>0</v>
      </c>
      <c r="P116" s="342"/>
      <c r="Q116" s="76"/>
    </row>
    <row r="117" spans="1:18" x14ac:dyDescent="0.25">
      <c r="A117" s="13" t="s">
        <v>153</v>
      </c>
      <c r="B117" s="40">
        <v>0</v>
      </c>
      <c r="C117" s="394">
        <f t="shared" ref="C117:E117" si="116">C84</f>
        <v>0</v>
      </c>
      <c r="D117" s="394">
        <f t="shared" si="116"/>
        <v>0</v>
      </c>
      <c r="E117" s="394">
        <f t="shared" si="116"/>
        <v>0</v>
      </c>
      <c r="F117" s="25">
        <f t="shared" si="85"/>
        <v>0</v>
      </c>
      <c r="G117" s="36">
        <f t="shared" si="86"/>
        <v>0</v>
      </c>
      <c r="H117" s="36">
        <f t="shared" si="87"/>
        <v>0</v>
      </c>
      <c r="I117" s="36">
        <f t="shared" si="88"/>
        <v>0</v>
      </c>
      <c r="J117" s="9">
        <f t="shared" si="89"/>
        <v>0</v>
      </c>
      <c r="K117" s="9">
        <f t="shared" ref="K117:M117" si="117">($G117-G117)*(C54*$B54)</f>
        <v>0</v>
      </c>
      <c r="L117" s="9">
        <f t="shared" si="117"/>
        <v>0</v>
      </c>
      <c r="M117" s="9">
        <f t="shared" si="117"/>
        <v>0</v>
      </c>
      <c r="N117" s="140">
        <f t="shared" si="91"/>
        <v>0</v>
      </c>
      <c r="P117" s="342"/>
      <c r="Q117" s="76"/>
    </row>
    <row r="118" spans="1:18" x14ac:dyDescent="0.25">
      <c r="A118" s="13" t="s">
        <v>154</v>
      </c>
      <c r="B118" s="40">
        <v>0</v>
      </c>
      <c r="C118" s="394">
        <f t="shared" ref="C118:E118" si="118">C85</f>
        <v>0</v>
      </c>
      <c r="D118" s="394">
        <f t="shared" si="118"/>
        <v>0</v>
      </c>
      <c r="E118" s="394">
        <f t="shared" si="118"/>
        <v>0</v>
      </c>
      <c r="F118" s="25">
        <f t="shared" si="85"/>
        <v>0</v>
      </c>
      <c r="G118" s="36">
        <f t="shared" si="86"/>
        <v>0</v>
      </c>
      <c r="H118" s="36">
        <f t="shared" si="87"/>
        <v>0</v>
      </c>
      <c r="I118" s="36">
        <f t="shared" si="88"/>
        <v>0</v>
      </c>
      <c r="J118" s="9">
        <f t="shared" si="89"/>
        <v>0</v>
      </c>
      <c r="K118" s="9">
        <f t="shared" ref="K118:M118" si="119">($G118-G118)*(C55*$B55)</f>
        <v>0</v>
      </c>
      <c r="L118" s="9">
        <f t="shared" si="119"/>
        <v>0</v>
      </c>
      <c r="M118" s="9">
        <f t="shared" si="119"/>
        <v>0</v>
      </c>
      <c r="N118" s="140">
        <f t="shared" si="91"/>
        <v>0</v>
      </c>
      <c r="P118" s="342"/>
      <c r="Q118" s="76"/>
    </row>
    <row r="119" spans="1:18" x14ac:dyDescent="0.25">
      <c r="A119" s="13" t="s">
        <v>155</v>
      </c>
      <c r="B119" s="40">
        <v>0</v>
      </c>
      <c r="C119" s="394">
        <f t="shared" ref="C119:E119" si="120">C86</f>
        <v>0</v>
      </c>
      <c r="D119" s="394">
        <f t="shared" si="120"/>
        <v>0</v>
      </c>
      <c r="E119" s="394">
        <f t="shared" si="120"/>
        <v>0</v>
      </c>
      <c r="F119" s="25">
        <f t="shared" si="85"/>
        <v>0</v>
      </c>
      <c r="G119" s="36">
        <f t="shared" si="86"/>
        <v>0</v>
      </c>
      <c r="H119" s="36">
        <f t="shared" si="87"/>
        <v>0</v>
      </c>
      <c r="I119" s="36">
        <f t="shared" si="88"/>
        <v>0</v>
      </c>
      <c r="J119" s="9">
        <f t="shared" si="89"/>
        <v>0</v>
      </c>
      <c r="K119" s="9">
        <f t="shared" ref="K119:M119" si="121">($G119-G119)*(C56*$B56)</f>
        <v>0</v>
      </c>
      <c r="L119" s="9">
        <f t="shared" si="121"/>
        <v>0</v>
      </c>
      <c r="M119" s="9">
        <f t="shared" si="121"/>
        <v>0</v>
      </c>
      <c r="N119" s="140">
        <f t="shared" si="91"/>
        <v>0</v>
      </c>
      <c r="P119" s="342"/>
      <c r="Q119" s="76"/>
    </row>
    <row r="120" spans="1:18" x14ac:dyDescent="0.25">
      <c r="A120" s="13" t="s">
        <v>156</v>
      </c>
      <c r="B120" s="40">
        <v>0</v>
      </c>
      <c r="C120" s="394">
        <f t="shared" ref="C120:E120" si="122">C87</f>
        <v>0</v>
      </c>
      <c r="D120" s="394">
        <f t="shared" si="122"/>
        <v>0</v>
      </c>
      <c r="E120" s="394">
        <f t="shared" si="122"/>
        <v>0</v>
      </c>
      <c r="F120" s="25">
        <f t="shared" si="85"/>
        <v>0</v>
      </c>
      <c r="G120" s="36">
        <f t="shared" si="86"/>
        <v>0</v>
      </c>
      <c r="H120" s="36">
        <f t="shared" si="87"/>
        <v>0</v>
      </c>
      <c r="I120" s="36">
        <f t="shared" si="88"/>
        <v>0</v>
      </c>
      <c r="J120" s="9">
        <f t="shared" si="89"/>
        <v>0</v>
      </c>
      <c r="K120" s="9">
        <f t="shared" ref="K120:M120" si="123">($G120-G120)*(C57*$B57)</f>
        <v>0</v>
      </c>
      <c r="L120" s="9">
        <f t="shared" si="123"/>
        <v>0</v>
      </c>
      <c r="M120" s="9">
        <f t="shared" si="123"/>
        <v>0</v>
      </c>
      <c r="N120" s="140">
        <f t="shared" si="91"/>
        <v>0</v>
      </c>
      <c r="P120" s="342"/>
      <c r="Q120" s="76"/>
    </row>
    <row r="121" spans="1:18" x14ac:dyDescent="0.25">
      <c r="A121" s="13" t="s">
        <v>157</v>
      </c>
      <c r="B121" s="40">
        <v>0</v>
      </c>
      <c r="C121" s="394">
        <f t="shared" ref="C121:E121" si="124">C88</f>
        <v>0</v>
      </c>
      <c r="D121" s="394">
        <f t="shared" si="124"/>
        <v>0</v>
      </c>
      <c r="E121" s="394">
        <f t="shared" si="124"/>
        <v>0</v>
      </c>
      <c r="F121" s="25">
        <f t="shared" si="85"/>
        <v>0</v>
      </c>
      <c r="G121" s="36">
        <f t="shared" si="86"/>
        <v>0</v>
      </c>
      <c r="H121" s="36">
        <f t="shared" si="87"/>
        <v>0</v>
      </c>
      <c r="I121" s="36">
        <f t="shared" si="88"/>
        <v>0</v>
      </c>
      <c r="J121" s="9">
        <f t="shared" si="89"/>
        <v>0</v>
      </c>
      <c r="K121" s="9">
        <f t="shared" ref="K121:M121" si="125">($G121-G121)*(C58*$B58)</f>
        <v>0</v>
      </c>
      <c r="L121" s="9">
        <f t="shared" si="125"/>
        <v>0</v>
      </c>
      <c r="M121" s="9">
        <f t="shared" si="125"/>
        <v>0</v>
      </c>
      <c r="N121" s="140">
        <f t="shared" si="91"/>
        <v>0</v>
      </c>
      <c r="P121" s="342"/>
      <c r="Q121" s="76"/>
    </row>
    <row r="122" spans="1:18" x14ac:dyDescent="0.25">
      <c r="A122" s="13" t="s">
        <v>158</v>
      </c>
      <c r="B122" s="40">
        <v>0</v>
      </c>
      <c r="C122" s="394">
        <f t="shared" ref="C122:E122" si="126">C89</f>
        <v>0</v>
      </c>
      <c r="D122" s="394">
        <f t="shared" si="126"/>
        <v>0</v>
      </c>
      <c r="E122" s="394">
        <f t="shared" si="126"/>
        <v>0</v>
      </c>
      <c r="F122" s="25">
        <f t="shared" si="85"/>
        <v>0</v>
      </c>
      <c r="G122" s="36">
        <f t="shared" si="86"/>
        <v>0</v>
      </c>
      <c r="H122" s="36">
        <f t="shared" si="87"/>
        <v>0</v>
      </c>
      <c r="I122" s="36">
        <f t="shared" si="88"/>
        <v>0</v>
      </c>
      <c r="J122" s="9">
        <f t="shared" si="89"/>
        <v>0</v>
      </c>
      <c r="K122" s="9">
        <f t="shared" ref="K122:M122" si="127">($G122-G122)*(C59*$B59)</f>
        <v>0</v>
      </c>
      <c r="L122" s="9">
        <f t="shared" si="127"/>
        <v>0</v>
      </c>
      <c r="M122" s="9">
        <f t="shared" si="127"/>
        <v>0</v>
      </c>
      <c r="N122" s="140">
        <f t="shared" si="91"/>
        <v>0</v>
      </c>
      <c r="P122" s="342"/>
      <c r="Q122" s="76"/>
    </row>
    <row r="123" spans="1:18" x14ac:dyDescent="0.25">
      <c r="A123" s="13" t="s">
        <v>159</v>
      </c>
      <c r="B123" s="40">
        <v>0</v>
      </c>
      <c r="C123" s="394">
        <f t="shared" ref="C123:E123" si="128">C90</f>
        <v>0</v>
      </c>
      <c r="D123" s="394">
        <f t="shared" si="128"/>
        <v>0</v>
      </c>
      <c r="E123" s="394">
        <f t="shared" si="128"/>
        <v>0</v>
      </c>
      <c r="F123" s="25">
        <f t="shared" si="85"/>
        <v>0</v>
      </c>
      <c r="G123" s="36">
        <f t="shared" si="86"/>
        <v>0</v>
      </c>
      <c r="H123" s="36">
        <f t="shared" si="87"/>
        <v>0</v>
      </c>
      <c r="I123" s="36">
        <f t="shared" si="88"/>
        <v>0</v>
      </c>
      <c r="J123" s="9">
        <f t="shared" si="89"/>
        <v>0</v>
      </c>
      <c r="K123" s="9">
        <f t="shared" ref="K123:M123" si="129">($G123-G123)*(C60*$B60)</f>
        <v>0</v>
      </c>
      <c r="L123" s="9">
        <f t="shared" si="129"/>
        <v>0</v>
      </c>
      <c r="M123" s="9">
        <f t="shared" si="129"/>
        <v>0</v>
      </c>
      <c r="N123" s="140">
        <f t="shared" si="91"/>
        <v>0</v>
      </c>
      <c r="P123" s="342"/>
      <c r="Q123" s="76"/>
    </row>
    <row r="124" spans="1:18" x14ac:dyDescent="0.25">
      <c r="A124" s="13" t="s">
        <v>160</v>
      </c>
      <c r="B124" s="40">
        <v>0</v>
      </c>
      <c r="C124" s="394">
        <f t="shared" ref="C124:E124" si="130">C91</f>
        <v>0</v>
      </c>
      <c r="D124" s="394">
        <f t="shared" si="130"/>
        <v>0</v>
      </c>
      <c r="E124" s="394">
        <f t="shared" si="130"/>
        <v>0</v>
      </c>
      <c r="F124" s="25">
        <f t="shared" si="85"/>
        <v>0</v>
      </c>
      <c r="G124" s="36">
        <f t="shared" si="86"/>
        <v>0</v>
      </c>
      <c r="H124" s="36">
        <f t="shared" si="87"/>
        <v>0</v>
      </c>
      <c r="I124" s="36">
        <f t="shared" si="88"/>
        <v>0</v>
      </c>
      <c r="J124" s="9">
        <f t="shared" si="89"/>
        <v>0</v>
      </c>
      <c r="K124" s="9">
        <f t="shared" ref="K124:M124" si="131">($G124-G124)*(C61*$B61)</f>
        <v>0</v>
      </c>
      <c r="L124" s="9">
        <f t="shared" si="131"/>
        <v>0</v>
      </c>
      <c r="M124" s="9">
        <f t="shared" si="131"/>
        <v>0</v>
      </c>
      <c r="N124" s="140">
        <f t="shared" si="91"/>
        <v>0</v>
      </c>
      <c r="P124" s="342"/>
      <c r="Q124" s="76"/>
    </row>
    <row r="125" spans="1:18" x14ac:dyDescent="0.25">
      <c r="A125" s="13" t="s">
        <v>161</v>
      </c>
      <c r="B125" s="40">
        <v>0</v>
      </c>
      <c r="C125" s="394">
        <f t="shared" ref="C125:E125" si="132">C92</f>
        <v>0</v>
      </c>
      <c r="D125" s="394">
        <f t="shared" si="132"/>
        <v>0</v>
      </c>
      <c r="E125" s="394">
        <f t="shared" si="132"/>
        <v>0</v>
      </c>
      <c r="F125" s="25">
        <f t="shared" si="85"/>
        <v>0</v>
      </c>
      <c r="G125" s="36">
        <f t="shared" si="86"/>
        <v>0</v>
      </c>
      <c r="H125" s="36">
        <f t="shared" si="87"/>
        <v>0</v>
      </c>
      <c r="I125" s="36">
        <f t="shared" si="88"/>
        <v>0</v>
      </c>
      <c r="J125" s="9">
        <f t="shared" si="89"/>
        <v>0</v>
      </c>
      <c r="K125" s="9">
        <f t="shared" ref="K125:M125" si="133">($G125-G125)*(C62*$B62)</f>
        <v>0</v>
      </c>
      <c r="L125" s="9">
        <f t="shared" si="133"/>
        <v>0</v>
      </c>
      <c r="M125" s="9">
        <f t="shared" si="133"/>
        <v>0</v>
      </c>
      <c r="N125" s="140">
        <f t="shared" si="91"/>
        <v>0</v>
      </c>
      <c r="P125" s="342"/>
      <c r="Q125" s="76"/>
    </row>
    <row r="126" spans="1:18" x14ac:dyDescent="0.25">
      <c r="A126" s="13" t="s">
        <v>162</v>
      </c>
      <c r="B126" s="40">
        <v>0</v>
      </c>
      <c r="C126" s="394">
        <f t="shared" ref="C126:E126" si="134">C93</f>
        <v>0</v>
      </c>
      <c r="D126" s="394">
        <f t="shared" si="134"/>
        <v>0</v>
      </c>
      <c r="E126" s="394">
        <f t="shared" si="134"/>
        <v>0</v>
      </c>
      <c r="F126" s="25">
        <f t="shared" si="85"/>
        <v>0</v>
      </c>
      <c r="G126" s="36">
        <f t="shared" si="86"/>
        <v>0</v>
      </c>
      <c r="H126" s="36">
        <f t="shared" si="87"/>
        <v>0</v>
      </c>
      <c r="I126" s="36">
        <f t="shared" si="88"/>
        <v>0</v>
      </c>
      <c r="J126" s="9">
        <f t="shared" si="89"/>
        <v>0</v>
      </c>
      <c r="K126" s="9">
        <f t="shared" ref="K126:M126" si="135">($G126-G126)*(C63*$B63)</f>
        <v>0</v>
      </c>
      <c r="L126" s="9">
        <f t="shared" si="135"/>
        <v>0</v>
      </c>
      <c r="M126" s="9">
        <f t="shared" si="135"/>
        <v>0</v>
      </c>
      <c r="N126" s="140">
        <f t="shared" si="91"/>
        <v>0</v>
      </c>
      <c r="P126" s="342"/>
      <c r="Q126" s="76"/>
    </row>
    <row r="127" spans="1:18" x14ac:dyDescent="0.25">
      <c r="A127" s="1" t="s">
        <v>163</v>
      </c>
      <c r="B127" s="10">
        <f>SUM(B103:B126)</f>
        <v>0</v>
      </c>
      <c r="C127" s="37">
        <f>IFERROR(SUMPRODUCT($B$103:$B$126,C103:C126)/$B$127,0)</f>
        <v>0</v>
      </c>
      <c r="D127" s="37">
        <f t="shared" ref="D127:E127" si="136">IFERROR(SUMPRODUCT($B$103:$B$126,D103:D126)/$B$127,0)</f>
        <v>0</v>
      </c>
      <c r="E127" s="37">
        <f t="shared" si="136"/>
        <v>0</v>
      </c>
      <c r="F127" s="37">
        <f>SUM(C127:E127)</f>
        <v>0</v>
      </c>
      <c r="G127" s="10">
        <f>IFERROR(SUMPRODUCT($B$103:$B$126,G103:G126)/$B$127,0)</f>
        <v>0</v>
      </c>
      <c r="H127" s="10">
        <f t="shared" ref="H127:I127" si="137">IFERROR(SUMPRODUCT($B$103:$B$126,H103:H126)/$B$127,0)</f>
        <v>0</v>
      </c>
      <c r="I127" s="10">
        <f t="shared" si="137"/>
        <v>0</v>
      </c>
      <c r="J127" s="10">
        <f>IFERROR(SUMPRODUCT($B$103:$B$126,J103:J126)/$B$127,0)</f>
        <v>0</v>
      </c>
      <c r="K127" s="10">
        <f>SUM(K103:K126)</f>
        <v>0</v>
      </c>
      <c r="L127" s="10">
        <f t="shared" ref="L127:N127" si="138">SUM(L103:L126)</f>
        <v>0</v>
      </c>
      <c r="M127" s="10">
        <f t="shared" si="138"/>
        <v>0</v>
      </c>
      <c r="N127" s="26">
        <f t="shared" si="138"/>
        <v>0</v>
      </c>
      <c r="O127" s="217"/>
      <c r="P127" s="76"/>
      <c r="Q127" s="76"/>
      <c r="R127" s="76"/>
    </row>
    <row r="129" spans="1:30" x14ac:dyDescent="0.25">
      <c r="A129" s="1" t="s">
        <v>332</v>
      </c>
      <c r="D129" s="2"/>
      <c r="E129" s="2"/>
      <c r="H129" s="20" t="s">
        <v>333</v>
      </c>
    </row>
    <row r="130" spans="1:30" ht="18" x14ac:dyDescent="0.35">
      <c r="A130" s="1"/>
      <c r="B130" s="1" t="s">
        <v>334</v>
      </c>
      <c r="D130" s="124">
        <f>44*F130/12</f>
        <v>187</v>
      </c>
      <c r="E130" s="73" t="s">
        <v>335</v>
      </c>
      <c r="F130" s="62">
        <v>51</v>
      </c>
      <c r="G130" t="s">
        <v>96</v>
      </c>
      <c r="H130" s="20" t="s">
        <v>336</v>
      </c>
    </row>
    <row r="131" spans="1:30" x14ac:dyDescent="0.25">
      <c r="A131" s="1"/>
      <c r="B131" s="1" t="s">
        <v>426</v>
      </c>
      <c r="D131" s="703">
        <v>5.7999999999999996E-3</v>
      </c>
      <c r="E131" s="1"/>
      <c r="F131" s="74" t="s">
        <v>338</v>
      </c>
      <c r="H131" s="20" t="s">
        <v>339</v>
      </c>
    </row>
    <row r="132" spans="1:30" x14ac:dyDescent="0.25">
      <c r="A132" s="1"/>
      <c r="B132" s="1" t="s">
        <v>427</v>
      </c>
      <c r="C132" s="1"/>
      <c r="D132" s="5">
        <v>10</v>
      </c>
      <c r="E132" s="1"/>
      <c r="F132" s="63" t="s">
        <v>239</v>
      </c>
      <c r="G132" s="69">
        <f>10000*(D132/100)*D134</f>
        <v>1400</v>
      </c>
      <c r="H132" s="77"/>
      <c r="R132" s="29" t="s">
        <v>342</v>
      </c>
      <c r="S132" s="29"/>
      <c r="T132" s="343">
        <v>0.10482673846153846</v>
      </c>
      <c r="U132" s="29" t="s">
        <v>343</v>
      </c>
    </row>
    <row r="133" spans="1:30" x14ac:dyDescent="0.25">
      <c r="A133" s="1"/>
      <c r="B133" s="1" t="s">
        <v>428</v>
      </c>
      <c r="C133" s="1"/>
      <c r="D133" s="123" t="e">
        <f>G133/G132</f>
        <v>#DIV/0!</v>
      </c>
      <c r="E133" s="1"/>
      <c r="F133" s="63" t="s">
        <v>429</v>
      </c>
      <c r="G133" s="95" t="e">
        <f>'Soil-errosion2'!AP28</f>
        <v>#DIV/0!</v>
      </c>
      <c r="H133" t="s">
        <v>345</v>
      </c>
      <c r="I133" t="s">
        <v>346</v>
      </c>
      <c r="R133" s="29" t="s">
        <v>347</v>
      </c>
      <c r="S133" s="29"/>
      <c r="T133" s="344">
        <v>719.77</v>
      </c>
      <c r="U133" s="29" t="s">
        <v>348</v>
      </c>
    </row>
    <row r="134" spans="1:30" ht="17.25" x14ac:dyDescent="0.25">
      <c r="A134" s="1"/>
      <c r="B134" s="1" t="s">
        <v>430</v>
      </c>
      <c r="C134" s="1"/>
      <c r="D134" s="5">
        <v>1.4</v>
      </c>
      <c r="E134" s="1"/>
      <c r="F134" t="s">
        <v>350</v>
      </c>
      <c r="G134" s="140" t="e">
        <f>D132*G133/G132</f>
        <v>#DIV/0!</v>
      </c>
      <c r="I134" s="20" t="s">
        <v>351</v>
      </c>
    </row>
    <row r="135" spans="1:30" ht="36" customHeight="1" x14ac:dyDescent="0.25">
      <c r="A135" s="838" t="s">
        <v>101</v>
      </c>
      <c r="B135" s="814" t="s">
        <v>509</v>
      </c>
      <c r="C135" s="814"/>
      <c r="D135" s="814"/>
      <c r="E135" s="814"/>
      <c r="F135" s="814"/>
      <c r="H135" s="76"/>
    </row>
    <row r="136" spans="1:30" ht="87" customHeight="1" x14ac:dyDescent="0.25">
      <c r="A136" s="838"/>
      <c r="B136" s="11" t="s">
        <v>353</v>
      </c>
      <c r="C136" s="839" t="s">
        <v>354</v>
      </c>
      <c r="D136" s="839"/>
      <c r="E136" s="839"/>
      <c r="F136" s="839" t="s">
        <v>355</v>
      </c>
      <c r="G136" s="839"/>
      <c r="H136" s="839"/>
      <c r="I136" s="839"/>
      <c r="J136" s="839" t="s">
        <v>356</v>
      </c>
      <c r="K136" s="839"/>
      <c r="L136" s="839"/>
      <c r="M136" s="839"/>
      <c r="N136" s="839" t="s">
        <v>357</v>
      </c>
      <c r="O136" s="839"/>
      <c r="P136" s="839"/>
      <c r="Q136" s="839"/>
      <c r="R136" s="839" t="s">
        <v>472</v>
      </c>
      <c r="S136" s="839" t="s">
        <v>473</v>
      </c>
      <c r="T136" s="839" t="s">
        <v>358</v>
      </c>
      <c r="U136" s="839" t="s">
        <v>359</v>
      </c>
      <c r="V136" s="839" t="s">
        <v>474</v>
      </c>
      <c r="W136" s="839" t="s">
        <v>362</v>
      </c>
      <c r="X136" s="839" t="s">
        <v>475</v>
      </c>
      <c r="Y136" s="839" t="s">
        <v>361</v>
      </c>
      <c r="Z136" s="839" t="s">
        <v>363</v>
      </c>
      <c r="AA136" s="11" t="s">
        <v>364</v>
      </c>
      <c r="AB136" s="11" t="s">
        <v>365</v>
      </c>
      <c r="AC136" s="839" t="s">
        <v>366</v>
      </c>
      <c r="AD136" s="11" t="s">
        <v>367</v>
      </c>
    </row>
    <row r="137" spans="1:30" x14ac:dyDescent="0.25">
      <c r="A137" s="17"/>
      <c r="B137" s="11"/>
      <c r="C137" s="11" t="s">
        <v>234</v>
      </c>
      <c r="D137" s="11" t="s">
        <v>368</v>
      </c>
      <c r="E137" s="11" t="s">
        <v>238</v>
      </c>
      <c r="F137" s="11" t="s">
        <v>234</v>
      </c>
      <c r="G137" s="11" t="s">
        <v>368</v>
      </c>
      <c r="H137" s="11" t="s">
        <v>238</v>
      </c>
      <c r="I137" s="11" t="s">
        <v>120</v>
      </c>
      <c r="J137" s="11" t="s">
        <v>234</v>
      </c>
      <c r="K137" s="11" t="s">
        <v>368</v>
      </c>
      <c r="L137" s="11" t="s">
        <v>238</v>
      </c>
      <c r="M137" s="11" t="s">
        <v>120</v>
      </c>
      <c r="N137" s="11" t="s">
        <v>234</v>
      </c>
      <c r="O137" s="11" t="s">
        <v>368</v>
      </c>
      <c r="P137" s="11" t="s">
        <v>238</v>
      </c>
      <c r="Q137" s="11" t="s">
        <v>120</v>
      </c>
      <c r="R137" s="839"/>
      <c r="S137" s="839"/>
      <c r="T137" s="839"/>
      <c r="U137" s="839"/>
      <c r="V137" s="839"/>
      <c r="W137" s="839"/>
      <c r="X137" s="839"/>
      <c r="Y137" s="839"/>
      <c r="Z137" s="839"/>
      <c r="AA137" s="11"/>
      <c r="AB137" s="11"/>
      <c r="AC137" s="839"/>
    </row>
    <row r="138" spans="1:30" x14ac:dyDescent="0.25">
      <c r="A138" s="13" t="s">
        <v>139</v>
      </c>
      <c r="B138" s="4"/>
      <c r="C138" s="64"/>
      <c r="D138" s="64"/>
      <c r="E138" s="64"/>
      <c r="F138" s="185">
        <f>'Percent-Soil-Carbon-Content'!F4*'Soil-errosion2'!F4</f>
        <v>0</v>
      </c>
      <c r="G138" s="185">
        <f>'Percent-Soil-Carbon-Content'!Q4*'Soil-errosion2'!R4</f>
        <v>0</v>
      </c>
      <c r="H138" s="185">
        <f>'Percent-Soil-Carbon-Content'!AB4*'Soil-errosion2'!AD4</f>
        <v>0</v>
      </c>
      <c r="I138" s="95">
        <f>SUMPRODUCT(F138:H138,$C$40:$E$40)</f>
        <v>0</v>
      </c>
      <c r="J138" s="185">
        <f>F138</f>
        <v>0</v>
      </c>
      <c r="K138" s="185">
        <f t="shared" ref="K138:L138" si="139">G138</f>
        <v>0</v>
      </c>
      <c r="L138" s="185">
        <f t="shared" si="139"/>
        <v>0</v>
      </c>
      <c r="M138" s="185">
        <f>SUMPRODUCT(J138:L138,C70:E70)</f>
        <v>0</v>
      </c>
      <c r="N138" s="67">
        <f>J138*C40*$B40</f>
        <v>0</v>
      </c>
      <c r="O138" s="67">
        <f>K138*D40*$B40</f>
        <v>0</v>
      </c>
      <c r="P138" s="67">
        <f>L138*E40*$B40</f>
        <v>0</v>
      </c>
      <c r="Q138" s="67">
        <f>SUM(N138:P138)</f>
        <v>0</v>
      </c>
      <c r="R138" s="345" t="e">
        <f>'value-of-carbon-in-Greenhouses'!H29</f>
        <v>#DIV/0!</v>
      </c>
      <c r="S138" s="67" t="e">
        <f>R138*$T$132*$T$133/1000000</f>
        <v>#DIV/0!</v>
      </c>
      <c r="T138" s="164">
        <f>'Value-of-fuel-used-under-CT'!F4</f>
        <v>0</v>
      </c>
      <c r="U138" s="67">
        <f>1000*T138*$T$133/1000000</f>
        <v>0</v>
      </c>
      <c r="V138" s="24" t="e">
        <f>Q138+S138+U138</f>
        <v>#DIV/0!</v>
      </c>
      <c r="W138" s="24">
        <f t="shared" ref="W138" si="140">Q138*$D$130</f>
        <v>0</v>
      </c>
      <c r="X138" s="24" t="e">
        <f>S138*$D$130</f>
        <v>#DIV/0!</v>
      </c>
      <c r="Y138" s="24">
        <f>U138*$D$130</f>
        <v>0</v>
      </c>
      <c r="Z138" s="38" t="e">
        <f>V138*$D$130</f>
        <v>#DIV/0!</v>
      </c>
      <c r="AA138" s="9">
        <v>0</v>
      </c>
      <c r="AB138" s="9">
        <v>0</v>
      </c>
      <c r="AC138" s="38" t="e">
        <f t="shared" ref="AC138:AC162" si="141">B138+Z138+AA138+AB138</f>
        <v>#DIV/0!</v>
      </c>
    </row>
    <row r="139" spans="1:30" x14ac:dyDescent="0.25">
      <c r="A139" s="13" t="s">
        <v>140</v>
      </c>
      <c r="B139" s="4"/>
      <c r="C139" s="64"/>
      <c r="D139" s="64"/>
      <c r="E139" s="64"/>
      <c r="F139" s="185">
        <f>'Percent-Soil-Carbon-Content'!F5*'Soil-errosion2'!F5</f>
        <v>0</v>
      </c>
      <c r="G139" s="185">
        <f>'Percent-Soil-Carbon-Content'!Q5*'Soil-errosion2'!R5</f>
        <v>0</v>
      </c>
      <c r="H139" s="185">
        <f>'Percent-Soil-Carbon-Content'!AB5*'Soil-errosion2'!AD5</f>
        <v>0</v>
      </c>
      <c r="I139" s="95">
        <f t="shared" ref="I139:I161" si="142">SUMPRODUCT(F139:H139,$C$40:$E$40)</f>
        <v>0</v>
      </c>
      <c r="J139" s="185">
        <f t="shared" ref="J139:J161" si="143">F139</f>
        <v>0</v>
      </c>
      <c r="K139" s="185">
        <f t="shared" ref="K139:K161" si="144">G139</f>
        <v>0</v>
      </c>
      <c r="L139" s="185">
        <f t="shared" ref="L139:L161" si="145">H139</f>
        <v>0</v>
      </c>
      <c r="M139" s="185">
        <f t="shared" ref="M139:M161" si="146">SUMPRODUCT(J139:L139,C71:E71)</f>
        <v>0</v>
      </c>
      <c r="N139" s="67">
        <f t="shared" ref="N139:P139" si="147">J139*C41*$B41</f>
        <v>0</v>
      </c>
      <c r="O139" s="67">
        <f t="shared" si="147"/>
        <v>0</v>
      </c>
      <c r="P139" s="67">
        <f t="shared" si="147"/>
        <v>0</v>
      </c>
      <c r="Q139" s="67">
        <f t="shared" ref="Q139:Q161" si="148">SUM(N139:P139)</f>
        <v>0</v>
      </c>
      <c r="R139" s="345" t="e">
        <f>'value-of-carbon-in-Greenhouses'!H30</f>
        <v>#DIV/0!</v>
      </c>
      <c r="S139" s="67" t="e">
        <f t="shared" ref="S139:S161" si="149">R139*$T$132*$T$133/1000000</f>
        <v>#DIV/0!</v>
      </c>
      <c r="T139" s="164">
        <f>'Value-of-fuel-used-under-CT'!F5</f>
        <v>0</v>
      </c>
      <c r="U139" s="67">
        <f t="shared" ref="U139:U161" si="150">1000*T139*$T$133/1000000</f>
        <v>0</v>
      </c>
      <c r="V139" s="24" t="e">
        <f t="shared" ref="V139:V161" si="151">Q139+S139+U139</f>
        <v>#DIV/0!</v>
      </c>
      <c r="W139" s="24">
        <f t="shared" ref="W139:W161" si="152">Q139*$D$130</f>
        <v>0</v>
      </c>
      <c r="X139" s="24" t="e">
        <f t="shared" ref="X139:X161" si="153">S139*$D$130</f>
        <v>#DIV/0!</v>
      </c>
      <c r="Y139" s="24">
        <f t="shared" ref="Y139:Y161" si="154">U139*$D$130</f>
        <v>0</v>
      </c>
      <c r="Z139" s="38" t="e">
        <f t="shared" ref="Z139:Z161" si="155">V139*$D$130</f>
        <v>#DIV/0!</v>
      </c>
      <c r="AA139" s="9">
        <v>0</v>
      </c>
      <c r="AB139" s="9">
        <v>0</v>
      </c>
      <c r="AC139" s="38" t="e">
        <f t="shared" ref="AC139:AC161" si="156">B139+Z139+AA139+AB139</f>
        <v>#DIV/0!</v>
      </c>
    </row>
    <row r="140" spans="1:30" x14ac:dyDescent="0.25">
      <c r="A140" s="13" t="s">
        <v>141</v>
      </c>
      <c r="B140" s="4"/>
      <c r="C140" s="64"/>
      <c r="D140" s="64"/>
      <c r="E140" s="64"/>
      <c r="F140" s="185">
        <f>'Percent-Soil-Carbon-Content'!F6*'Soil-errosion2'!F6</f>
        <v>0</v>
      </c>
      <c r="G140" s="185">
        <f>'Percent-Soil-Carbon-Content'!Q6*'Soil-errosion2'!R6</f>
        <v>0</v>
      </c>
      <c r="H140" s="185">
        <f>'Percent-Soil-Carbon-Content'!AB6*'Soil-errosion2'!AD6</f>
        <v>0</v>
      </c>
      <c r="I140" s="95">
        <f t="shared" si="142"/>
        <v>0</v>
      </c>
      <c r="J140" s="185">
        <f t="shared" si="143"/>
        <v>0</v>
      </c>
      <c r="K140" s="185">
        <f t="shared" si="144"/>
        <v>0</v>
      </c>
      <c r="L140" s="185">
        <f t="shared" si="145"/>
        <v>0</v>
      </c>
      <c r="M140" s="185">
        <f t="shared" si="146"/>
        <v>0</v>
      </c>
      <c r="N140" s="67">
        <f t="shared" ref="N140:P140" si="157">J140*C42*$B42</f>
        <v>0</v>
      </c>
      <c r="O140" s="67">
        <f t="shared" si="157"/>
        <v>0</v>
      </c>
      <c r="P140" s="67">
        <f t="shared" si="157"/>
        <v>0</v>
      </c>
      <c r="Q140" s="67">
        <f t="shared" si="148"/>
        <v>0</v>
      </c>
      <c r="R140" s="345" t="e">
        <f>'value-of-carbon-in-Greenhouses'!H31</f>
        <v>#DIV/0!</v>
      </c>
      <c r="S140" s="67" t="e">
        <f t="shared" si="149"/>
        <v>#DIV/0!</v>
      </c>
      <c r="T140" s="164">
        <f>'Value-of-fuel-used-under-CT'!F6</f>
        <v>0</v>
      </c>
      <c r="U140" s="67">
        <f t="shared" si="150"/>
        <v>0</v>
      </c>
      <c r="V140" s="24" t="e">
        <f t="shared" si="151"/>
        <v>#DIV/0!</v>
      </c>
      <c r="W140" s="24">
        <f t="shared" si="152"/>
        <v>0</v>
      </c>
      <c r="X140" s="24" t="e">
        <f t="shared" si="153"/>
        <v>#DIV/0!</v>
      </c>
      <c r="Y140" s="24">
        <f t="shared" si="154"/>
        <v>0</v>
      </c>
      <c r="Z140" s="38" t="e">
        <f t="shared" si="155"/>
        <v>#DIV/0!</v>
      </c>
      <c r="AA140" s="9">
        <v>0</v>
      </c>
      <c r="AB140" s="9">
        <v>0</v>
      </c>
      <c r="AC140" s="38" t="e">
        <f t="shared" si="156"/>
        <v>#DIV/0!</v>
      </c>
    </row>
    <row r="141" spans="1:30" x14ac:dyDescent="0.25">
      <c r="A141" s="13" t="s">
        <v>142</v>
      </c>
      <c r="B141" s="4"/>
      <c r="C141" s="64"/>
      <c r="D141" s="64"/>
      <c r="E141" s="64"/>
      <c r="F141" s="185">
        <f>'Percent-Soil-Carbon-Content'!F7*'Soil-errosion2'!F7</f>
        <v>0</v>
      </c>
      <c r="G141" s="185">
        <f>'Percent-Soil-Carbon-Content'!Q7*'Soil-errosion2'!R7</f>
        <v>0</v>
      </c>
      <c r="H141" s="185">
        <f>'Percent-Soil-Carbon-Content'!AB7*'Soil-errosion2'!AD7</f>
        <v>0</v>
      </c>
      <c r="I141" s="95">
        <f t="shared" si="142"/>
        <v>0</v>
      </c>
      <c r="J141" s="185">
        <f t="shared" si="143"/>
        <v>0</v>
      </c>
      <c r="K141" s="185">
        <f t="shared" si="144"/>
        <v>0</v>
      </c>
      <c r="L141" s="185">
        <f t="shared" si="145"/>
        <v>0</v>
      </c>
      <c r="M141" s="185">
        <f t="shared" si="146"/>
        <v>0</v>
      </c>
      <c r="N141" s="67">
        <f t="shared" ref="N141:P141" si="158">J141*C43*$B43</f>
        <v>0</v>
      </c>
      <c r="O141" s="67">
        <f t="shared" si="158"/>
        <v>0</v>
      </c>
      <c r="P141" s="67">
        <f t="shared" si="158"/>
        <v>0</v>
      </c>
      <c r="Q141" s="67">
        <f t="shared" si="148"/>
        <v>0</v>
      </c>
      <c r="R141" s="345" t="e">
        <f>'value-of-carbon-in-Greenhouses'!H32</f>
        <v>#DIV/0!</v>
      </c>
      <c r="S141" s="67" t="e">
        <f t="shared" si="149"/>
        <v>#DIV/0!</v>
      </c>
      <c r="T141" s="164">
        <f>'Value-of-fuel-used-under-CT'!F7</f>
        <v>0</v>
      </c>
      <c r="U141" s="67">
        <f t="shared" si="150"/>
        <v>0</v>
      </c>
      <c r="V141" s="24" t="e">
        <f t="shared" si="151"/>
        <v>#DIV/0!</v>
      </c>
      <c r="W141" s="24">
        <f t="shared" si="152"/>
        <v>0</v>
      </c>
      <c r="X141" s="24" t="e">
        <f t="shared" si="153"/>
        <v>#DIV/0!</v>
      </c>
      <c r="Y141" s="24">
        <f t="shared" si="154"/>
        <v>0</v>
      </c>
      <c r="Z141" s="38" t="e">
        <f t="shared" si="155"/>
        <v>#DIV/0!</v>
      </c>
      <c r="AA141" s="9">
        <v>0</v>
      </c>
      <c r="AB141" s="9">
        <v>0</v>
      </c>
      <c r="AC141" s="38" t="e">
        <f t="shared" si="156"/>
        <v>#DIV/0!</v>
      </c>
    </row>
    <row r="142" spans="1:30" x14ac:dyDescent="0.25">
      <c r="A142" s="13" t="s">
        <v>143</v>
      </c>
      <c r="B142" s="4"/>
      <c r="C142" s="64"/>
      <c r="D142" s="64"/>
      <c r="E142" s="64"/>
      <c r="F142" s="185">
        <f>'Percent-Soil-Carbon-Content'!F8*'Soil-errosion2'!F8</f>
        <v>0</v>
      </c>
      <c r="G142" s="185">
        <f>'Percent-Soil-Carbon-Content'!Q8*'Soil-errosion2'!R8</f>
        <v>0</v>
      </c>
      <c r="H142" s="185">
        <f>'Percent-Soil-Carbon-Content'!AB8*'Soil-errosion2'!AD8</f>
        <v>0</v>
      </c>
      <c r="I142" s="95">
        <f t="shared" si="142"/>
        <v>0</v>
      </c>
      <c r="J142" s="185">
        <f t="shared" si="143"/>
        <v>0</v>
      </c>
      <c r="K142" s="185">
        <f t="shared" si="144"/>
        <v>0</v>
      </c>
      <c r="L142" s="185">
        <f t="shared" si="145"/>
        <v>0</v>
      </c>
      <c r="M142" s="185">
        <f t="shared" si="146"/>
        <v>0</v>
      </c>
      <c r="N142" s="67">
        <f t="shared" ref="N142:P142" si="159">J142*C44*$B44</f>
        <v>0</v>
      </c>
      <c r="O142" s="67">
        <f t="shared" si="159"/>
        <v>0</v>
      </c>
      <c r="P142" s="67">
        <f t="shared" si="159"/>
        <v>0</v>
      </c>
      <c r="Q142" s="67">
        <f t="shared" si="148"/>
        <v>0</v>
      </c>
      <c r="R142" s="345" t="e">
        <f>'value-of-carbon-in-Greenhouses'!H33</f>
        <v>#DIV/0!</v>
      </c>
      <c r="S142" s="67" t="e">
        <f t="shared" si="149"/>
        <v>#DIV/0!</v>
      </c>
      <c r="T142" s="164">
        <f>'Value-of-fuel-used-under-CT'!F8</f>
        <v>0</v>
      </c>
      <c r="U142" s="67">
        <f t="shared" si="150"/>
        <v>0</v>
      </c>
      <c r="V142" s="24" t="e">
        <f t="shared" si="151"/>
        <v>#DIV/0!</v>
      </c>
      <c r="W142" s="24">
        <f t="shared" si="152"/>
        <v>0</v>
      </c>
      <c r="X142" s="24" t="e">
        <f t="shared" si="153"/>
        <v>#DIV/0!</v>
      </c>
      <c r="Y142" s="24">
        <f t="shared" si="154"/>
        <v>0</v>
      </c>
      <c r="Z142" s="38" t="e">
        <f t="shared" si="155"/>
        <v>#DIV/0!</v>
      </c>
      <c r="AA142" s="9">
        <v>0</v>
      </c>
      <c r="AB142" s="9">
        <v>0</v>
      </c>
      <c r="AC142" s="38" t="e">
        <f t="shared" si="156"/>
        <v>#DIV/0!</v>
      </c>
    </row>
    <row r="143" spans="1:30" x14ac:dyDescent="0.25">
      <c r="A143" s="13" t="s">
        <v>144</v>
      </c>
      <c r="B143" s="4"/>
      <c r="C143" s="64"/>
      <c r="D143" s="64"/>
      <c r="E143" s="64"/>
      <c r="F143" s="185">
        <f>'Percent-Soil-Carbon-Content'!F9*'Soil-errosion2'!F9</f>
        <v>0</v>
      </c>
      <c r="G143" s="185">
        <f>'Percent-Soil-Carbon-Content'!Q9*'Soil-errosion2'!R9</f>
        <v>0</v>
      </c>
      <c r="H143" s="185">
        <f>'Percent-Soil-Carbon-Content'!AB9*'Soil-errosion2'!AD9</f>
        <v>0</v>
      </c>
      <c r="I143" s="95">
        <f t="shared" si="142"/>
        <v>0</v>
      </c>
      <c r="J143" s="185">
        <f t="shared" si="143"/>
        <v>0</v>
      </c>
      <c r="K143" s="185">
        <f t="shared" si="144"/>
        <v>0</v>
      </c>
      <c r="L143" s="185">
        <f t="shared" si="145"/>
        <v>0</v>
      </c>
      <c r="M143" s="185">
        <f t="shared" si="146"/>
        <v>0</v>
      </c>
      <c r="N143" s="67">
        <f t="shared" ref="N143:P143" si="160">J143*C45*$B45</f>
        <v>0</v>
      </c>
      <c r="O143" s="67">
        <f t="shared" si="160"/>
        <v>0</v>
      </c>
      <c r="P143" s="67">
        <f t="shared" si="160"/>
        <v>0</v>
      </c>
      <c r="Q143" s="67">
        <f t="shared" si="148"/>
        <v>0</v>
      </c>
      <c r="R143" s="345" t="e">
        <f>'value-of-carbon-in-Greenhouses'!H34</f>
        <v>#DIV/0!</v>
      </c>
      <c r="S143" s="67" t="e">
        <f t="shared" si="149"/>
        <v>#DIV/0!</v>
      </c>
      <c r="T143" s="164">
        <f>'Value-of-fuel-used-under-CT'!F9</f>
        <v>0</v>
      </c>
      <c r="U143" s="67">
        <f t="shared" si="150"/>
        <v>0</v>
      </c>
      <c r="V143" s="24" t="e">
        <f t="shared" si="151"/>
        <v>#DIV/0!</v>
      </c>
      <c r="W143" s="24">
        <f t="shared" si="152"/>
        <v>0</v>
      </c>
      <c r="X143" s="24" t="e">
        <f t="shared" si="153"/>
        <v>#DIV/0!</v>
      </c>
      <c r="Y143" s="24">
        <f t="shared" si="154"/>
        <v>0</v>
      </c>
      <c r="Z143" s="38" t="e">
        <f t="shared" si="155"/>
        <v>#DIV/0!</v>
      </c>
      <c r="AA143" s="9">
        <v>0</v>
      </c>
      <c r="AB143" s="9">
        <v>0</v>
      </c>
      <c r="AC143" s="38" t="e">
        <f t="shared" si="156"/>
        <v>#DIV/0!</v>
      </c>
    </row>
    <row r="144" spans="1:30" x14ac:dyDescent="0.25">
      <c r="A144" s="13" t="s">
        <v>145</v>
      </c>
      <c r="B144" s="4"/>
      <c r="C144" s="64"/>
      <c r="D144" s="64"/>
      <c r="E144" s="64"/>
      <c r="F144" s="185">
        <f>'Percent-Soil-Carbon-Content'!F10*'Soil-errosion2'!F10</f>
        <v>0</v>
      </c>
      <c r="G144" s="185">
        <f>'Percent-Soil-Carbon-Content'!Q10*'Soil-errosion2'!R10</f>
        <v>0</v>
      </c>
      <c r="H144" s="185">
        <f>'Percent-Soil-Carbon-Content'!AB10*'Soil-errosion2'!AD10</f>
        <v>0</v>
      </c>
      <c r="I144" s="95">
        <f t="shared" si="142"/>
        <v>0</v>
      </c>
      <c r="J144" s="185">
        <f t="shared" si="143"/>
        <v>0</v>
      </c>
      <c r="K144" s="185">
        <f t="shared" si="144"/>
        <v>0</v>
      </c>
      <c r="L144" s="185">
        <f t="shared" si="145"/>
        <v>0</v>
      </c>
      <c r="M144" s="185">
        <f t="shared" si="146"/>
        <v>0</v>
      </c>
      <c r="N144" s="67">
        <f t="shared" ref="N144:P144" si="161">J144*C46*$B46</f>
        <v>0</v>
      </c>
      <c r="O144" s="67">
        <f t="shared" si="161"/>
        <v>0</v>
      </c>
      <c r="P144" s="67">
        <f t="shared" si="161"/>
        <v>0</v>
      </c>
      <c r="Q144" s="67">
        <f t="shared" si="148"/>
        <v>0</v>
      </c>
      <c r="R144" s="345" t="e">
        <f>'value-of-carbon-in-Greenhouses'!H35</f>
        <v>#DIV/0!</v>
      </c>
      <c r="S144" s="67" t="e">
        <f t="shared" si="149"/>
        <v>#DIV/0!</v>
      </c>
      <c r="T144" s="164">
        <f>'Value-of-fuel-used-under-CT'!F10</f>
        <v>0</v>
      </c>
      <c r="U144" s="67">
        <f t="shared" si="150"/>
        <v>0</v>
      </c>
      <c r="V144" s="24" t="e">
        <f t="shared" si="151"/>
        <v>#DIV/0!</v>
      </c>
      <c r="W144" s="24">
        <f t="shared" si="152"/>
        <v>0</v>
      </c>
      <c r="X144" s="24" t="e">
        <f t="shared" si="153"/>
        <v>#DIV/0!</v>
      </c>
      <c r="Y144" s="24">
        <f t="shared" si="154"/>
        <v>0</v>
      </c>
      <c r="Z144" s="38" t="e">
        <f t="shared" si="155"/>
        <v>#DIV/0!</v>
      </c>
      <c r="AA144" s="9">
        <v>0</v>
      </c>
      <c r="AB144" s="9">
        <v>0</v>
      </c>
      <c r="AC144" s="38" t="e">
        <f t="shared" si="156"/>
        <v>#DIV/0!</v>
      </c>
    </row>
    <row r="145" spans="1:29" x14ac:dyDescent="0.25">
      <c r="A145" s="13" t="s">
        <v>146</v>
      </c>
      <c r="B145" s="4"/>
      <c r="C145" s="64"/>
      <c r="D145" s="64"/>
      <c r="E145" s="64"/>
      <c r="F145" s="185">
        <f>'Percent-Soil-Carbon-Content'!F11*'Soil-errosion2'!F11</f>
        <v>0</v>
      </c>
      <c r="G145" s="185">
        <f>'Percent-Soil-Carbon-Content'!Q11*'Soil-errosion2'!R11</f>
        <v>0</v>
      </c>
      <c r="H145" s="185">
        <f>'Percent-Soil-Carbon-Content'!AB11*'Soil-errosion2'!AD11</f>
        <v>0</v>
      </c>
      <c r="I145" s="95">
        <f t="shared" si="142"/>
        <v>0</v>
      </c>
      <c r="J145" s="185">
        <f t="shared" si="143"/>
        <v>0</v>
      </c>
      <c r="K145" s="185">
        <f t="shared" si="144"/>
        <v>0</v>
      </c>
      <c r="L145" s="185">
        <f t="shared" si="145"/>
        <v>0</v>
      </c>
      <c r="M145" s="185">
        <f t="shared" si="146"/>
        <v>0</v>
      </c>
      <c r="N145" s="67">
        <f t="shared" ref="N145:P145" si="162">J145*C47*$B47</f>
        <v>0</v>
      </c>
      <c r="O145" s="67">
        <f t="shared" si="162"/>
        <v>0</v>
      </c>
      <c r="P145" s="67">
        <f t="shared" si="162"/>
        <v>0</v>
      </c>
      <c r="Q145" s="67">
        <f t="shared" si="148"/>
        <v>0</v>
      </c>
      <c r="R145" s="345" t="e">
        <f>'value-of-carbon-in-Greenhouses'!H36</f>
        <v>#DIV/0!</v>
      </c>
      <c r="S145" s="67" t="e">
        <f t="shared" si="149"/>
        <v>#DIV/0!</v>
      </c>
      <c r="T145" s="164">
        <f>'Value-of-fuel-used-under-CT'!F11</f>
        <v>0</v>
      </c>
      <c r="U145" s="67">
        <f t="shared" si="150"/>
        <v>0</v>
      </c>
      <c r="V145" s="24" t="e">
        <f t="shared" si="151"/>
        <v>#DIV/0!</v>
      </c>
      <c r="W145" s="24">
        <f t="shared" si="152"/>
        <v>0</v>
      </c>
      <c r="X145" s="24" t="e">
        <f t="shared" si="153"/>
        <v>#DIV/0!</v>
      </c>
      <c r="Y145" s="24">
        <f t="shared" si="154"/>
        <v>0</v>
      </c>
      <c r="Z145" s="38" t="e">
        <f t="shared" si="155"/>
        <v>#DIV/0!</v>
      </c>
      <c r="AA145" s="9">
        <v>0</v>
      </c>
      <c r="AB145" s="9">
        <v>0</v>
      </c>
      <c r="AC145" s="38" t="e">
        <f t="shared" si="156"/>
        <v>#DIV/0!</v>
      </c>
    </row>
    <row r="146" spans="1:29" x14ac:dyDescent="0.25">
      <c r="A146" s="13" t="s">
        <v>147</v>
      </c>
      <c r="B146" s="4"/>
      <c r="C146" s="64"/>
      <c r="D146" s="64"/>
      <c r="E146" s="64"/>
      <c r="F146" s="185">
        <f>'Percent-Soil-Carbon-Content'!F12*'Soil-errosion2'!F12</f>
        <v>0</v>
      </c>
      <c r="G146" s="185">
        <f>'Percent-Soil-Carbon-Content'!Q12*'Soil-errosion2'!R12</f>
        <v>0</v>
      </c>
      <c r="H146" s="185">
        <f>'Percent-Soil-Carbon-Content'!AB12*'Soil-errosion2'!AD12</f>
        <v>0</v>
      </c>
      <c r="I146" s="95">
        <f t="shared" si="142"/>
        <v>0</v>
      </c>
      <c r="J146" s="185">
        <f t="shared" si="143"/>
        <v>0</v>
      </c>
      <c r="K146" s="185">
        <f t="shared" si="144"/>
        <v>0</v>
      </c>
      <c r="L146" s="185">
        <f t="shared" si="145"/>
        <v>0</v>
      </c>
      <c r="M146" s="185">
        <f t="shared" si="146"/>
        <v>0</v>
      </c>
      <c r="N146" s="67">
        <f t="shared" ref="N146:P146" si="163">J146*C48*$B48</f>
        <v>0</v>
      </c>
      <c r="O146" s="67">
        <f t="shared" si="163"/>
        <v>0</v>
      </c>
      <c r="P146" s="67">
        <f t="shared" si="163"/>
        <v>0</v>
      </c>
      <c r="Q146" s="67">
        <f t="shared" si="148"/>
        <v>0</v>
      </c>
      <c r="R146" s="345" t="e">
        <f>'value-of-carbon-in-Greenhouses'!H37</f>
        <v>#DIV/0!</v>
      </c>
      <c r="S146" s="67" t="e">
        <f t="shared" si="149"/>
        <v>#DIV/0!</v>
      </c>
      <c r="T146" s="164">
        <f>'Value-of-fuel-used-under-CT'!F12</f>
        <v>0</v>
      </c>
      <c r="U146" s="67">
        <f t="shared" si="150"/>
        <v>0</v>
      </c>
      <c r="V146" s="24" t="e">
        <f t="shared" si="151"/>
        <v>#DIV/0!</v>
      </c>
      <c r="W146" s="24">
        <f t="shared" si="152"/>
        <v>0</v>
      </c>
      <c r="X146" s="24" t="e">
        <f t="shared" si="153"/>
        <v>#DIV/0!</v>
      </c>
      <c r="Y146" s="24">
        <f t="shared" si="154"/>
        <v>0</v>
      </c>
      <c r="Z146" s="38" t="e">
        <f t="shared" si="155"/>
        <v>#DIV/0!</v>
      </c>
      <c r="AA146" s="9">
        <v>0</v>
      </c>
      <c r="AB146" s="9">
        <v>0</v>
      </c>
      <c r="AC146" s="38" t="e">
        <f t="shared" si="156"/>
        <v>#DIV/0!</v>
      </c>
    </row>
    <row r="147" spans="1:29" x14ac:dyDescent="0.25">
      <c r="A147" s="13" t="s">
        <v>148</v>
      </c>
      <c r="B147" s="4"/>
      <c r="C147" s="64"/>
      <c r="D147" s="64"/>
      <c r="E147" s="64"/>
      <c r="F147" s="185">
        <f>'Percent-Soil-Carbon-Content'!F13*'Soil-errosion2'!F13</f>
        <v>0</v>
      </c>
      <c r="G147" s="185">
        <f>'Percent-Soil-Carbon-Content'!Q13*'Soil-errosion2'!R13</f>
        <v>0</v>
      </c>
      <c r="H147" s="185">
        <f>'Percent-Soil-Carbon-Content'!AB13*'Soil-errosion2'!AD13</f>
        <v>0</v>
      </c>
      <c r="I147" s="95">
        <f t="shared" si="142"/>
        <v>0</v>
      </c>
      <c r="J147" s="185">
        <f t="shared" si="143"/>
        <v>0</v>
      </c>
      <c r="K147" s="185">
        <f t="shared" si="144"/>
        <v>0</v>
      </c>
      <c r="L147" s="185">
        <f t="shared" si="145"/>
        <v>0</v>
      </c>
      <c r="M147" s="185">
        <f t="shared" si="146"/>
        <v>0</v>
      </c>
      <c r="N147" s="67">
        <f t="shared" ref="N147:P147" si="164">J147*C49*$B49</f>
        <v>0</v>
      </c>
      <c r="O147" s="67">
        <f t="shared" si="164"/>
        <v>0</v>
      </c>
      <c r="P147" s="67">
        <f t="shared" si="164"/>
        <v>0</v>
      </c>
      <c r="Q147" s="67">
        <f t="shared" si="148"/>
        <v>0</v>
      </c>
      <c r="R147" s="345" t="e">
        <f>'value-of-carbon-in-Greenhouses'!H38</f>
        <v>#DIV/0!</v>
      </c>
      <c r="S147" s="67" t="e">
        <f t="shared" si="149"/>
        <v>#DIV/0!</v>
      </c>
      <c r="T147" s="164">
        <f>'Value-of-fuel-used-under-CT'!F13</f>
        <v>0</v>
      </c>
      <c r="U147" s="67">
        <f t="shared" si="150"/>
        <v>0</v>
      </c>
      <c r="V147" s="24" t="e">
        <f t="shared" si="151"/>
        <v>#DIV/0!</v>
      </c>
      <c r="W147" s="24">
        <f t="shared" si="152"/>
        <v>0</v>
      </c>
      <c r="X147" s="24" t="e">
        <f t="shared" si="153"/>
        <v>#DIV/0!</v>
      </c>
      <c r="Y147" s="24">
        <f t="shared" si="154"/>
        <v>0</v>
      </c>
      <c r="Z147" s="38" t="e">
        <f t="shared" si="155"/>
        <v>#DIV/0!</v>
      </c>
      <c r="AA147" s="9">
        <v>0</v>
      </c>
      <c r="AB147" s="9">
        <v>0</v>
      </c>
      <c r="AC147" s="38" t="e">
        <f t="shared" si="156"/>
        <v>#DIV/0!</v>
      </c>
    </row>
    <row r="148" spans="1:29" x14ac:dyDescent="0.25">
      <c r="A148" s="13" t="s">
        <v>149</v>
      </c>
      <c r="B148" s="4"/>
      <c r="C148" s="64"/>
      <c r="D148" s="64"/>
      <c r="E148" s="64"/>
      <c r="F148" s="185">
        <f>'Percent-Soil-Carbon-Content'!F14*'Soil-errosion2'!F14</f>
        <v>0</v>
      </c>
      <c r="G148" s="185">
        <f>'Percent-Soil-Carbon-Content'!Q14*'Soil-errosion2'!R14</f>
        <v>0</v>
      </c>
      <c r="H148" s="185">
        <f>'Percent-Soil-Carbon-Content'!AB14*'Soil-errosion2'!AD14</f>
        <v>0</v>
      </c>
      <c r="I148" s="95">
        <f t="shared" si="142"/>
        <v>0</v>
      </c>
      <c r="J148" s="185">
        <f t="shared" si="143"/>
        <v>0</v>
      </c>
      <c r="K148" s="185">
        <f t="shared" si="144"/>
        <v>0</v>
      </c>
      <c r="L148" s="185">
        <f t="shared" si="145"/>
        <v>0</v>
      </c>
      <c r="M148" s="185">
        <f t="shared" si="146"/>
        <v>0</v>
      </c>
      <c r="N148" s="67">
        <f t="shared" ref="N148:P148" si="165">J148*C50*$B50</f>
        <v>0</v>
      </c>
      <c r="O148" s="67">
        <f t="shared" si="165"/>
        <v>0</v>
      </c>
      <c r="P148" s="67">
        <f t="shared" si="165"/>
        <v>0</v>
      </c>
      <c r="Q148" s="67">
        <f t="shared" si="148"/>
        <v>0</v>
      </c>
      <c r="R148" s="345" t="e">
        <f>'value-of-carbon-in-Greenhouses'!H39</f>
        <v>#DIV/0!</v>
      </c>
      <c r="S148" s="67" t="e">
        <f t="shared" si="149"/>
        <v>#DIV/0!</v>
      </c>
      <c r="T148" s="164">
        <f>'Value-of-fuel-used-under-CT'!F14</f>
        <v>0</v>
      </c>
      <c r="U148" s="67">
        <f t="shared" si="150"/>
        <v>0</v>
      </c>
      <c r="V148" s="24" t="e">
        <f t="shared" si="151"/>
        <v>#DIV/0!</v>
      </c>
      <c r="W148" s="24">
        <f t="shared" si="152"/>
        <v>0</v>
      </c>
      <c r="X148" s="24" t="e">
        <f t="shared" si="153"/>
        <v>#DIV/0!</v>
      </c>
      <c r="Y148" s="24">
        <f t="shared" si="154"/>
        <v>0</v>
      </c>
      <c r="Z148" s="38" t="e">
        <f t="shared" si="155"/>
        <v>#DIV/0!</v>
      </c>
      <c r="AA148" s="9">
        <v>0</v>
      </c>
      <c r="AB148" s="9">
        <v>0</v>
      </c>
      <c r="AC148" s="38" t="e">
        <f t="shared" si="156"/>
        <v>#DIV/0!</v>
      </c>
    </row>
    <row r="149" spans="1:29" x14ac:dyDescent="0.25">
      <c r="A149" s="13" t="s">
        <v>150</v>
      </c>
      <c r="B149" s="4"/>
      <c r="C149" s="64"/>
      <c r="D149" s="64"/>
      <c r="E149" s="64"/>
      <c r="F149" s="185">
        <f>'Percent-Soil-Carbon-Content'!F15*'Soil-errosion2'!F15</f>
        <v>0</v>
      </c>
      <c r="G149" s="185">
        <f>'Percent-Soil-Carbon-Content'!Q15*'Soil-errosion2'!R15</f>
        <v>0</v>
      </c>
      <c r="H149" s="185">
        <f>'Percent-Soil-Carbon-Content'!AB15*'Soil-errosion2'!AD15</f>
        <v>0</v>
      </c>
      <c r="I149" s="95">
        <f t="shared" si="142"/>
        <v>0</v>
      </c>
      <c r="J149" s="185">
        <f t="shared" si="143"/>
        <v>0</v>
      </c>
      <c r="K149" s="185">
        <f t="shared" si="144"/>
        <v>0</v>
      </c>
      <c r="L149" s="185">
        <f t="shared" si="145"/>
        <v>0</v>
      </c>
      <c r="M149" s="185">
        <f t="shared" si="146"/>
        <v>0</v>
      </c>
      <c r="N149" s="67">
        <f t="shared" ref="N149:P149" si="166">J149*C51*$B51</f>
        <v>0</v>
      </c>
      <c r="O149" s="67">
        <f t="shared" si="166"/>
        <v>0</v>
      </c>
      <c r="P149" s="67">
        <f t="shared" si="166"/>
        <v>0</v>
      </c>
      <c r="Q149" s="67">
        <f t="shared" si="148"/>
        <v>0</v>
      </c>
      <c r="R149" s="345" t="e">
        <f>'value-of-carbon-in-Greenhouses'!H40</f>
        <v>#DIV/0!</v>
      </c>
      <c r="S149" s="67" t="e">
        <f t="shared" si="149"/>
        <v>#DIV/0!</v>
      </c>
      <c r="T149" s="164">
        <f>'Value-of-fuel-used-under-CT'!F15</f>
        <v>0</v>
      </c>
      <c r="U149" s="67">
        <f t="shared" si="150"/>
        <v>0</v>
      </c>
      <c r="V149" s="24" t="e">
        <f t="shared" si="151"/>
        <v>#DIV/0!</v>
      </c>
      <c r="W149" s="24">
        <f t="shared" si="152"/>
        <v>0</v>
      </c>
      <c r="X149" s="24" t="e">
        <f t="shared" si="153"/>
        <v>#DIV/0!</v>
      </c>
      <c r="Y149" s="24">
        <f t="shared" si="154"/>
        <v>0</v>
      </c>
      <c r="Z149" s="38" t="e">
        <f t="shared" si="155"/>
        <v>#DIV/0!</v>
      </c>
      <c r="AA149" s="9">
        <v>0</v>
      </c>
      <c r="AB149" s="9">
        <v>0</v>
      </c>
      <c r="AC149" s="38" t="e">
        <f t="shared" si="156"/>
        <v>#DIV/0!</v>
      </c>
    </row>
    <row r="150" spans="1:29" x14ac:dyDescent="0.25">
      <c r="A150" s="13" t="s">
        <v>151</v>
      </c>
      <c r="B150" s="4"/>
      <c r="C150" s="64"/>
      <c r="D150" s="64"/>
      <c r="E150" s="64"/>
      <c r="F150" s="185">
        <f>'Percent-Soil-Carbon-Content'!F16*'Soil-errosion2'!F16</f>
        <v>0</v>
      </c>
      <c r="G150" s="185">
        <f>'Percent-Soil-Carbon-Content'!Q16*'Soil-errosion2'!R16</f>
        <v>0</v>
      </c>
      <c r="H150" s="185">
        <f>'Percent-Soil-Carbon-Content'!AB16*'Soil-errosion2'!AD16</f>
        <v>0</v>
      </c>
      <c r="I150" s="95">
        <f t="shared" si="142"/>
        <v>0</v>
      </c>
      <c r="J150" s="185">
        <f t="shared" si="143"/>
        <v>0</v>
      </c>
      <c r="K150" s="185">
        <f t="shared" si="144"/>
        <v>0</v>
      </c>
      <c r="L150" s="185">
        <f t="shared" si="145"/>
        <v>0</v>
      </c>
      <c r="M150" s="185">
        <f t="shared" si="146"/>
        <v>0</v>
      </c>
      <c r="N150" s="67">
        <f t="shared" ref="N150:P150" si="167">J150*C52*$B52</f>
        <v>0</v>
      </c>
      <c r="O150" s="67">
        <f t="shared" si="167"/>
        <v>0</v>
      </c>
      <c r="P150" s="67">
        <f t="shared" si="167"/>
        <v>0</v>
      </c>
      <c r="Q150" s="67">
        <f t="shared" si="148"/>
        <v>0</v>
      </c>
      <c r="R150" s="345" t="e">
        <f>'value-of-carbon-in-Greenhouses'!H41</f>
        <v>#DIV/0!</v>
      </c>
      <c r="S150" s="67" t="e">
        <f t="shared" si="149"/>
        <v>#DIV/0!</v>
      </c>
      <c r="T150" s="164">
        <f>'Value-of-fuel-used-under-CT'!F16</f>
        <v>0</v>
      </c>
      <c r="U150" s="67">
        <f t="shared" si="150"/>
        <v>0</v>
      </c>
      <c r="V150" s="24" t="e">
        <f t="shared" si="151"/>
        <v>#DIV/0!</v>
      </c>
      <c r="W150" s="24">
        <f t="shared" si="152"/>
        <v>0</v>
      </c>
      <c r="X150" s="24" t="e">
        <f t="shared" si="153"/>
        <v>#DIV/0!</v>
      </c>
      <c r="Y150" s="24">
        <f t="shared" si="154"/>
        <v>0</v>
      </c>
      <c r="Z150" s="38" t="e">
        <f t="shared" si="155"/>
        <v>#DIV/0!</v>
      </c>
      <c r="AA150" s="9">
        <v>0</v>
      </c>
      <c r="AB150" s="9">
        <v>0</v>
      </c>
      <c r="AC150" s="38" t="e">
        <f t="shared" si="156"/>
        <v>#DIV/0!</v>
      </c>
    </row>
    <row r="151" spans="1:29" x14ac:dyDescent="0.25">
      <c r="A151" s="13" t="s">
        <v>152</v>
      </c>
      <c r="B151" s="4"/>
      <c r="C151" s="64"/>
      <c r="D151" s="64"/>
      <c r="E151" s="64"/>
      <c r="F151" s="185">
        <f>'Percent-Soil-Carbon-Content'!F17*'Soil-errosion2'!F17</f>
        <v>0</v>
      </c>
      <c r="G151" s="185">
        <f>'Percent-Soil-Carbon-Content'!Q17*'Soil-errosion2'!R17</f>
        <v>0</v>
      </c>
      <c r="H151" s="185">
        <f>'Percent-Soil-Carbon-Content'!AB17*'Soil-errosion2'!AD17</f>
        <v>0</v>
      </c>
      <c r="I151" s="95">
        <f t="shared" si="142"/>
        <v>0</v>
      </c>
      <c r="J151" s="185">
        <f t="shared" si="143"/>
        <v>0</v>
      </c>
      <c r="K151" s="185">
        <f t="shared" si="144"/>
        <v>0</v>
      </c>
      <c r="L151" s="185">
        <f t="shared" si="145"/>
        <v>0</v>
      </c>
      <c r="M151" s="185">
        <f t="shared" si="146"/>
        <v>0</v>
      </c>
      <c r="N151" s="67">
        <f t="shared" ref="N151:P151" si="168">J151*C53*$B53</f>
        <v>0</v>
      </c>
      <c r="O151" s="67">
        <f t="shared" si="168"/>
        <v>0</v>
      </c>
      <c r="P151" s="67">
        <f t="shared" si="168"/>
        <v>0</v>
      </c>
      <c r="Q151" s="67">
        <f t="shared" si="148"/>
        <v>0</v>
      </c>
      <c r="R151" s="345" t="e">
        <f>'value-of-carbon-in-Greenhouses'!H42</f>
        <v>#DIV/0!</v>
      </c>
      <c r="S151" s="67" t="e">
        <f t="shared" si="149"/>
        <v>#DIV/0!</v>
      </c>
      <c r="T151" s="164">
        <f>'Value-of-fuel-used-under-CT'!F17</f>
        <v>0</v>
      </c>
      <c r="U151" s="67">
        <f t="shared" si="150"/>
        <v>0</v>
      </c>
      <c r="V151" s="24" t="e">
        <f t="shared" si="151"/>
        <v>#DIV/0!</v>
      </c>
      <c r="W151" s="24">
        <f t="shared" si="152"/>
        <v>0</v>
      </c>
      <c r="X151" s="24" t="e">
        <f t="shared" si="153"/>
        <v>#DIV/0!</v>
      </c>
      <c r="Y151" s="24">
        <f t="shared" si="154"/>
        <v>0</v>
      </c>
      <c r="Z151" s="38" t="e">
        <f t="shared" si="155"/>
        <v>#DIV/0!</v>
      </c>
      <c r="AA151" s="9">
        <v>0</v>
      </c>
      <c r="AB151" s="9">
        <v>0</v>
      </c>
      <c r="AC151" s="38" t="e">
        <f t="shared" si="156"/>
        <v>#DIV/0!</v>
      </c>
    </row>
    <row r="152" spans="1:29" x14ac:dyDescent="0.25">
      <c r="A152" s="13" t="s">
        <v>153</v>
      </c>
      <c r="B152" s="4"/>
      <c r="C152" s="64"/>
      <c r="D152" s="64"/>
      <c r="E152" s="64"/>
      <c r="F152" s="185">
        <f>'Percent-Soil-Carbon-Content'!F18*'Soil-errosion2'!F18</f>
        <v>0</v>
      </c>
      <c r="G152" s="185">
        <f>'Percent-Soil-Carbon-Content'!Q18*'Soil-errosion2'!R18</f>
        <v>0</v>
      </c>
      <c r="H152" s="185">
        <f>'Percent-Soil-Carbon-Content'!AB18*'Soil-errosion2'!AD18</f>
        <v>0</v>
      </c>
      <c r="I152" s="95">
        <f t="shared" si="142"/>
        <v>0</v>
      </c>
      <c r="J152" s="185">
        <f t="shared" si="143"/>
        <v>0</v>
      </c>
      <c r="K152" s="185">
        <f t="shared" si="144"/>
        <v>0</v>
      </c>
      <c r="L152" s="185">
        <f t="shared" si="145"/>
        <v>0</v>
      </c>
      <c r="M152" s="185">
        <f t="shared" si="146"/>
        <v>0</v>
      </c>
      <c r="N152" s="67">
        <f t="shared" ref="N152:P152" si="169">J152*C54*$B54</f>
        <v>0</v>
      </c>
      <c r="O152" s="67">
        <f t="shared" si="169"/>
        <v>0</v>
      </c>
      <c r="P152" s="67">
        <f t="shared" si="169"/>
        <v>0</v>
      </c>
      <c r="Q152" s="67">
        <f t="shared" si="148"/>
        <v>0</v>
      </c>
      <c r="R152" s="345" t="e">
        <f>'value-of-carbon-in-Greenhouses'!H43</f>
        <v>#DIV/0!</v>
      </c>
      <c r="S152" s="67" t="e">
        <f t="shared" si="149"/>
        <v>#DIV/0!</v>
      </c>
      <c r="T152" s="164">
        <f>'Value-of-fuel-used-under-CT'!F18</f>
        <v>0</v>
      </c>
      <c r="U152" s="67">
        <f t="shared" si="150"/>
        <v>0</v>
      </c>
      <c r="V152" s="24" t="e">
        <f t="shared" si="151"/>
        <v>#DIV/0!</v>
      </c>
      <c r="W152" s="24">
        <f t="shared" si="152"/>
        <v>0</v>
      </c>
      <c r="X152" s="24" t="e">
        <f t="shared" si="153"/>
        <v>#DIV/0!</v>
      </c>
      <c r="Y152" s="24">
        <f t="shared" si="154"/>
        <v>0</v>
      </c>
      <c r="Z152" s="38" t="e">
        <f t="shared" si="155"/>
        <v>#DIV/0!</v>
      </c>
      <c r="AA152" s="9">
        <v>0</v>
      </c>
      <c r="AB152" s="9">
        <v>0</v>
      </c>
      <c r="AC152" s="38" t="e">
        <f t="shared" si="156"/>
        <v>#DIV/0!</v>
      </c>
    </row>
    <row r="153" spans="1:29" x14ac:dyDescent="0.25">
      <c r="A153" s="13" t="s">
        <v>154</v>
      </c>
      <c r="B153" s="4"/>
      <c r="C153" s="64"/>
      <c r="D153" s="64"/>
      <c r="E153" s="64"/>
      <c r="F153" s="185">
        <f>'Percent-Soil-Carbon-Content'!F19*'Soil-errosion2'!F19</f>
        <v>0</v>
      </c>
      <c r="G153" s="185">
        <f>'Percent-Soil-Carbon-Content'!Q19*'Soil-errosion2'!R19</f>
        <v>0</v>
      </c>
      <c r="H153" s="185">
        <f>'Percent-Soil-Carbon-Content'!AB19*'Soil-errosion2'!AD19</f>
        <v>0</v>
      </c>
      <c r="I153" s="95">
        <f t="shared" si="142"/>
        <v>0</v>
      </c>
      <c r="J153" s="185">
        <f t="shared" si="143"/>
        <v>0</v>
      </c>
      <c r="K153" s="185">
        <f t="shared" si="144"/>
        <v>0</v>
      </c>
      <c r="L153" s="185">
        <f t="shared" si="145"/>
        <v>0</v>
      </c>
      <c r="M153" s="185">
        <f t="shared" si="146"/>
        <v>0</v>
      </c>
      <c r="N153" s="67">
        <f t="shared" ref="N153:P153" si="170">J153*C55*$B55</f>
        <v>0</v>
      </c>
      <c r="O153" s="67">
        <f t="shared" si="170"/>
        <v>0</v>
      </c>
      <c r="P153" s="67">
        <f t="shared" si="170"/>
        <v>0</v>
      </c>
      <c r="Q153" s="67">
        <f t="shared" si="148"/>
        <v>0</v>
      </c>
      <c r="R153" s="345" t="e">
        <f>'value-of-carbon-in-Greenhouses'!H44</f>
        <v>#DIV/0!</v>
      </c>
      <c r="S153" s="67" t="e">
        <f t="shared" si="149"/>
        <v>#DIV/0!</v>
      </c>
      <c r="T153" s="164">
        <f>'Value-of-fuel-used-under-CT'!F19</f>
        <v>0</v>
      </c>
      <c r="U153" s="67">
        <f t="shared" si="150"/>
        <v>0</v>
      </c>
      <c r="V153" s="24" t="e">
        <f t="shared" si="151"/>
        <v>#DIV/0!</v>
      </c>
      <c r="W153" s="24">
        <f t="shared" si="152"/>
        <v>0</v>
      </c>
      <c r="X153" s="24" t="e">
        <f t="shared" si="153"/>
        <v>#DIV/0!</v>
      </c>
      <c r="Y153" s="24">
        <f t="shared" si="154"/>
        <v>0</v>
      </c>
      <c r="Z153" s="38" t="e">
        <f t="shared" si="155"/>
        <v>#DIV/0!</v>
      </c>
      <c r="AA153" s="9">
        <v>0</v>
      </c>
      <c r="AB153" s="9">
        <v>0</v>
      </c>
      <c r="AC153" s="38" t="e">
        <f t="shared" si="156"/>
        <v>#DIV/0!</v>
      </c>
    </row>
    <row r="154" spans="1:29" x14ac:dyDescent="0.25">
      <c r="A154" s="13" t="s">
        <v>155</v>
      </c>
      <c r="B154" s="4"/>
      <c r="C154" s="64"/>
      <c r="D154" s="64"/>
      <c r="E154" s="64"/>
      <c r="F154" s="185">
        <f>'Percent-Soil-Carbon-Content'!F20*'Soil-errosion2'!F20</f>
        <v>0</v>
      </c>
      <c r="G154" s="185">
        <f>'Percent-Soil-Carbon-Content'!Q20*'Soil-errosion2'!R20</f>
        <v>0</v>
      </c>
      <c r="H154" s="185">
        <f>'Percent-Soil-Carbon-Content'!AB20*'Soil-errosion2'!AD20</f>
        <v>0</v>
      </c>
      <c r="I154" s="95">
        <f t="shared" si="142"/>
        <v>0</v>
      </c>
      <c r="J154" s="185">
        <f t="shared" si="143"/>
        <v>0</v>
      </c>
      <c r="K154" s="185">
        <f t="shared" si="144"/>
        <v>0</v>
      </c>
      <c r="L154" s="185">
        <f t="shared" si="145"/>
        <v>0</v>
      </c>
      <c r="M154" s="185">
        <f t="shared" si="146"/>
        <v>0</v>
      </c>
      <c r="N154" s="67">
        <f t="shared" ref="N154:P154" si="171">J154*C56*$B56</f>
        <v>0</v>
      </c>
      <c r="O154" s="67">
        <f t="shared" si="171"/>
        <v>0</v>
      </c>
      <c r="P154" s="67">
        <f t="shared" si="171"/>
        <v>0</v>
      </c>
      <c r="Q154" s="67">
        <f t="shared" si="148"/>
        <v>0</v>
      </c>
      <c r="R154" s="345" t="e">
        <f>'value-of-carbon-in-Greenhouses'!H45</f>
        <v>#DIV/0!</v>
      </c>
      <c r="S154" s="67" t="e">
        <f t="shared" si="149"/>
        <v>#DIV/0!</v>
      </c>
      <c r="T154" s="164">
        <f>'Value-of-fuel-used-under-CT'!F20</f>
        <v>0</v>
      </c>
      <c r="U154" s="67">
        <f t="shared" si="150"/>
        <v>0</v>
      </c>
      <c r="V154" s="24" t="e">
        <f t="shared" si="151"/>
        <v>#DIV/0!</v>
      </c>
      <c r="W154" s="24">
        <f t="shared" si="152"/>
        <v>0</v>
      </c>
      <c r="X154" s="24" t="e">
        <f t="shared" si="153"/>
        <v>#DIV/0!</v>
      </c>
      <c r="Y154" s="24">
        <f t="shared" si="154"/>
        <v>0</v>
      </c>
      <c r="Z154" s="38" t="e">
        <f t="shared" si="155"/>
        <v>#DIV/0!</v>
      </c>
      <c r="AA154" s="9">
        <v>0</v>
      </c>
      <c r="AB154" s="9">
        <v>0</v>
      </c>
      <c r="AC154" s="38" t="e">
        <f t="shared" si="156"/>
        <v>#DIV/0!</v>
      </c>
    </row>
    <row r="155" spans="1:29" x14ac:dyDescent="0.25">
      <c r="A155" s="13" t="s">
        <v>156</v>
      </c>
      <c r="B155" s="4"/>
      <c r="C155" s="64"/>
      <c r="D155" s="64"/>
      <c r="E155" s="64"/>
      <c r="F155" s="185">
        <f>'Percent-Soil-Carbon-Content'!F21*'Soil-errosion2'!F21</f>
        <v>0</v>
      </c>
      <c r="G155" s="185">
        <f>'Percent-Soil-Carbon-Content'!Q21*'Soil-errosion2'!R21</f>
        <v>0</v>
      </c>
      <c r="H155" s="185">
        <f>'Percent-Soil-Carbon-Content'!AB21*'Soil-errosion2'!AD21</f>
        <v>0</v>
      </c>
      <c r="I155" s="95">
        <f t="shared" si="142"/>
        <v>0</v>
      </c>
      <c r="J155" s="185">
        <f t="shared" si="143"/>
        <v>0</v>
      </c>
      <c r="K155" s="185">
        <f t="shared" si="144"/>
        <v>0</v>
      </c>
      <c r="L155" s="185">
        <f t="shared" si="145"/>
        <v>0</v>
      </c>
      <c r="M155" s="185">
        <f t="shared" si="146"/>
        <v>0</v>
      </c>
      <c r="N155" s="67">
        <f t="shared" ref="N155:P155" si="172">J155*C57*$B57</f>
        <v>0</v>
      </c>
      <c r="O155" s="67">
        <f t="shared" si="172"/>
        <v>0</v>
      </c>
      <c r="P155" s="67">
        <f t="shared" si="172"/>
        <v>0</v>
      </c>
      <c r="Q155" s="67">
        <f t="shared" si="148"/>
        <v>0</v>
      </c>
      <c r="R155" s="345" t="e">
        <f>'value-of-carbon-in-Greenhouses'!H46</f>
        <v>#DIV/0!</v>
      </c>
      <c r="S155" s="67" t="e">
        <f t="shared" si="149"/>
        <v>#DIV/0!</v>
      </c>
      <c r="T155" s="164">
        <f>'Value-of-fuel-used-under-CT'!F21</f>
        <v>0</v>
      </c>
      <c r="U155" s="67">
        <f t="shared" si="150"/>
        <v>0</v>
      </c>
      <c r="V155" s="24" t="e">
        <f t="shared" si="151"/>
        <v>#DIV/0!</v>
      </c>
      <c r="W155" s="24">
        <f t="shared" si="152"/>
        <v>0</v>
      </c>
      <c r="X155" s="24" t="e">
        <f t="shared" si="153"/>
        <v>#DIV/0!</v>
      </c>
      <c r="Y155" s="24">
        <f t="shared" si="154"/>
        <v>0</v>
      </c>
      <c r="Z155" s="38" t="e">
        <f t="shared" si="155"/>
        <v>#DIV/0!</v>
      </c>
      <c r="AA155" s="9">
        <v>0</v>
      </c>
      <c r="AB155" s="9">
        <v>0</v>
      </c>
      <c r="AC155" s="38" t="e">
        <f t="shared" si="156"/>
        <v>#DIV/0!</v>
      </c>
    </row>
    <row r="156" spans="1:29" x14ac:dyDescent="0.25">
      <c r="A156" s="13" t="s">
        <v>157</v>
      </c>
      <c r="B156" s="4"/>
      <c r="C156" s="64"/>
      <c r="D156" s="64"/>
      <c r="E156" s="64"/>
      <c r="F156" s="185">
        <f>'Percent-Soil-Carbon-Content'!F22*'Soil-errosion2'!F22</f>
        <v>0</v>
      </c>
      <c r="G156" s="185">
        <f>'Percent-Soil-Carbon-Content'!Q22*'Soil-errosion2'!R22</f>
        <v>0</v>
      </c>
      <c r="H156" s="185">
        <f>'Percent-Soil-Carbon-Content'!AB22*'Soil-errosion2'!AD22</f>
        <v>0</v>
      </c>
      <c r="I156" s="95">
        <f t="shared" si="142"/>
        <v>0</v>
      </c>
      <c r="J156" s="185">
        <f t="shared" si="143"/>
        <v>0</v>
      </c>
      <c r="K156" s="185">
        <f t="shared" si="144"/>
        <v>0</v>
      </c>
      <c r="L156" s="185">
        <f t="shared" si="145"/>
        <v>0</v>
      </c>
      <c r="M156" s="185">
        <f t="shared" si="146"/>
        <v>0</v>
      </c>
      <c r="N156" s="67">
        <f t="shared" ref="N156:P156" si="173">J156*C58*$B58</f>
        <v>0</v>
      </c>
      <c r="O156" s="67">
        <f t="shared" si="173"/>
        <v>0</v>
      </c>
      <c r="P156" s="67">
        <f t="shared" si="173"/>
        <v>0</v>
      </c>
      <c r="Q156" s="67">
        <f t="shared" si="148"/>
        <v>0</v>
      </c>
      <c r="R156" s="345" t="e">
        <f>'value-of-carbon-in-Greenhouses'!H47</f>
        <v>#DIV/0!</v>
      </c>
      <c r="S156" s="67" t="e">
        <f t="shared" si="149"/>
        <v>#DIV/0!</v>
      </c>
      <c r="T156" s="164">
        <f>'Value-of-fuel-used-under-CT'!F22</f>
        <v>0</v>
      </c>
      <c r="U156" s="67">
        <f t="shared" si="150"/>
        <v>0</v>
      </c>
      <c r="V156" s="24" t="e">
        <f t="shared" si="151"/>
        <v>#DIV/0!</v>
      </c>
      <c r="W156" s="24">
        <f t="shared" si="152"/>
        <v>0</v>
      </c>
      <c r="X156" s="24" t="e">
        <f t="shared" si="153"/>
        <v>#DIV/0!</v>
      </c>
      <c r="Y156" s="24">
        <f t="shared" si="154"/>
        <v>0</v>
      </c>
      <c r="Z156" s="38" t="e">
        <f t="shared" si="155"/>
        <v>#DIV/0!</v>
      </c>
      <c r="AA156" s="9">
        <v>0</v>
      </c>
      <c r="AB156" s="9">
        <v>0</v>
      </c>
      <c r="AC156" s="38" t="e">
        <f t="shared" si="156"/>
        <v>#DIV/0!</v>
      </c>
    </row>
    <row r="157" spans="1:29" x14ac:dyDescent="0.25">
      <c r="A157" s="13" t="s">
        <v>158</v>
      </c>
      <c r="B157" s="4"/>
      <c r="C157" s="64"/>
      <c r="D157" s="64"/>
      <c r="E157" s="64"/>
      <c r="F157" s="185">
        <f>'Percent-Soil-Carbon-Content'!F23*'Soil-errosion2'!F23</f>
        <v>0</v>
      </c>
      <c r="G157" s="185">
        <f>'Percent-Soil-Carbon-Content'!Q23*'Soil-errosion2'!R23</f>
        <v>0</v>
      </c>
      <c r="H157" s="185">
        <f>'Percent-Soil-Carbon-Content'!AB23*'Soil-errosion2'!AD23</f>
        <v>0</v>
      </c>
      <c r="I157" s="95">
        <f t="shared" si="142"/>
        <v>0</v>
      </c>
      <c r="J157" s="185">
        <f t="shared" si="143"/>
        <v>0</v>
      </c>
      <c r="K157" s="185">
        <f t="shared" si="144"/>
        <v>0</v>
      </c>
      <c r="L157" s="185">
        <f t="shared" si="145"/>
        <v>0</v>
      </c>
      <c r="M157" s="185">
        <f t="shared" si="146"/>
        <v>0</v>
      </c>
      <c r="N157" s="67">
        <f t="shared" ref="N157:P157" si="174">J157*C59*$B59</f>
        <v>0</v>
      </c>
      <c r="O157" s="67">
        <f t="shared" si="174"/>
        <v>0</v>
      </c>
      <c r="P157" s="67">
        <f t="shared" si="174"/>
        <v>0</v>
      </c>
      <c r="Q157" s="67">
        <f t="shared" si="148"/>
        <v>0</v>
      </c>
      <c r="R157" s="345" t="e">
        <f>'value-of-carbon-in-Greenhouses'!H48</f>
        <v>#DIV/0!</v>
      </c>
      <c r="S157" s="67" t="e">
        <f t="shared" si="149"/>
        <v>#DIV/0!</v>
      </c>
      <c r="T157" s="164">
        <f>'Value-of-fuel-used-under-CT'!F23</f>
        <v>0</v>
      </c>
      <c r="U157" s="67">
        <f t="shared" si="150"/>
        <v>0</v>
      </c>
      <c r="V157" s="24" t="e">
        <f t="shared" si="151"/>
        <v>#DIV/0!</v>
      </c>
      <c r="W157" s="24">
        <f t="shared" si="152"/>
        <v>0</v>
      </c>
      <c r="X157" s="24" t="e">
        <f t="shared" si="153"/>
        <v>#DIV/0!</v>
      </c>
      <c r="Y157" s="24">
        <f t="shared" si="154"/>
        <v>0</v>
      </c>
      <c r="Z157" s="38" t="e">
        <f t="shared" si="155"/>
        <v>#DIV/0!</v>
      </c>
      <c r="AA157" s="9">
        <v>0</v>
      </c>
      <c r="AB157" s="9">
        <v>0</v>
      </c>
      <c r="AC157" s="38" t="e">
        <f t="shared" si="156"/>
        <v>#DIV/0!</v>
      </c>
    </row>
    <row r="158" spans="1:29" x14ac:dyDescent="0.25">
      <c r="A158" s="13" t="s">
        <v>159</v>
      </c>
      <c r="B158" s="4"/>
      <c r="C158" s="64"/>
      <c r="D158" s="64"/>
      <c r="E158" s="64"/>
      <c r="F158" s="185">
        <f>'Percent-Soil-Carbon-Content'!F24*'Soil-errosion2'!F24</f>
        <v>0</v>
      </c>
      <c r="G158" s="185">
        <f>'Percent-Soil-Carbon-Content'!Q24*'Soil-errosion2'!R24</f>
        <v>0</v>
      </c>
      <c r="H158" s="185">
        <f>'Percent-Soil-Carbon-Content'!AB24*'Soil-errosion2'!AD24</f>
        <v>0</v>
      </c>
      <c r="I158" s="95">
        <f t="shared" si="142"/>
        <v>0</v>
      </c>
      <c r="J158" s="185">
        <f t="shared" si="143"/>
        <v>0</v>
      </c>
      <c r="K158" s="185">
        <f t="shared" si="144"/>
        <v>0</v>
      </c>
      <c r="L158" s="185">
        <f t="shared" si="145"/>
        <v>0</v>
      </c>
      <c r="M158" s="185">
        <f t="shared" si="146"/>
        <v>0</v>
      </c>
      <c r="N158" s="67">
        <f t="shared" ref="N158:P158" si="175">J158*C60*$B60</f>
        <v>0</v>
      </c>
      <c r="O158" s="67">
        <f t="shared" si="175"/>
        <v>0</v>
      </c>
      <c r="P158" s="67">
        <f t="shared" si="175"/>
        <v>0</v>
      </c>
      <c r="Q158" s="67">
        <f t="shared" si="148"/>
        <v>0</v>
      </c>
      <c r="R158" s="345" t="e">
        <f>'value-of-carbon-in-Greenhouses'!H49</f>
        <v>#DIV/0!</v>
      </c>
      <c r="S158" s="67" t="e">
        <f t="shared" si="149"/>
        <v>#DIV/0!</v>
      </c>
      <c r="T158" s="164">
        <f>'Value-of-fuel-used-under-CT'!F24</f>
        <v>0</v>
      </c>
      <c r="U158" s="67">
        <f t="shared" si="150"/>
        <v>0</v>
      </c>
      <c r="V158" s="24" t="e">
        <f t="shared" si="151"/>
        <v>#DIV/0!</v>
      </c>
      <c r="W158" s="24">
        <f t="shared" si="152"/>
        <v>0</v>
      </c>
      <c r="X158" s="24" t="e">
        <f t="shared" si="153"/>
        <v>#DIV/0!</v>
      </c>
      <c r="Y158" s="24">
        <f t="shared" si="154"/>
        <v>0</v>
      </c>
      <c r="Z158" s="38" t="e">
        <f t="shared" si="155"/>
        <v>#DIV/0!</v>
      </c>
      <c r="AA158" s="9">
        <v>0</v>
      </c>
      <c r="AB158" s="9">
        <v>0</v>
      </c>
      <c r="AC158" s="38" t="e">
        <f t="shared" si="156"/>
        <v>#DIV/0!</v>
      </c>
    </row>
    <row r="159" spans="1:29" x14ac:dyDescent="0.25">
      <c r="A159" s="13" t="s">
        <v>160</v>
      </c>
      <c r="B159" s="4"/>
      <c r="C159" s="64"/>
      <c r="D159" s="64"/>
      <c r="E159" s="64"/>
      <c r="F159" s="185">
        <f>'Percent-Soil-Carbon-Content'!F25*'Soil-errosion2'!F25</f>
        <v>0</v>
      </c>
      <c r="G159" s="185">
        <f>'Percent-Soil-Carbon-Content'!Q25*'Soil-errosion2'!R25</f>
        <v>0</v>
      </c>
      <c r="H159" s="185">
        <f>'Percent-Soil-Carbon-Content'!AB25*'Soil-errosion2'!AD25</f>
        <v>0</v>
      </c>
      <c r="I159" s="95">
        <f t="shared" si="142"/>
        <v>0</v>
      </c>
      <c r="J159" s="185">
        <f t="shared" si="143"/>
        <v>0</v>
      </c>
      <c r="K159" s="185">
        <f t="shared" si="144"/>
        <v>0</v>
      </c>
      <c r="L159" s="185">
        <f t="shared" si="145"/>
        <v>0</v>
      </c>
      <c r="M159" s="185">
        <f t="shared" si="146"/>
        <v>0</v>
      </c>
      <c r="N159" s="67">
        <f t="shared" ref="N159:P159" si="176">J159*C61*$B61</f>
        <v>0</v>
      </c>
      <c r="O159" s="67">
        <f t="shared" si="176"/>
        <v>0</v>
      </c>
      <c r="P159" s="67">
        <f t="shared" si="176"/>
        <v>0</v>
      </c>
      <c r="Q159" s="67">
        <f t="shared" si="148"/>
        <v>0</v>
      </c>
      <c r="R159" s="345" t="e">
        <f>'value-of-carbon-in-Greenhouses'!H50</f>
        <v>#DIV/0!</v>
      </c>
      <c r="S159" s="67" t="e">
        <f t="shared" si="149"/>
        <v>#DIV/0!</v>
      </c>
      <c r="T159" s="164">
        <f>'Value-of-fuel-used-under-CT'!F25</f>
        <v>0</v>
      </c>
      <c r="U159" s="67">
        <f t="shared" si="150"/>
        <v>0</v>
      </c>
      <c r="V159" s="24" t="e">
        <f t="shared" si="151"/>
        <v>#DIV/0!</v>
      </c>
      <c r="W159" s="24">
        <f t="shared" si="152"/>
        <v>0</v>
      </c>
      <c r="X159" s="24" t="e">
        <f t="shared" si="153"/>
        <v>#DIV/0!</v>
      </c>
      <c r="Y159" s="24">
        <f t="shared" si="154"/>
        <v>0</v>
      </c>
      <c r="Z159" s="38" t="e">
        <f t="shared" si="155"/>
        <v>#DIV/0!</v>
      </c>
      <c r="AA159" s="9">
        <v>0</v>
      </c>
      <c r="AB159" s="9">
        <v>0</v>
      </c>
      <c r="AC159" s="38" t="e">
        <f t="shared" si="156"/>
        <v>#DIV/0!</v>
      </c>
    </row>
    <row r="160" spans="1:29" x14ac:dyDescent="0.25">
      <c r="A160" s="13" t="s">
        <v>161</v>
      </c>
      <c r="B160" s="4"/>
      <c r="C160" s="64"/>
      <c r="D160" s="64"/>
      <c r="E160" s="64"/>
      <c r="F160" s="185">
        <f>'Percent-Soil-Carbon-Content'!F26*'Soil-errosion2'!F26</f>
        <v>0</v>
      </c>
      <c r="G160" s="185">
        <f>'Percent-Soil-Carbon-Content'!Q26*'Soil-errosion2'!R26</f>
        <v>0</v>
      </c>
      <c r="H160" s="185">
        <f>'Percent-Soil-Carbon-Content'!AB26*'Soil-errosion2'!AD26</f>
        <v>0</v>
      </c>
      <c r="I160" s="95">
        <f t="shared" si="142"/>
        <v>0</v>
      </c>
      <c r="J160" s="185">
        <f t="shared" si="143"/>
        <v>0</v>
      </c>
      <c r="K160" s="185">
        <f t="shared" si="144"/>
        <v>0</v>
      </c>
      <c r="L160" s="185">
        <f t="shared" si="145"/>
        <v>0</v>
      </c>
      <c r="M160" s="185">
        <f t="shared" si="146"/>
        <v>0</v>
      </c>
      <c r="N160" s="67">
        <f t="shared" ref="N160:P160" si="177">J160*C62*$B62</f>
        <v>0</v>
      </c>
      <c r="O160" s="67">
        <f t="shared" si="177"/>
        <v>0</v>
      </c>
      <c r="P160" s="67">
        <f t="shared" si="177"/>
        <v>0</v>
      </c>
      <c r="Q160" s="67">
        <f t="shared" si="148"/>
        <v>0</v>
      </c>
      <c r="R160" s="345" t="e">
        <f>'value-of-carbon-in-Greenhouses'!H51</f>
        <v>#DIV/0!</v>
      </c>
      <c r="S160" s="67" t="e">
        <f t="shared" si="149"/>
        <v>#DIV/0!</v>
      </c>
      <c r="T160" s="164">
        <f>'Value-of-fuel-used-under-CT'!F26</f>
        <v>0</v>
      </c>
      <c r="U160" s="67">
        <f t="shared" si="150"/>
        <v>0</v>
      </c>
      <c r="V160" s="24" t="e">
        <f t="shared" si="151"/>
        <v>#DIV/0!</v>
      </c>
      <c r="W160" s="24">
        <f t="shared" si="152"/>
        <v>0</v>
      </c>
      <c r="X160" s="24" t="e">
        <f t="shared" si="153"/>
        <v>#DIV/0!</v>
      </c>
      <c r="Y160" s="24">
        <f t="shared" si="154"/>
        <v>0</v>
      </c>
      <c r="Z160" s="38" t="e">
        <f t="shared" si="155"/>
        <v>#DIV/0!</v>
      </c>
      <c r="AA160" s="9">
        <v>0</v>
      </c>
      <c r="AB160" s="9">
        <v>0</v>
      </c>
      <c r="AC160" s="38" t="e">
        <f t="shared" si="156"/>
        <v>#DIV/0!</v>
      </c>
    </row>
    <row r="161" spans="1:30" x14ac:dyDescent="0.25">
      <c r="A161" s="13" t="s">
        <v>162</v>
      </c>
      <c r="B161" s="4"/>
      <c r="C161" s="64"/>
      <c r="D161" s="64"/>
      <c r="E161" s="64"/>
      <c r="F161" s="185">
        <f>'Percent-Soil-Carbon-Content'!F27*'Soil-errosion2'!F27</f>
        <v>0</v>
      </c>
      <c r="G161" s="185">
        <f>'Percent-Soil-Carbon-Content'!Q27*'Soil-errosion2'!R27</f>
        <v>0</v>
      </c>
      <c r="H161" s="185">
        <f>'Percent-Soil-Carbon-Content'!AB27*'Soil-errosion2'!AD27</f>
        <v>0</v>
      </c>
      <c r="I161" s="95">
        <f t="shared" si="142"/>
        <v>0</v>
      </c>
      <c r="J161" s="185">
        <f t="shared" si="143"/>
        <v>0</v>
      </c>
      <c r="K161" s="185">
        <f t="shared" si="144"/>
        <v>0</v>
      </c>
      <c r="L161" s="185">
        <f t="shared" si="145"/>
        <v>0</v>
      </c>
      <c r="M161" s="185">
        <f t="shared" si="146"/>
        <v>0</v>
      </c>
      <c r="N161" s="67">
        <f t="shared" ref="N161:P161" si="178">J161*C63*$B63</f>
        <v>0</v>
      </c>
      <c r="O161" s="67">
        <f t="shared" si="178"/>
        <v>0</v>
      </c>
      <c r="P161" s="67">
        <f t="shared" si="178"/>
        <v>0</v>
      </c>
      <c r="Q161" s="67">
        <f t="shared" si="148"/>
        <v>0</v>
      </c>
      <c r="R161" s="345" t="e">
        <f>'value-of-carbon-in-Greenhouses'!H52</f>
        <v>#DIV/0!</v>
      </c>
      <c r="S161" s="67" t="e">
        <f t="shared" si="149"/>
        <v>#DIV/0!</v>
      </c>
      <c r="T161" s="164">
        <f>'Value-of-fuel-used-under-CT'!F27</f>
        <v>0</v>
      </c>
      <c r="U161" s="67">
        <f t="shared" si="150"/>
        <v>0</v>
      </c>
      <c r="V161" s="24" t="e">
        <f t="shared" si="151"/>
        <v>#DIV/0!</v>
      </c>
      <c r="W161" s="24">
        <f t="shared" si="152"/>
        <v>0</v>
      </c>
      <c r="X161" s="24" t="e">
        <f t="shared" si="153"/>
        <v>#DIV/0!</v>
      </c>
      <c r="Y161" s="24">
        <f t="shared" si="154"/>
        <v>0</v>
      </c>
      <c r="Z161" s="38" t="e">
        <f t="shared" si="155"/>
        <v>#DIV/0!</v>
      </c>
      <c r="AA161" s="9">
        <v>0</v>
      </c>
      <c r="AB161" s="9">
        <v>0</v>
      </c>
      <c r="AC161" s="38" t="e">
        <f t="shared" si="156"/>
        <v>#DIV/0!</v>
      </c>
    </row>
    <row r="162" spans="1:30" s="1" customFormat="1" x14ac:dyDescent="0.25">
      <c r="A162" s="1" t="s">
        <v>163</v>
      </c>
      <c r="B162" s="10">
        <f>SUM(B138:B161)</f>
        <v>0</v>
      </c>
      <c r="C162" s="71" t="e">
        <f>SUMPRODUCT(C138:C161,$B$70:$B$93)/$B$94</f>
        <v>#DIV/0!</v>
      </c>
      <c r="D162" s="71" t="e">
        <f t="shared" ref="D162:L162" si="179">SUMPRODUCT(D138:D161,$B$70:$B$93)/$B$94</f>
        <v>#DIV/0!</v>
      </c>
      <c r="E162" s="71" t="e">
        <f t="shared" si="179"/>
        <v>#DIV/0!</v>
      </c>
      <c r="F162" s="590" t="e">
        <f t="shared" si="179"/>
        <v>#DIV/0!</v>
      </c>
      <c r="G162" s="590" t="e">
        <f t="shared" si="179"/>
        <v>#DIV/0!</v>
      </c>
      <c r="H162" s="590" t="e">
        <f t="shared" si="179"/>
        <v>#DIV/0!</v>
      </c>
      <c r="I162" s="71" t="e">
        <f t="shared" si="179"/>
        <v>#DIV/0!</v>
      </c>
      <c r="J162" s="71" t="e">
        <f t="shared" si="179"/>
        <v>#DIV/0!</v>
      </c>
      <c r="K162" s="71" t="e">
        <f t="shared" si="179"/>
        <v>#DIV/0!</v>
      </c>
      <c r="L162" s="71" t="e">
        <f t="shared" si="179"/>
        <v>#DIV/0!</v>
      </c>
      <c r="M162" s="71" t="e">
        <f>SUMPRODUCT(M138:M161,$B$70:$B$93)/$B$94</f>
        <v>#DIV/0!</v>
      </c>
      <c r="N162" s="23">
        <f>SUM(N138:N161)</f>
        <v>0</v>
      </c>
      <c r="O162" s="24">
        <f>SUM(O138:O161)</f>
        <v>0</v>
      </c>
      <c r="P162" s="24">
        <f>SUM(P138:P161)</f>
        <v>0</v>
      </c>
      <c r="Q162" s="24">
        <f t="shared" ref="Q162" si="180">SUM(N162:P162)</f>
        <v>0</v>
      </c>
      <c r="R162" s="208" t="e">
        <f t="shared" ref="R162" si="181">SUM(R138:R161)</f>
        <v>#DIV/0!</v>
      </c>
      <c r="S162" s="24" t="e">
        <f>SUM(S138:S161)</f>
        <v>#DIV/0!</v>
      </c>
      <c r="T162" s="48">
        <f t="shared" ref="T162:U162" si="182">SUM(T138:T161)</f>
        <v>0</v>
      </c>
      <c r="U162" s="48">
        <f t="shared" si="182"/>
        <v>0</v>
      </c>
      <c r="V162" s="24" t="e">
        <f>Q162+S162+U162</f>
        <v>#DIV/0!</v>
      </c>
      <c r="W162" s="24">
        <f>SUM(W138:W161)</f>
        <v>0</v>
      </c>
      <c r="X162" s="24" t="e">
        <f>SUM(X138:X161)</f>
        <v>#DIV/0!</v>
      </c>
      <c r="Y162" s="24">
        <f>SUM(Y138:Y161)</f>
        <v>0</v>
      </c>
      <c r="Z162" s="24" t="e">
        <f t="shared" ref="Z162" si="183">V162*$D$130</f>
        <v>#DIV/0!</v>
      </c>
      <c r="AA162" s="10">
        <f t="shared" ref="AA162:AB162" si="184">SUM(AA138:AA161)</f>
        <v>0</v>
      </c>
      <c r="AB162" s="10">
        <f t="shared" si="184"/>
        <v>0</v>
      </c>
      <c r="AC162" s="38" t="e">
        <f t="shared" si="141"/>
        <v>#DIV/0!</v>
      </c>
      <c r="AD162" s="68" t="e">
        <f>AC162/'Summary-all-crops'!C3</f>
        <v>#DIV/0!</v>
      </c>
    </row>
    <row r="163" spans="1:30" x14ac:dyDescent="0.25">
      <c r="A163" s="1"/>
      <c r="S163" s="24" t="e">
        <f>SUM(V138:V161)=V162</f>
        <v>#DIV/0!</v>
      </c>
      <c r="T163" s="70"/>
    </row>
    <row r="164" spans="1:30" x14ac:dyDescent="0.25">
      <c r="A164" s="1"/>
      <c r="F164" s="2"/>
    </row>
    <row r="165" spans="1:30" x14ac:dyDescent="0.25">
      <c r="A165" s="1" t="s">
        <v>369</v>
      </c>
    </row>
    <row r="167" spans="1:30" ht="42.6" customHeight="1" x14ac:dyDescent="0.25">
      <c r="A167" s="838" t="s">
        <v>101</v>
      </c>
      <c r="B167" s="839" t="s">
        <v>370</v>
      </c>
      <c r="C167" s="839"/>
      <c r="D167" s="839"/>
      <c r="E167" s="839"/>
    </row>
    <row r="168" spans="1:30" x14ac:dyDescent="0.25">
      <c r="A168" s="838"/>
      <c r="F168" s="11"/>
    </row>
    <row r="169" spans="1:30" x14ac:dyDescent="0.25">
      <c r="A169" s="838"/>
      <c r="B169" s="1" t="s">
        <v>136</v>
      </c>
      <c r="C169" s="1" t="s">
        <v>137</v>
      </c>
      <c r="D169" s="1" t="s">
        <v>289</v>
      </c>
      <c r="E169" s="1" t="s">
        <v>120</v>
      </c>
      <c r="F169" s="11"/>
    </row>
    <row r="170" spans="1:30" x14ac:dyDescent="0.25">
      <c r="A170" s="13" t="s">
        <v>139</v>
      </c>
      <c r="B170" s="45" t="e">
        <f>$D$29*(K40)+$E$29*(K70)</f>
        <v>#DIV/0!</v>
      </c>
      <c r="C170" s="45" t="e">
        <f>$D$29*(L40)+$E$29*(L70)</f>
        <v>#DIV/0!</v>
      </c>
      <c r="D170" s="45" t="e">
        <f>$D$29*(M40)+$E$29*(M70)</f>
        <v>#DIV/0!</v>
      </c>
      <c r="E170" s="23" t="e">
        <f>SUM(B170:D170)</f>
        <v>#DIV/0!</v>
      </c>
    </row>
    <row r="171" spans="1:30" x14ac:dyDescent="0.25">
      <c r="A171" s="13" t="s">
        <v>140</v>
      </c>
      <c r="B171" s="45" t="e">
        <f t="shared" ref="B171:D171" si="185">$D$29*(K41)+$E$29*(K71)</f>
        <v>#DIV/0!</v>
      </c>
      <c r="C171" s="45" t="e">
        <f t="shared" si="185"/>
        <v>#DIV/0!</v>
      </c>
      <c r="D171" s="45" t="e">
        <f t="shared" si="185"/>
        <v>#DIV/0!</v>
      </c>
      <c r="E171" s="23" t="e">
        <f t="shared" ref="E171:E193" si="186">SUM(B171:D171)</f>
        <v>#DIV/0!</v>
      </c>
    </row>
    <row r="172" spans="1:30" x14ac:dyDescent="0.25">
      <c r="A172" s="13" t="s">
        <v>141</v>
      </c>
      <c r="B172" s="45" t="e">
        <f t="shared" ref="B172:D172" si="187">$D$29*(K42)+$E$29*(K72)</f>
        <v>#DIV/0!</v>
      </c>
      <c r="C172" s="45" t="e">
        <f t="shared" si="187"/>
        <v>#DIV/0!</v>
      </c>
      <c r="D172" s="45" t="e">
        <f t="shared" si="187"/>
        <v>#DIV/0!</v>
      </c>
      <c r="E172" s="23" t="e">
        <f t="shared" si="186"/>
        <v>#DIV/0!</v>
      </c>
    </row>
    <row r="173" spans="1:30" x14ac:dyDescent="0.25">
      <c r="A173" s="13" t="s">
        <v>142</v>
      </c>
      <c r="B173" s="45" t="e">
        <f t="shared" ref="B173:D173" si="188">$D$29*(K43)+$E$29*(K73)</f>
        <v>#DIV/0!</v>
      </c>
      <c r="C173" s="45" t="e">
        <f t="shared" si="188"/>
        <v>#DIV/0!</v>
      </c>
      <c r="D173" s="45" t="e">
        <f t="shared" si="188"/>
        <v>#DIV/0!</v>
      </c>
      <c r="E173" s="23" t="e">
        <f t="shared" si="186"/>
        <v>#DIV/0!</v>
      </c>
    </row>
    <row r="174" spans="1:30" x14ac:dyDescent="0.25">
      <c r="A174" s="13" t="s">
        <v>143</v>
      </c>
      <c r="B174" s="45" t="e">
        <f t="shared" ref="B174:D174" si="189">$D$29*(K44)+$E$29*(K74)</f>
        <v>#DIV/0!</v>
      </c>
      <c r="C174" s="45" t="e">
        <f t="shared" si="189"/>
        <v>#DIV/0!</v>
      </c>
      <c r="D174" s="45" t="e">
        <f t="shared" si="189"/>
        <v>#DIV/0!</v>
      </c>
      <c r="E174" s="23" t="e">
        <f t="shared" si="186"/>
        <v>#DIV/0!</v>
      </c>
    </row>
    <row r="175" spans="1:30" x14ac:dyDescent="0.25">
      <c r="A175" s="13" t="s">
        <v>144</v>
      </c>
      <c r="B175" s="45" t="e">
        <f t="shared" ref="B175:D175" si="190">$D$29*(K45)+$E$29*(K75)</f>
        <v>#DIV/0!</v>
      </c>
      <c r="C175" s="45" t="e">
        <f t="shared" si="190"/>
        <v>#DIV/0!</v>
      </c>
      <c r="D175" s="45" t="e">
        <f t="shared" si="190"/>
        <v>#DIV/0!</v>
      </c>
      <c r="E175" s="23" t="e">
        <f t="shared" si="186"/>
        <v>#DIV/0!</v>
      </c>
    </row>
    <row r="176" spans="1:30" x14ac:dyDescent="0.25">
      <c r="A176" s="13" t="s">
        <v>145</v>
      </c>
      <c r="B176" s="45" t="e">
        <f t="shared" ref="B176:D176" si="191">$D$29*(K46)+$E$29*(K76)</f>
        <v>#DIV/0!</v>
      </c>
      <c r="C176" s="45" t="e">
        <f t="shared" si="191"/>
        <v>#DIV/0!</v>
      </c>
      <c r="D176" s="45" t="e">
        <f t="shared" si="191"/>
        <v>#DIV/0!</v>
      </c>
      <c r="E176" s="23" t="e">
        <f t="shared" si="186"/>
        <v>#DIV/0!</v>
      </c>
    </row>
    <row r="177" spans="1:5" x14ac:dyDescent="0.25">
      <c r="A177" s="13" t="s">
        <v>146</v>
      </c>
      <c r="B177" s="45" t="e">
        <f t="shared" ref="B177:D177" si="192">$D$29*(K47)+$E$29*(K77)</f>
        <v>#DIV/0!</v>
      </c>
      <c r="C177" s="45" t="e">
        <f t="shared" si="192"/>
        <v>#DIV/0!</v>
      </c>
      <c r="D177" s="45" t="e">
        <f t="shared" si="192"/>
        <v>#DIV/0!</v>
      </c>
      <c r="E177" s="23" t="e">
        <f t="shared" si="186"/>
        <v>#DIV/0!</v>
      </c>
    </row>
    <row r="178" spans="1:5" x14ac:dyDescent="0.25">
      <c r="A178" s="13" t="s">
        <v>147</v>
      </c>
      <c r="B178" s="45" t="e">
        <f t="shared" ref="B178:D178" si="193">$D$29*(K48)+$E$29*(K78)</f>
        <v>#DIV/0!</v>
      </c>
      <c r="C178" s="45" t="e">
        <f t="shared" si="193"/>
        <v>#DIV/0!</v>
      </c>
      <c r="D178" s="45" t="e">
        <f t="shared" si="193"/>
        <v>#DIV/0!</v>
      </c>
      <c r="E178" s="23" t="e">
        <f t="shared" si="186"/>
        <v>#DIV/0!</v>
      </c>
    </row>
    <row r="179" spans="1:5" x14ac:dyDescent="0.25">
      <c r="A179" s="13" t="s">
        <v>148</v>
      </c>
      <c r="B179" s="45" t="e">
        <f t="shared" ref="B179:D179" si="194">$D$29*(K49)+$E$29*(K79)</f>
        <v>#DIV/0!</v>
      </c>
      <c r="C179" s="45" t="e">
        <f t="shared" si="194"/>
        <v>#DIV/0!</v>
      </c>
      <c r="D179" s="45" t="e">
        <f t="shared" si="194"/>
        <v>#DIV/0!</v>
      </c>
      <c r="E179" s="23" t="e">
        <f t="shared" si="186"/>
        <v>#DIV/0!</v>
      </c>
    </row>
    <row r="180" spans="1:5" x14ac:dyDescent="0.25">
      <c r="A180" s="13" t="s">
        <v>149</v>
      </c>
      <c r="B180" s="45" t="e">
        <f t="shared" ref="B180:D180" si="195">$D$29*(K50)+$E$29*(K80)</f>
        <v>#DIV/0!</v>
      </c>
      <c r="C180" s="45" t="e">
        <f t="shared" si="195"/>
        <v>#DIV/0!</v>
      </c>
      <c r="D180" s="45" t="e">
        <f t="shared" si="195"/>
        <v>#DIV/0!</v>
      </c>
      <c r="E180" s="23" t="e">
        <f t="shared" si="186"/>
        <v>#DIV/0!</v>
      </c>
    </row>
    <row r="181" spans="1:5" x14ac:dyDescent="0.25">
      <c r="A181" s="13" t="s">
        <v>150</v>
      </c>
      <c r="B181" s="45" t="e">
        <f t="shared" ref="B181:D181" si="196">$D$29*(K51)+$E$29*(K81)</f>
        <v>#DIV/0!</v>
      </c>
      <c r="C181" s="45" t="e">
        <f t="shared" si="196"/>
        <v>#DIV/0!</v>
      </c>
      <c r="D181" s="45" t="e">
        <f t="shared" si="196"/>
        <v>#DIV/0!</v>
      </c>
      <c r="E181" s="23" t="e">
        <f t="shared" si="186"/>
        <v>#DIV/0!</v>
      </c>
    </row>
    <row r="182" spans="1:5" x14ac:dyDescent="0.25">
      <c r="A182" s="13" t="s">
        <v>151</v>
      </c>
      <c r="B182" s="45" t="e">
        <f t="shared" ref="B182:D182" si="197">$D$29*(K52)+$E$29*(K82)</f>
        <v>#DIV/0!</v>
      </c>
      <c r="C182" s="45" t="e">
        <f t="shared" si="197"/>
        <v>#DIV/0!</v>
      </c>
      <c r="D182" s="45" t="e">
        <f t="shared" si="197"/>
        <v>#DIV/0!</v>
      </c>
      <c r="E182" s="23" t="e">
        <f t="shared" si="186"/>
        <v>#DIV/0!</v>
      </c>
    </row>
    <row r="183" spans="1:5" x14ac:dyDescent="0.25">
      <c r="A183" s="13" t="s">
        <v>152</v>
      </c>
      <c r="B183" s="45" t="e">
        <f t="shared" ref="B183:D183" si="198">$D$29*(K53)+$E$29*(K83)</f>
        <v>#DIV/0!</v>
      </c>
      <c r="C183" s="45" t="e">
        <f t="shared" si="198"/>
        <v>#DIV/0!</v>
      </c>
      <c r="D183" s="45" t="e">
        <f t="shared" si="198"/>
        <v>#DIV/0!</v>
      </c>
      <c r="E183" s="23" t="e">
        <f t="shared" si="186"/>
        <v>#DIV/0!</v>
      </c>
    </row>
    <row r="184" spans="1:5" x14ac:dyDescent="0.25">
      <c r="A184" s="13" t="s">
        <v>153</v>
      </c>
      <c r="B184" s="45" t="e">
        <f t="shared" ref="B184:D184" si="199">$D$29*(K54)+$E$29*(K84)</f>
        <v>#DIV/0!</v>
      </c>
      <c r="C184" s="45" t="e">
        <f t="shared" si="199"/>
        <v>#DIV/0!</v>
      </c>
      <c r="D184" s="45" t="e">
        <f t="shared" si="199"/>
        <v>#DIV/0!</v>
      </c>
      <c r="E184" s="23" t="e">
        <f t="shared" si="186"/>
        <v>#DIV/0!</v>
      </c>
    </row>
    <row r="185" spans="1:5" x14ac:dyDescent="0.25">
      <c r="A185" s="13" t="s">
        <v>154</v>
      </c>
      <c r="B185" s="45" t="e">
        <f t="shared" ref="B185:D185" si="200">$D$29*(K55)+$E$29*(K85)</f>
        <v>#DIV/0!</v>
      </c>
      <c r="C185" s="45" t="e">
        <f t="shared" si="200"/>
        <v>#DIV/0!</v>
      </c>
      <c r="D185" s="45" t="e">
        <f t="shared" si="200"/>
        <v>#DIV/0!</v>
      </c>
      <c r="E185" s="23" t="e">
        <f t="shared" si="186"/>
        <v>#DIV/0!</v>
      </c>
    </row>
    <row r="186" spans="1:5" x14ac:dyDescent="0.25">
      <c r="A186" s="13" t="s">
        <v>155</v>
      </c>
      <c r="B186" s="45" t="e">
        <f t="shared" ref="B186:D186" si="201">$D$29*(K56)+$E$29*(K86)</f>
        <v>#DIV/0!</v>
      </c>
      <c r="C186" s="45" t="e">
        <f t="shared" si="201"/>
        <v>#DIV/0!</v>
      </c>
      <c r="D186" s="45" t="e">
        <f t="shared" si="201"/>
        <v>#DIV/0!</v>
      </c>
      <c r="E186" s="23" t="e">
        <f t="shared" si="186"/>
        <v>#DIV/0!</v>
      </c>
    </row>
    <row r="187" spans="1:5" x14ac:dyDescent="0.25">
      <c r="A187" s="13" t="s">
        <v>156</v>
      </c>
      <c r="B187" s="45" t="e">
        <f t="shared" ref="B187:D187" si="202">$D$29*(K57)+$E$29*(K87)</f>
        <v>#DIV/0!</v>
      </c>
      <c r="C187" s="45" t="e">
        <f t="shared" si="202"/>
        <v>#DIV/0!</v>
      </c>
      <c r="D187" s="45" t="e">
        <f t="shared" si="202"/>
        <v>#DIV/0!</v>
      </c>
      <c r="E187" s="23" t="e">
        <f t="shared" si="186"/>
        <v>#DIV/0!</v>
      </c>
    </row>
    <row r="188" spans="1:5" x14ac:dyDescent="0.25">
      <c r="A188" s="13" t="s">
        <v>157</v>
      </c>
      <c r="B188" s="45" t="e">
        <f t="shared" ref="B188:D188" si="203">$D$29*(K58)+$E$29*(K88)</f>
        <v>#DIV/0!</v>
      </c>
      <c r="C188" s="45" t="e">
        <f t="shared" si="203"/>
        <v>#DIV/0!</v>
      </c>
      <c r="D188" s="45" t="e">
        <f t="shared" si="203"/>
        <v>#DIV/0!</v>
      </c>
      <c r="E188" s="23" t="e">
        <f t="shared" si="186"/>
        <v>#DIV/0!</v>
      </c>
    </row>
    <row r="189" spans="1:5" x14ac:dyDescent="0.25">
      <c r="A189" s="13" t="s">
        <v>158</v>
      </c>
      <c r="B189" s="45" t="e">
        <f t="shared" ref="B189:D189" si="204">$D$29*(K59)+$E$29*(K89)</f>
        <v>#DIV/0!</v>
      </c>
      <c r="C189" s="45" t="e">
        <f t="shared" si="204"/>
        <v>#DIV/0!</v>
      </c>
      <c r="D189" s="45" t="e">
        <f t="shared" si="204"/>
        <v>#DIV/0!</v>
      </c>
      <c r="E189" s="23" t="e">
        <f t="shared" si="186"/>
        <v>#DIV/0!</v>
      </c>
    </row>
    <row r="190" spans="1:5" x14ac:dyDescent="0.25">
      <c r="A190" s="13" t="s">
        <v>159</v>
      </c>
      <c r="B190" s="45" t="e">
        <f t="shared" ref="B190:D190" si="205">$D$29*(K60)+$E$29*(K90)</f>
        <v>#DIV/0!</v>
      </c>
      <c r="C190" s="45" t="e">
        <f t="shared" si="205"/>
        <v>#DIV/0!</v>
      </c>
      <c r="D190" s="45" t="e">
        <f t="shared" si="205"/>
        <v>#DIV/0!</v>
      </c>
      <c r="E190" s="23" t="e">
        <f t="shared" si="186"/>
        <v>#DIV/0!</v>
      </c>
    </row>
    <row r="191" spans="1:5" x14ac:dyDescent="0.25">
      <c r="A191" s="13" t="s">
        <v>160</v>
      </c>
      <c r="B191" s="45" t="e">
        <f t="shared" ref="B191:D191" si="206">$D$29*(K61)+$E$29*(K91)</f>
        <v>#DIV/0!</v>
      </c>
      <c r="C191" s="45" t="e">
        <f t="shared" si="206"/>
        <v>#DIV/0!</v>
      </c>
      <c r="D191" s="45" t="e">
        <f t="shared" si="206"/>
        <v>#DIV/0!</v>
      </c>
      <c r="E191" s="23" t="e">
        <f t="shared" si="186"/>
        <v>#DIV/0!</v>
      </c>
    </row>
    <row r="192" spans="1:5" x14ac:dyDescent="0.25">
      <c r="A192" s="13" t="s">
        <v>161</v>
      </c>
      <c r="B192" s="45" t="e">
        <f t="shared" ref="B192:D192" si="207">$D$29*(K62)+$E$29*(K92)</f>
        <v>#DIV/0!</v>
      </c>
      <c r="C192" s="45" t="e">
        <f t="shared" si="207"/>
        <v>#DIV/0!</v>
      </c>
      <c r="D192" s="45" t="e">
        <f t="shared" si="207"/>
        <v>#DIV/0!</v>
      </c>
      <c r="E192" s="23" t="e">
        <f t="shared" si="186"/>
        <v>#DIV/0!</v>
      </c>
    </row>
    <row r="193" spans="1:8" x14ac:dyDescent="0.25">
      <c r="A193" s="13" t="s">
        <v>162</v>
      </c>
      <c r="B193" s="45" t="e">
        <f t="shared" ref="B193:D193" si="208">$D$29*(K63)+$E$29*(K93)</f>
        <v>#DIV/0!</v>
      </c>
      <c r="C193" s="45" t="e">
        <f t="shared" si="208"/>
        <v>#DIV/0!</v>
      </c>
      <c r="D193" s="45" t="e">
        <f t="shared" si="208"/>
        <v>#DIV/0!</v>
      </c>
      <c r="E193" s="23" t="e">
        <f t="shared" si="186"/>
        <v>#DIV/0!</v>
      </c>
    </row>
    <row r="194" spans="1:8" x14ac:dyDescent="0.25">
      <c r="A194" s="1" t="s">
        <v>163</v>
      </c>
      <c r="B194" s="23" t="e">
        <f>SUM(B170:B193)</f>
        <v>#DIV/0!</v>
      </c>
      <c r="C194" s="23" t="e">
        <f t="shared" ref="C194:D194" si="209">SUM(C170:C193)</f>
        <v>#DIV/0!</v>
      </c>
      <c r="D194" s="23" t="e">
        <f t="shared" si="209"/>
        <v>#DIV/0!</v>
      </c>
      <c r="E194" s="23" t="e">
        <f>SUM(B194:D194)</f>
        <v>#DIV/0!</v>
      </c>
      <c r="F194" s="29" t="e">
        <f>SUM(E170:E193)=E194</f>
        <v>#DIV/0!</v>
      </c>
      <c r="G194" s="1"/>
      <c r="H194" s="1"/>
    </row>
    <row r="195" spans="1:8" x14ac:dyDescent="0.25">
      <c r="G195" s="1"/>
      <c r="H195" s="1"/>
    </row>
    <row r="196" spans="1:8" ht="18.75" x14ac:dyDescent="0.3">
      <c r="A196" s="12" t="s">
        <v>432</v>
      </c>
    </row>
    <row r="197" spans="1:8" x14ac:dyDescent="0.25">
      <c r="A197" t="s">
        <v>372</v>
      </c>
      <c r="C197" s="24">
        <f>'Cereals-all-year'!K2</f>
        <v>134280440000</v>
      </c>
    </row>
    <row r="198" spans="1:8" ht="15.75" thickBot="1" x14ac:dyDescent="0.3">
      <c r="A198" t="s">
        <v>373</v>
      </c>
      <c r="C198" s="24">
        <f>'Cereals-all-year'!K3</f>
        <v>46690000000</v>
      </c>
    </row>
    <row r="199" spans="1:8" x14ac:dyDescent="0.25">
      <c r="A199" s="853"/>
      <c r="B199" s="798" t="s">
        <v>374</v>
      </c>
      <c r="C199" s="848"/>
      <c r="D199" s="848"/>
      <c r="E199" s="848"/>
      <c r="F199" s="849"/>
      <c r="G199" s="855" t="s">
        <v>367</v>
      </c>
      <c r="H199" s="22"/>
    </row>
    <row r="200" spans="1:8" x14ac:dyDescent="0.25">
      <c r="A200" s="854"/>
      <c r="B200" s="15" t="s">
        <v>375</v>
      </c>
      <c r="C200" s="16" t="s">
        <v>376</v>
      </c>
      <c r="D200" s="16" t="s">
        <v>377</v>
      </c>
      <c r="E200" s="16" t="s">
        <v>378</v>
      </c>
      <c r="F200" s="16" t="s">
        <v>379</v>
      </c>
      <c r="G200" s="856"/>
      <c r="H200" s="22"/>
    </row>
    <row r="201" spans="1:8" x14ac:dyDescent="0.25">
      <c r="A201" s="13" t="s">
        <v>139</v>
      </c>
      <c r="B201" s="43" t="e">
        <f>R40+R70</f>
        <v>#DIV/0!</v>
      </c>
      <c r="C201" s="215">
        <f>N103</f>
        <v>0</v>
      </c>
      <c r="D201" s="215" t="e">
        <f>AC138</f>
        <v>#DIV/0!</v>
      </c>
      <c r="E201" s="14" t="e">
        <f>E170</f>
        <v>#DIV/0!</v>
      </c>
      <c r="F201" s="48" t="e">
        <f>SUM(B201:E201)</f>
        <v>#DIV/0!</v>
      </c>
      <c r="G201" s="150" t="e">
        <f>F201/$C$198</f>
        <v>#DIV/0!</v>
      </c>
      <c r="H201" s="61"/>
    </row>
    <row r="202" spans="1:8" x14ac:dyDescent="0.25">
      <c r="A202" s="13" t="s">
        <v>140</v>
      </c>
      <c r="B202" s="43" t="e">
        <f t="shared" ref="B202:B224" si="210">R41+R71</f>
        <v>#DIV/0!</v>
      </c>
      <c r="C202" s="215">
        <f t="shared" ref="C202:C224" si="211">N104</f>
        <v>0</v>
      </c>
      <c r="D202" s="215" t="e">
        <f t="shared" ref="D202:D224" si="212">AC139</f>
        <v>#DIV/0!</v>
      </c>
      <c r="E202" s="14" t="e">
        <f t="shared" ref="E202:E224" si="213">E171</f>
        <v>#DIV/0!</v>
      </c>
      <c r="F202" s="48" t="e">
        <f t="shared" ref="F202:F224" si="214">SUM(B202:E202)</f>
        <v>#DIV/0!</v>
      </c>
      <c r="G202" s="150" t="e">
        <f t="shared" ref="G202:G224" si="215">F202/$C$198</f>
        <v>#DIV/0!</v>
      </c>
      <c r="H202" s="61"/>
    </row>
    <row r="203" spans="1:8" x14ac:dyDescent="0.25">
      <c r="A203" s="13" t="s">
        <v>141</v>
      </c>
      <c r="B203" s="43" t="e">
        <f t="shared" si="210"/>
        <v>#DIV/0!</v>
      </c>
      <c r="C203" s="215">
        <f t="shared" si="211"/>
        <v>0</v>
      </c>
      <c r="D203" s="215" t="e">
        <f t="shared" si="212"/>
        <v>#DIV/0!</v>
      </c>
      <c r="E203" s="14" t="e">
        <f t="shared" si="213"/>
        <v>#DIV/0!</v>
      </c>
      <c r="F203" s="48" t="e">
        <f t="shared" si="214"/>
        <v>#DIV/0!</v>
      </c>
      <c r="G203" s="150" t="e">
        <f t="shared" si="215"/>
        <v>#DIV/0!</v>
      </c>
      <c r="H203" s="61"/>
    </row>
    <row r="204" spans="1:8" x14ac:dyDescent="0.25">
      <c r="A204" s="13" t="s">
        <v>142</v>
      </c>
      <c r="B204" s="43" t="e">
        <f t="shared" si="210"/>
        <v>#DIV/0!</v>
      </c>
      <c r="C204" s="215">
        <f t="shared" si="211"/>
        <v>0</v>
      </c>
      <c r="D204" s="215" t="e">
        <f t="shared" si="212"/>
        <v>#DIV/0!</v>
      </c>
      <c r="E204" s="14" t="e">
        <f t="shared" si="213"/>
        <v>#DIV/0!</v>
      </c>
      <c r="F204" s="48" t="e">
        <f t="shared" si="214"/>
        <v>#DIV/0!</v>
      </c>
      <c r="G204" s="150" t="e">
        <f t="shared" si="215"/>
        <v>#DIV/0!</v>
      </c>
      <c r="H204" s="61"/>
    </row>
    <row r="205" spans="1:8" x14ac:dyDescent="0.25">
      <c r="A205" s="13" t="s">
        <v>143</v>
      </c>
      <c r="B205" s="43" t="e">
        <f t="shared" si="210"/>
        <v>#DIV/0!</v>
      </c>
      <c r="C205" s="215">
        <f t="shared" si="211"/>
        <v>0</v>
      </c>
      <c r="D205" s="215" t="e">
        <f t="shared" si="212"/>
        <v>#DIV/0!</v>
      </c>
      <c r="E205" s="14" t="e">
        <f t="shared" si="213"/>
        <v>#DIV/0!</v>
      </c>
      <c r="F205" s="48" t="e">
        <f t="shared" si="214"/>
        <v>#DIV/0!</v>
      </c>
      <c r="G205" s="150" t="e">
        <f t="shared" si="215"/>
        <v>#DIV/0!</v>
      </c>
      <c r="H205" s="61"/>
    </row>
    <row r="206" spans="1:8" x14ac:dyDescent="0.25">
      <c r="A206" s="13" t="s">
        <v>144</v>
      </c>
      <c r="B206" s="43" t="e">
        <f t="shared" si="210"/>
        <v>#DIV/0!</v>
      </c>
      <c r="C206" s="215">
        <f t="shared" si="211"/>
        <v>0</v>
      </c>
      <c r="D206" s="215" t="e">
        <f t="shared" si="212"/>
        <v>#DIV/0!</v>
      </c>
      <c r="E206" s="14" t="e">
        <f t="shared" si="213"/>
        <v>#DIV/0!</v>
      </c>
      <c r="F206" s="48" t="e">
        <f t="shared" si="214"/>
        <v>#DIV/0!</v>
      </c>
      <c r="G206" s="150" t="e">
        <f t="shared" si="215"/>
        <v>#DIV/0!</v>
      </c>
      <c r="H206" s="61"/>
    </row>
    <row r="207" spans="1:8" x14ac:dyDescent="0.25">
      <c r="A207" s="13" t="s">
        <v>145</v>
      </c>
      <c r="B207" s="43" t="e">
        <f t="shared" si="210"/>
        <v>#DIV/0!</v>
      </c>
      <c r="C207" s="215">
        <f t="shared" si="211"/>
        <v>0</v>
      </c>
      <c r="D207" s="215" t="e">
        <f t="shared" si="212"/>
        <v>#DIV/0!</v>
      </c>
      <c r="E207" s="14" t="e">
        <f t="shared" si="213"/>
        <v>#DIV/0!</v>
      </c>
      <c r="F207" s="48" t="e">
        <f t="shared" si="214"/>
        <v>#DIV/0!</v>
      </c>
      <c r="G207" s="150" t="e">
        <f t="shared" si="215"/>
        <v>#DIV/0!</v>
      </c>
      <c r="H207" s="61"/>
    </row>
    <row r="208" spans="1:8" x14ac:dyDescent="0.25">
      <c r="A208" s="13" t="s">
        <v>146</v>
      </c>
      <c r="B208" s="43" t="e">
        <f t="shared" si="210"/>
        <v>#DIV/0!</v>
      </c>
      <c r="C208" s="215">
        <f t="shared" si="211"/>
        <v>0</v>
      </c>
      <c r="D208" s="215" t="e">
        <f t="shared" si="212"/>
        <v>#DIV/0!</v>
      </c>
      <c r="E208" s="14" t="e">
        <f t="shared" si="213"/>
        <v>#DIV/0!</v>
      </c>
      <c r="F208" s="48" t="e">
        <f t="shared" si="214"/>
        <v>#DIV/0!</v>
      </c>
      <c r="G208" s="150" t="e">
        <f t="shared" si="215"/>
        <v>#DIV/0!</v>
      </c>
      <c r="H208" s="61"/>
    </row>
    <row r="209" spans="1:17" x14ac:dyDescent="0.25">
      <c r="A209" s="13" t="s">
        <v>147</v>
      </c>
      <c r="B209" s="43" t="e">
        <f t="shared" si="210"/>
        <v>#DIV/0!</v>
      </c>
      <c r="C209" s="215">
        <f t="shared" si="211"/>
        <v>0</v>
      </c>
      <c r="D209" s="215" t="e">
        <f t="shared" si="212"/>
        <v>#DIV/0!</v>
      </c>
      <c r="E209" s="14" t="e">
        <f t="shared" si="213"/>
        <v>#DIV/0!</v>
      </c>
      <c r="F209" s="48" t="e">
        <f t="shared" si="214"/>
        <v>#DIV/0!</v>
      </c>
      <c r="G209" s="150" t="e">
        <f t="shared" si="215"/>
        <v>#DIV/0!</v>
      </c>
      <c r="H209" s="61"/>
    </row>
    <row r="210" spans="1:17" x14ac:dyDescent="0.25">
      <c r="A210" s="13" t="s">
        <v>148</v>
      </c>
      <c r="B210" s="43" t="e">
        <f t="shared" si="210"/>
        <v>#DIV/0!</v>
      </c>
      <c r="C210" s="215">
        <f t="shared" si="211"/>
        <v>0</v>
      </c>
      <c r="D210" s="215" t="e">
        <f t="shared" si="212"/>
        <v>#DIV/0!</v>
      </c>
      <c r="E210" s="14" t="e">
        <f t="shared" si="213"/>
        <v>#DIV/0!</v>
      </c>
      <c r="F210" s="48" t="e">
        <f t="shared" si="214"/>
        <v>#DIV/0!</v>
      </c>
      <c r="G210" s="150" t="e">
        <f t="shared" si="215"/>
        <v>#DIV/0!</v>
      </c>
      <c r="H210" s="61"/>
    </row>
    <row r="211" spans="1:17" x14ac:dyDescent="0.25">
      <c r="A211" s="13" t="s">
        <v>149</v>
      </c>
      <c r="B211" s="43" t="e">
        <f t="shared" si="210"/>
        <v>#DIV/0!</v>
      </c>
      <c r="C211" s="215">
        <f t="shared" si="211"/>
        <v>0</v>
      </c>
      <c r="D211" s="215" t="e">
        <f t="shared" si="212"/>
        <v>#DIV/0!</v>
      </c>
      <c r="E211" s="14" t="e">
        <f t="shared" si="213"/>
        <v>#DIV/0!</v>
      </c>
      <c r="F211" s="48" t="e">
        <f t="shared" si="214"/>
        <v>#DIV/0!</v>
      </c>
      <c r="G211" s="150" t="e">
        <f t="shared" si="215"/>
        <v>#DIV/0!</v>
      </c>
      <c r="H211" s="61"/>
    </row>
    <row r="212" spans="1:17" x14ac:dyDescent="0.25">
      <c r="A212" s="13" t="s">
        <v>150</v>
      </c>
      <c r="B212" s="43" t="e">
        <f t="shared" si="210"/>
        <v>#DIV/0!</v>
      </c>
      <c r="C212" s="215">
        <f t="shared" si="211"/>
        <v>0</v>
      </c>
      <c r="D212" s="215" t="e">
        <f t="shared" si="212"/>
        <v>#DIV/0!</v>
      </c>
      <c r="E212" s="14" t="e">
        <f t="shared" si="213"/>
        <v>#DIV/0!</v>
      </c>
      <c r="F212" s="48" t="e">
        <f t="shared" si="214"/>
        <v>#DIV/0!</v>
      </c>
      <c r="G212" s="150" t="e">
        <f t="shared" si="215"/>
        <v>#DIV/0!</v>
      </c>
      <c r="H212" s="61"/>
    </row>
    <row r="213" spans="1:17" x14ac:dyDescent="0.25">
      <c r="A213" s="13" t="s">
        <v>151</v>
      </c>
      <c r="B213" s="43" t="e">
        <f t="shared" si="210"/>
        <v>#DIV/0!</v>
      </c>
      <c r="C213" s="215">
        <f t="shared" si="211"/>
        <v>0</v>
      </c>
      <c r="D213" s="215" t="e">
        <f t="shared" si="212"/>
        <v>#DIV/0!</v>
      </c>
      <c r="E213" s="14" t="e">
        <f t="shared" si="213"/>
        <v>#DIV/0!</v>
      </c>
      <c r="F213" s="48" t="e">
        <f t="shared" si="214"/>
        <v>#DIV/0!</v>
      </c>
      <c r="G213" s="150" t="e">
        <f t="shared" si="215"/>
        <v>#DIV/0!</v>
      </c>
      <c r="H213" s="61"/>
    </row>
    <row r="214" spans="1:17" x14ac:dyDescent="0.25">
      <c r="A214" s="13" t="s">
        <v>152</v>
      </c>
      <c r="B214" s="43" t="e">
        <f t="shared" si="210"/>
        <v>#DIV/0!</v>
      </c>
      <c r="C214" s="215">
        <f t="shared" si="211"/>
        <v>0</v>
      </c>
      <c r="D214" s="215" t="e">
        <f t="shared" si="212"/>
        <v>#DIV/0!</v>
      </c>
      <c r="E214" s="14" t="e">
        <f t="shared" si="213"/>
        <v>#DIV/0!</v>
      </c>
      <c r="F214" s="48" t="e">
        <f t="shared" si="214"/>
        <v>#DIV/0!</v>
      </c>
      <c r="G214" s="150" t="e">
        <f t="shared" si="215"/>
        <v>#DIV/0!</v>
      </c>
      <c r="H214" s="61"/>
    </row>
    <row r="215" spans="1:17" x14ac:dyDescent="0.25">
      <c r="A215" s="13" t="s">
        <v>153</v>
      </c>
      <c r="B215" s="43" t="e">
        <f t="shared" si="210"/>
        <v>#DIV/0!</v>
      </c>
      <c r="C215" s="215">
        <f t="shared" si="211"/>
        <v>0</v>
      </c>
      <c r="D215" s="215" t="e">
        <f t="shared" si="212"/>
        <v>#DIV/0!</v>
      </c>
      <c r="E215" s="14" t="e">
        <f t="shared" si="213"/>
        <v>#DIV/0!</v>
      </c>
      <c r="F215" s="48" t="e">
        <f t="shared" si="214"/>
        <v>#DIV/0!</v>
      </c>
      <c r="G215" s="150" t="e">
        <f t="shared" si="215"/>
        <v>#DIV/0!</v>
      </c>
      <c r="H215" s="61"/>
    </row>
    <row r="216" spans="1:17" x14ac:dyDescent="0.25">
      <c r="A216" s="13" t="s">
        <v>154</v>
      </c>
      <c r="B216" s="43" t="e">
        <f t="shared" si="210"/>
        <v>#DIV/0!</v>
      </c>
      <c r="C216" s="215">
        <f t="shared" si="211"/>
        <v>0</v>
      </c>
      <c r="D216" s="215" t="e">
        <f t="shared" si="212"/>
        <v>#DIV/0!</v>
      </c>
      <c r="E216" s="14" t="e">
        <f t="shared" si="213"/>
        <v>#DIV/0!</v>
      </c>
      <c r="F216" s="48" t="e">
        <f t="shared" si="214"/>
        <v>#DIV/0!</v>
      </c>
      <c r="G216" s="150" t="e">
        <f t="shared" si="215"/>
        <v>#DIV/0!</v>
      </c>
      <c r="H216" s="61"/>
      <c r="K216" s="1" t="s">
        <v>380</v>
      </c>
    </row>
    <row r="217" spans="1:17" x14ac:dyDescent="0.25">
      <c r="A217" s="13" t="s">
        <v>155</v>
      </c>
      <c r="B217" s="43" t="e">
        <f t="shared" si="210"/>
        <v>#DIV/0!</v>
      </c>
      <c r="C217" s="215">
        <f t="shared" si="211"/>
        <v>0</v>
      </c>
      <c r="D217" s="215" t="e">
        <f t="shared" si="212"/>
        <v>#DIV/0!</v>
      </c>
      <c r="E217" s="14" t="e">
        <f t="shared" si="213"/>
        <v>#DIV/0!</v>
      </c>
      <c r="F217" s="48" t="e">
        <f t="shared" si="214"/>
        <v>#DIV/0!</v>
      </c>
      <c r="G217" s="150" t="e">
        <f t="shared" si="215"/>
        <v>#DIV/0!</v>
      </c>
      <c r="H217" s="61"/>
      <c r="K217" t="s">
        <v>381</v>
      </c>
      <c r="L217" t="s">
        <v>382</v>
      </c>
      <c r="M217" t="s">
        <v>383</v>
      </c>
      <c r="N217" t="s">
        <v>384</v>
      </c>
      <c r="O217" t="s">
        <v>385</v>
      </c>
      <c r="P217" t="s">
        <v>386</v>
      </c>
      <c r="Q217" t="s">
        <v>213</v>
      </c>
    </row>
    <row r="218" spans="1:17" x14ac:dyDescent="0.25">
      <c r="A218" s="13" t="s">
        <v>156</v>
      </c>
      <c r="B218" s="43" t="e">
        <f t="shared" si="210"/>
        <v>#DIV/0!</v>
      </c>
      <c r="C218" s="215">
        <f t="shared" si="211"/>
        <v>0</v>
      </c>
      <c r="D218" s="215" t="e">
        <f t="shared" si="212"/>
        <v>#DIV/0!</v>
      </c>
      <c r="E218" s="14" t="e">
        <f t="shared" si="213"/>
        <v>#DIV/0!</v>
      </c>
      <c r="F218" s="48" t="e">
        <f t="shared" si="214"/>
        <v>#DIV/0!</v>
      </c>
      <c r="G218" s="150" t="e">
        <f t="shared" si="215"/>
        <v>#DIV/0!</v>
      </c>
      <c r="H218" s="61"/>
      <c r="J218" t="s">
        <v>387</v>
      </c>
      <c r="K218" s="186">
        <v>425</v>
      </c>
      <c r="L218" s="186">
        <v>395</v>
      </c>
      <c r="M218" s="186">
        <v>478</v>
      </c>
      <c r="N218" s="186">
        <v>460</v>
      </c>
      <c r="O218" s="186">
        <v>405</v>
      </c>
      <c r="P218" s="186">
        <v>539</v>
      </c>
      <c r="Q218" s="187">
        <f>SUMPRODUCT(K218:P218,K219:P219)/Q219</f>
        <v>450.92541087231353</v>
      </c>
    </row>
    <row r="219" spans="1:17" x14ac:dyDescent="0.25">
      <c r="A219" s="13" t="s">
        <v>157</v>
      </c>
      <c r="B219" s="43" t="e">
        <f t="shared" si="210"/>
        <v>#DIV/0!</v>
      </c>
      <c r="C219" s="215">
        <f t="shared" si="211"/>
        <v>0</v>
      </c>
      <c r="D219" s="215" t="e">
        <f t="shared" si="212"/>
        <v>#DIV/0!</v>
      </c>
      <c r="E219" s="14" t="e">
        <f t="shared" si="213"/>
        <v>#DIV/0!</v>
      </c>
      <c r="F219" s="48" t="e">
        <f t="shared" si="214"/>
        <v>#DIV/0!</v>
      </c>
      <c r="G219" s="150" t="e">
        <f t="shared" si="215"/>
        <v>#DIV/0!</v>
      </c>
      <c r="H219" s="61"/>
      <c r="J219" t="s">
        <v>388</v>
      </c>
      <c r="K219">
        <v>11.7</v>
      </c>
      <c r="L219">
        <v>12.3</v>
      </c>
      <c r="M219">
        <v>22.8</v>
      </c>
      <c r="N219">
        <v>45</v>
      </c>
      <c r="O219">
        <v>43.9</v>
      </c>
      <c r="P219">
        <v>22.5</v>
      </c>
      <c r="Q219" s="9">
        <f>SUM(K219:P219)</f>
        <v>158.19999999999999</v>
      </c>
    </row>
    <row r="220" spans="1:17" x14ac:dyDescent="0.25">
      <c r="A220" s="13" t="s">
        <v>158</v>
      </c>
      <c r="B220" s="43" t="e">
        <f t="shared" si="210"/>
        <v>#DIV/0!</v>
      </c>
      <c r="C220" s="215">
        <f t="shared" si="211"/>
        <v>0</v>
      </c>
      <c r="D220" s="215" t="e">
        <f t="shared" si="212"/>
        <v>#DIV/0!</v>
      </c>
      <c r="E220" s="14" t="e">
        <f t="shared" si="213"/>
        <v>#DIV/0!</v>
      </c>
      <c r="F220" s="48" t="e">
        <f t="shared" si="214"/>
        <v>#DIV/0!</v>
      </c>
      <c r="G220" s="150" t="e">
        <f t="shared" si="215"/>
        <v>#DIV/0!</v>
      </c>
      <c r="H220" s="61"/>
    </row>
    <row r="221" spans="1:17" x14ac:dyDescent="0.25">
      <c r="A221" s="13" t="s">
        <v>159</v>
      </c>
      <c r="B221" s="43" t="e">
        <f t="shared" si="210"/>
        <v>#DIV/0!</v>
      </c>
      <c r="C221" s="215">
        <f t="shared" si="211"/>
        <v>0</v>
      </c>
      <c r="D221" s="215" t="e">
        <f t="shared" si="212"/>
        <v>#DIV/0!</v>
      </c>
      <c r="E221" s="14" t="e">
        <f t="shared" si="213"/>
        <v>#DIV/0!</v>
      </c>
      <c r="F221" s="48" t="e">
        <f t="shared" si="214"/>
        <v>#DIV/0!</v>
      </c>
      <c r="G221" s="150" t="e">
        <f t="shared" si="215"/>
        <v>#DIV/0!</v>
      </c>
      <c r="H221" s="61"/>
      <c r="J221" t="s">
        <v>82</v>
      </c>
      <c r="K221" s="20" t="s">
        <v>510</v>
      </c>
      <c r="O221" s="20" t="s">
        <v>390</v>
      </c>
    </row>
    <row r="222" spans="1:17" x14ac:dyDescent="0.25">
      <c r="A222" s="13" t="s">
        <v>160</v>
      </c>
      <c r="B222" s="43" t="e">
        <f t="shared" si="210"/>
        <v>#DIV/0!</v>
      </c>
      <c r="C222" s="215">
        <f t="shared" si="211"/>
        <v>0</v>
      </c>
      <c r="D222" s="215" t="e">
        <f t="shared" si="212"/>
        <v>#DIV/0!</v>
      </c>
      <c r="E222" s="14" t="e">
        <f t="shared" si="213"/>
        <v>#DIV/0!</v>
      </c>
      <c r="F222" s="48" t="e">
        <f t="shared" si="214"/>
        <v>#DIV/0!</v>
      </c>
      <c r="G222" s="150" t="e">
        <f t="shared" si="215"/>
        <v>#DIV/0!</v>
      </c>
      <c r="H222" s="61"/>
      <c r="J222" s="838" t="s">
        <v>391</v>
      </c>
      <c r="K222" s="838"/>
      <c r="L222" s="838"/>
    </row>
    <row r="223" spans="1:17" x14ac:dyDescent="0.25">
      <c r="A223" s="13" t="s">
        <v>161</v>
      </c>
      <c r="B223" s="43" t="e">
        <f t="shared" si="210"/>
        <v>#DIV/0!</v>
      </c>
      <c r="C223" s="215">
        <f t="shared" si="211"/>
        <v>0</v>
      </c>
      <c r="D223" s="215" t="e">
        <f t="shared" si="212"/>
        <v>#DIV/0!</v>
      </c>
      <c r="E223" s="14" t="e">
        <f t="shared" si="213"/>
        <v>#DIV/0!</v>
      </c>
      <c r="F223" s="48" t="e">
        <f t="shared" si="214"/>
        <v>#DIV/0!</v>
      </c>
      <c r="G223" s="150" t="e">
        <f t="shared" si="215"/>
        <v>#DIV/0!</v>
      </c>
      <c r="H223" s="61"/>
      <c r="L223" t="s">
        <v>392</v>
      </c>
    </row>
    <row r="224" spans="1:17" x14ac:dyDescent="0.25">
      <c r="A224" s="13" t="s">
        <v>162</v>
      </c>
      <c r="B224" s="43" t="e">
        <f t="shared" si="210"/>
        <v>#DIV/0!</v>
      </c>
      <c r="C224" s="215">
        <f t="shared" si="211"/>
        <v>0</v>
      </c>
      <c r="D224" s="215" t="e">
        <f t="shared" si="212"/>
        <v>#DIV/0!</v>
      </c>
      <c r="E224" s="14" t="e">
        <f t="shared" si="213"/>
        <v>#DIV/0!</v>
      </c>
      <c r="F224" s="48" t="e">
        <f t="shared" si="214"/>
        <v>#DIV/0!</v>
      </c>
      <c r="G224" s="150" t="e">
        <f t="shared" si="215"/>
        <v>#DIV/0!</v>
      </c>
      <c r="H224" s="61"/>
      <c r="L224" s="188">
        <f>Q218</f>
        <v>450.92541087231353</v>
      </c>
    </row>
    <row r="225" spans="1:17" x14ac:dyDescent="0.25">
      <c r="A225" s="144" t="s">
        <v>163</v>
      </c>
      <c r="B225" s="46" t="e">
        <f>SUM(B201:B224)</f>
        <v>#DIV/0!</v>
      </c>
      <c r="C225" s="46">
        <f t="shared" ref="C225:E225" si="216">SUM(C201:C224)</f>
        <v>0</v>
      </c>
      <c r="D225" s="46" t="e">
        <f t="shared" si="216"/>
        <v>#DIV/0!</v>
      </c>
      <c r="E225" s="46" t="e">
        <f t="shared" si="216"/>
        <v>#DIV/0!</v>
      </c>
      <c r="F225" s="48" t="e">
        <f>SUM(B225:E225)</f>
        <v>#DIV/0!</v>
      </c>
      <c r="G225" s="150" t="e">
        <f t="shared" ref="G225" si="217">F225/$C$198</f>
        <v>#DIV/0!</v>
      </c>
      <c r="H225" s="61"/>
    </row>
    <row r="226" spans="1:17" ht="15.75" thickBot="1" x14ac:dyDescent="0.3">
      <c r="A226" s="145" t="s">
        <v>393</v>
      </c>
      <c r="B226" s="165" t="e">
        <f>B225/'Summary-all-crops'!$C$3</f>
        <v>#DIV/0!</v>
      </c>
      <c r="C226" s="165">
        <f>C225/'Summary-all-crops'!$C$3</f>
        <v>0</v>
      </c>
      <c r="D226" s="165" t="e">
        <f>D225/'Summary-all-crops'!$C$3</f>
        <v>#DIV/0!</v>
      </c>
      <c r="E226" s="165" t="e">
        <f>E225/'Summary-all-crops'!$C$3</f>
        <v>#DIV/0!</v>
      </c>
      <c r="F226" s="165" t="e">
        <f>F225/'Summary-all-crops'!$C$3</f>
        <v>#DIV/0!</v>
      </c>
      <c r="G226" s="166"/>
    </row>
    <row r="227" spans="1:17" x14ac:dyDescent="0.25">
      <c r="F227" s="92" t="e">
        <f>F225*K1</f>
        <v>#DIV/0!</v>
      </c>
      <c r="G227" s="147" t="e">
        <f>SUM(F201:F224)-F225</f>
        <v>#DIV/0!</v>
      </c>
    </row>
    <row r="229" spans="1:17" ht="43.35" customHeight="1" x14ac:dyDescent="0.25">
      <c r="A229" s="845" t="s">
        <v>511</v>
      </c>
      <c r="B229" s="845"/>
      <c r="C229" s="845"/>
      <c r="D229" s="845"/>
      <c r="E229" s="845"/>
      <c r="F229" s="845"/>
      <c r="G229" s="845"/>
      <c r="H229" s="845"/>
      <c r="I229" s="845"/>
      <c r="J229" s="845"/>
      <c r="K229" s="845"/>
      <c r="L229" s="845"/>
      <c r="M229" s="845"/>
      <c r="N229" s="845"/>
      <c r="O229" s="845"/>
      <c r="P229" s="845"/>
      <c r="Q229" s="845"/>
    </row>
    <row r="230" spans="1:17" x14ac:dyDescent="0.25">
      <c r="A230" s="24">
        <f>N64</f>
        <v>0</v>
      </c>
      <c r="B230" s="62" t="s">
        <v>512</v>
      </c>
      <c r="C230" s="6"/>
      <c r="D230" s="6"/>
      <c r="E230" s="6"/>
      <c r="F230" s="6"/>
      <c r="G230" s="6"/>
      <c r="H230" s="6"/>
      <c r="I230" s="6"/>
      <c r="J230" s="6"/>
      <c r="K230" s="6"/>
      <c r="L230" s="6"/>
      <c r="M230" s="6"/>
      <c r="N230" s="6"/>
      <c r="O230" s="6"/>
      <c r="P230" s="6"/>
      <c r="Q230" s="6"/>
    </row>
    <row r="231" spans="1:17" x14ac:dyDescent="0.25">
      <c r="A231" s="24">
        <f>N94</f>
        <v>0</v>
      </c>
      <c r="B231" s="62" t="s">
        <v>513</v>
      </c>
      <c r="C231" s="6"/>
      <c r="D231" s="6"/>
      <c r="E231" s="6"/>
      <c r="F231" s="6"/>
      <c r="G231" s="6"/>
      <c r="H231" s="6"/>
      <c r="I231" s="6"/>
      <c r="J231" s="6"/>
      <c r="K231" s="6"/>
      <c r="L231" s="6"/>
      <c r="M231" s="6"/>
      <c r="N231" s="6"/>
      <c r="O231" s="6"/>
      <c r="P231" s="6"/>
      <c r="Q231" s="6"/>
    </row>
    <row r="232" spans="1:17" x14ac:dyDescent="0.25">
      <c r="A232" s="24" t="e">
        <f>F225</f>
        <v>#DIV/0!</v>
      </c>
      <c r="B232" s="6" t="s">
        <v>397</v>
      </c>
      <c r="C232" s="24" t="e">
        <f>A232*K1</f>
        <v>#DIV/0!</v>
      </c>
      <c r="D232" s="6" t="s">
        <v>398</v>
      </c>
      <c r="E232" s="6"/>
      <c r="F232" s="176" t="e">
        <f>G225</f>
        <v>#DIV/0!</v>
      </c>
      <c r="G232" s="6" t="s">
        <v>399</v>
      </c>
      <c r="H232" s="6"/>
      <c r="I232" s="6"/>
      <c r="J232" s="6"/>
      <c r="K232" s="6"/>
      <c r="L232" s="6"/>
      <c r="M232" s="6"/>
      <c r="N232" s="6"/>
      <c r="O232" s="6"/>
      <c r="P232" s="6"/>
      <c r="Q232" s="6"/>
    </row>
  </sheetData>
  <mergeCells count="48">
    <mergeCell ref="AC19:AH22"/>
    <mergeCell ref="V136:V137"/>
    <mergeCell ref="T136:T137"/>
    <mergeCell ref="U136:U137"/>
    <mergeCell ref="Y136:Y137"/>
    <mergeCell ref="A199:A200"/>
    <mergeCell ref="B199:F199"/>
    <mergeCell ref="G199:G200"/>
    <mergeCell ref="J222:L222"/>
    <mergeCell ref="A229:Q229"/>
    <mergeCell ref="N136:Q136"/>
    <mergeCell ref="Z136:Z137"/>
    <mergeCell ref="AC136:AC137"/>
    <mergeCell ref="A167:A169"/>
    <mergeCell ref="B167:E167"/>
    <mergeCell ref="A135:A136"/>
    <mergeCell ref="B135:F135"/>
    <mergeCell ref="C136:E136"/>
    <mergeCell ref="F136:I136"/>
    <mergeCell ref="J136:M136"/>
    <mergeCell ref="S136:S137"/>
    <mergeCell ref="W136:W137"/>
    <mergeCell ref="X136:X137"/>
    <mergeCell ref="R136:R137"/>
    <mergeCell ref="O68:R68"/>
    <mergeCell ref="U68:W68"/>
    <mergeCell ref="C95:E95"/>
    <mergeCell ref="A101:A102"/>
    <mergeCell ref="B101:B102"/>
    <mergeCell ref="C101:F101"/>
    <mergeCell ref="G101:J101"/>
    <mergeCell ref="K101:N101"/>
    <mergeCell ref="C65:E65"/>
    <mergeCell ref="B68:B69"/>
    <mergeCell ref="C68:F68"/>
    <mergeCell ref="G68:J68"/>
    <mergeCell ref="K68:N68"/>
    <mergeCell ref="G38:J38"/>
    <mergeCell ref="K38:N38"/>
    <mergeCell ref="O38:R38"/>
    <mergeCell ref="A1:E1"/>
    <mergeCell ref="D23:E23"/>
    <mergeCell ref="A24:B24"/>
    <mergeCell ref="A32:D32"/>
    <mergeCell ref="A33:B33"/>
    <mergeCell ref="B38:B39"/>
    <mergeCell ref="C38:F38"/>
    <mergeCell ref="F23:G23"/>
  </mergeCells>
  <hyperlinks>
    <hyperlink ref="K221" r:id="rId1" display="https://apps.fas.usda.gov/psdonline/circulars/grain.pdf " xr:uid="{600C8DB1-5087-4BF9-AC33-F581DF2F006B}"/>
    <hyperlink ref="O221" r:id="rId2" xr:uid="{54168BD9-B7CD-435C-AD8E-2DD90B2DDA6B}"/>
    <hyperlink ref="O67" r:id="rId3" xr:uid="{247841E2-E4A1-4F9A-B326-E2F8D79DB01B}"/>
    <hyperlink ref="H67" r:id="rId4" xr:uid="{3B782F40-C33C-4D84-8C65-089E940C21DB}"/>
    <hyperlink ref="I134" r:id="rId5" xr:uid="{44B12FB6-4D49-4145-B87D-E176855C0EAD}"/>
    <hyperlink ref="H129" r:id="rId6" xr:uid="{EA5EE1D2-A96C-45AA-AA19-2084E0875941}"/>
    <hyperlink ref="H131" r:id="rId7" location=":~:text=The%20study%2C%20published%20today%20in,estimate%20of%20%2451%20per%20ton. " xr:uid="{46F3E984-E323-4A2A-B5AF-A51A5E46034E}"/>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D1AD5-15A6-4078-84E1-582587E4ABB6}">
  <dimension ref="A1:AO229"/>
  <sheetViews>
    <sheetView topLeftCell="A14" workbookViewId="0">
      <selection activeCell="AC16" sqref="AC16:AH19"/>
    </sheetView>
  </sheetViews>
  <sheetFormatPr defaultRowHeight="15" x14ac:dyDescent="0.25"/>
  <cols>
    <col min="1" max="1" width="14.5703125" bestFit="1" customWidth="1"/>
    <col min="2" max="2" width="25.5703125" customWidth="1"/>
    <col min="3" max="3" width="24.5703125" customWidth="1"/>
    <col min="4" max="4" width="18.85546875" customWidth="1"/>
    <col min="5" max="5" width="23.140625" customWidth="1"/>
    <col min="6" max="6" width="22" customWidth="1"/>
    <col min="7" max="7" width="19" customWidth="1"/>
    <col min="8" max="8" width="13.5703125" customWidth="1"/>
    <col min="9" max="9" width="12.140625" customWidth="1"/>
    <col min="10" max="10" width="20.140625" customWidth="1"/>
    <col min="11" max="11" width="16.425781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13.5703125" customWidth="1"/>
    <col min="23" max="23" width="14.140625" bestFit="1" customWidth="1"/>
    <col min="24" max="24" width="22.42578125" customWidth="1"/>
    <col min="25" max="25" width="25.42578125" bestFit="1" customWidth="1"/>
    <col min="26" max="26" width="13.85546875" customWidth="1"/>
    <col min="27" max="28" width="16.5703125" bestFit="1" customWidth="1"/>
    <col min="29" max="29" width="14.5703125" customWidth="1"/>
    <col min="30" max="31" width="15.85546875" bestFit="1" customWidth="1"/>
    <col min="32" max="32" width="13.5703125" customWidth="1"/>
    <col min="33" max="33" width="21.85546875" customWidth="1"/>
    <col min="36" max="36" width="13.5703125" customWidth="1"/>
    <col min="37" max="37" width="10.5703125" customWidth="1"/>
    <col min="38" max="38" width="10.5703125" bestFit="1" customWidth="1"/>
  </cols>
  <sheetData>
    <row r="1" spans="1:34" ht="18.75" x14ac:dyDescent="0.3">
      <c r="A1" s="841" t="s">
        <v>255</v>
      </c>
      <c r="B1" s="841"/>
      <c r="C1" s="841"/>
      <c r="D1" s="841"/>
      <c r="E1" s="841"/>
      <c r="F1" s="12"/>
      <c r="G1" s="12"/>
      <c r="H1" s="58"/>
      <c r="J1" s="1" t="s">
        <v>400</v>
      </c>
      <c r="K1" s="445">
        <f>'Prices,exch.rates,harvest index'!M2</f>
        <v>2.8759999999999999</v>
      </c>
      <c r="L1" s="1" t="s">
        <v>257</v>
      </c>
      <c r="M1" s="1"/>
      <c r="N1" s="1"/>
      <c r="O1" s="1"/>
    </row>
    <row r="2" spans="1:34" x14ac:dyDescent="0.25">
      <c r="A2" s="3" t="s">
        <v>260</v>
      </c>
      <c r="B2" s="8" t="s">
        <v>261</v>
      </c>
      <c r="C2" s="8"/>
      <c r="D2" s="8"/>
      <c r="E2" s="4"/>
      <c r="G2" s="3"/>
      <c r="H2" s="3"/>
    </row>
    <row r="3" spans="1:34" x14ac:dyDescent="0.25">
      <c r="A3" s="3"/>
      <c r="B3" s="10" t="s">
        <v>263</v>
      </c>
      <c r="C3" s="10"/>
      <c r="D3" s="10"/>
      <c r="E3" s="10"/>
      <c r="F3" s="1"/>
      <c r="G3" s="1"/>
      <c r="H3" s="1"/>
      <c r="I3" s="1"/>
      <c r="J3" s="1"/>
      <c r="K3" s="1"/>
      <c r="L3" s="1"/>
      <c r="M3" s="1"/>
      <c r="N3" s="1"/>
      <c r="O3" s="1"/>
      <c r="P3" s="1"/>
      <c r="Q3" s="1"/>
    </row>
    <row r="4" spans="1:34" x14ac:dyDescent="0.25">
      <c r="A4" s="3"/>
      <c r="B4" s="7" t="s">
        <v>265</v>
      </c>
      <c r="C4" s="62"/>
      <c r="D4" s="62"/>
      <c r="E4" s="62"/>
      <c r="F4" s="1"/>
      <c r="G4" s="1"/>
      <c r="H4" s="1"/>
      <c r="I4" s="1"/>
      <c r="J4" s="1"/>
      <c r="K4" s="1"/>
      <c r="L4" s="1"/>
      <c r="M4" s="1"/>
      <c r="N4" s="1"/>
      <c r="O4" s="1"/>
      <c r="P4" s="1"/>
      <c r="Q4" s="1"/>
    </row>
    <row r="5" spans="1:34" x14ac:dyDescent="0.25">
      <c r="A5" s="3"/>
      <c r="B5" s="183" t="s">
        <v>266</v>
      </c>
      <c r="C5" s="136"/>
      <c r="D5" s="136"/>
      <c r="E5" s="136"/>
      <c r="F5" s="1"/>
      <c r="G5" s="1"/>
      <c r="H5" s="1"/>
      <c r="I5" s="1"/>
      <c r="J5" s="1" t="s">
        <v>267</v>
      </c>
      <c r="K5" s="445">
        <f>'Prices,exch.rates,harvest index'!N2</f>
        <v>1.43</v>
      </c>
      <c r="L5" s="1" t="s">
        <v>257</v>
      </c>
      <c r="M5" s="1"/>
      <c r="N5" s="1"/>
      <c r="O5" s="1"/>
      <c r="P5" s="1"/>
      <c r="Q5" s="1"/>
    </row>
    <row r="6" spans="1:34" x14ac:dyDescent="0.25">
      <c r="A6" s="3"/>
      <c r="B6" s="293" t="s">
        <v>268</v>
      </c>
      <c r="C6" s="294"/>
      <c r="D6" s="294"/>
      <c r="E6" s="294"/>
      <c r="F6" s="1"/>
      <c r="G6" s="1"/>
      <c r="H6" s="1"/>
      <c r="I6" s="1"/>
      <c r="J6" s="1"/>
      <c r="K6" s="1"/>
      <c r="L6" s="1"/>
      <c r="M6" s="1"/>
      <c r="N6" s="1"/>
      <c r="O6" s="1"/>
      <c r="P6" s="1"/>
      <c r="Q6" s="1"/>
    </row>
    <row r="7" spans="1:34" x14ac:dyDescent="0.25">
      <c r="A7" s="7" t="s">
        <v>269</v>
      </c>
      <c r="B7" s="7"/>
      <c r="C7" s="7"/>
      <c r="D7" s="7"/>
      <c r="E7" s="7"/>
      <c r="F7" s="7"/>
      <c r="G7" s="7"/>
      <c r="H7" s="7"/>
      <c r="I7" s="6"/>
      <c r="J7" s="6"/>
      <c r="K7" s="6"/>
      <c r="L7" s="6"/>
      <c r="M7" s="6"/>
      <c r="N7" s="6"/>
      <c r="O7" s="6"/>
      <c r="P7" s="6"/>
      <c r="Q7" s="6"/>
      <c r="R7" s="6"/>
      <c r="S7" s="6"/>
      <c r="T7" s="6"/>
    </row>
    <row r="8" spans="1:34" ht="14.45" customHeight="1" x14ac:dyDescent="0.25">
      <c r="A8" s="7" t="s">
        <v>270</v>
      </c>
      <c r="B8" s="7"/>
      <c r="C8" s="7"/>
      <c r="D8" s="7"/>
      <c r="E8" s="7"/>
      <c r="F8" s="7"/>
      <c r="G8" s="7"/>
      <c r="H8" s="7"/>
      <c r="I8" s="7"/>
      <c r="J8" s="7"/>
      <c r="K8" s="7"/>
      <c r="L8" s="7"/>
      <c r="M8" s="7"/>
      <c r="N8" s="7"/>
      <c r="O8" s="7"/>
      <c r="P8" s="7"/>
      <c r="Q8" s="7"/>
      <c r="R8" s="7"/>
      <c r="S8" s="7"/>
      <c r="T8" s="7"/>
    </row>
    <row r="9" spans="1:34" ht="14.45" customHeight="1" x14ac:dyDescent="0.25">
      <c r="A9" s="7"/>
      <c r="B9" s="7"/>
      <c r="C9" s="7"/>
      <c r="D9" s="7"/>
      <c r="E9" s="7"/>
      <c r="F9" s="7"/>
      <c r="G9" s="7"/>
      <c r="H9" s="7"/>
      <c r="I9" s="7"/>
      <c r="J9" s="7"/>
      <c r="K9" s="7"/>
      <c r="L9" s="7"/>
      <c r="M9" s="7"/>
      <c r="N9" s="7"/>
      <c r="O9" s="7"/>
      <c r="P9" s="7"/>
      <c r="Q9" s="7"/>
      <c r="R9" s="7"/>
      <c r="S9" s="7"/>
      <c r="T9" s="7"/>
    </row>
    <row r="10" spans="1:34" ht="14.45" customHeight="1" x14ac:dyDescent="0.25">
      <c r="A10" s="7"/>
      <c r="B10" s="7"/>
      <c r="C10" s="7"/>
      <c r="D10" s="7"/>
      <c r="E10" s="7"/>
      <c r="F10" s="7"/>
      <c r="G10" s="7"/>
      <c r="H10" s="7"/>
      <c r="I10" s="7"/>
      <c r="J10" s="7"/>
      <c r="K10" s="7"/>
      <c r="L10" s="7"/>
      <c r="M10" s="7"/>
      <c r="N10" s="7"/>
      <c r="O10" s="7"/>
      <c r="P10" s="7"/>
      <c r="Q10" s="7"/>
      <c r="R10" s="7"/>
      <c r="S10" s="7"/>
      <c r="T10" s="7"/>
    </row>
    <row r="11" spans="1:34" ht="14.45" customHeight="1" x14ac:dyDescent="0.25">
      <c r="A11" s="3"/>
      <c r="B11" s="3"/>
      <c r="C11" s="3"/>
      <c r="D11" s="3"/>
      <c r="E11" s="3"/>
      <c r="F11" s="3"/>
      <c r="G11" s="3"/>
      <c r="H11" s="3"/>
      <c r="I11" s="3"/>
      <c r="J11" s="3"/>
      <c r="K11" s="3"/>
      <c r="L11" s="3"/>
      <c r="M11" s="3"/>
      <c r="N11" s="3"/>
      <c r="O11" s="3"/>
      <c r="P11" s="3"/>
      <c r="Q11" s="3"/>
      <c r="R11" s="3"/>
      <c r="S11" s="3"/>
      <c r="T11" s="3"/>
    </row>
    <row r="12" spans="1:34" ht="27" customHeight="1" x14ac:dyDescent="0.25">
      <c r="A12" s="194" t="s">
        <v>1</v>
      </c>
      <c r="B12" s="15" t="s">
        <v>103</v>
      </c>
      <c r="C12" s="15" t="s">
        <v>437</v>
      </c>
      <c r="D12" s="195" t="s">
        <v>514</v>
      </c>
      <c r="E12" s="195" t="s">
        <v>515</v>
      </c>
      <c r="F12" s="194" t="s">
        <v>516</v>
      </c>
      <c r="G12" s="194" t="s">
        <v>517</v>
      </c>
      <c r="H12" s="3"/>
      <c r="I12" s="3"/>
      <c r="J12" s="3"/>
      <c r="K12" s="3"/>
      <c r="L12" s="3"/>
      <c r="M12" s="3"/>
      <c r="N12" s="3"/>
      <c r="O12" s="3"/>
      <c r="P12" s="3"/>
      <c r="Q12" s="3"/>
      <c r="R12" s="3"/>
      <c r="S12" s="3"/>
      <c r="T12" s="3"/>
      <c r="U12" s="3"/>
      <c r="V12" s="3"/>
    </row>
    <row r="13" spans="1:34" ht="14.45" customHeight="1" x14ac:dyDescent="0.25">
      <c r="A13" s="199" t="s">
        <v>518</v>
      </c>
      <c r="B13" s="242">
        <f>SUM('Prices,exch.rates,harvest index'!I38:I44)</f>
        <v>0</v>
      </c>
      <c r="C13" s="242" t="e">
        <f>SUM('Prices,exch.rates,harvest index'!J38:J44)</f>
        <v>#DIV/0!</v>
      </c>
      <c r="D13" s="216" t="e">
        <f>'Prices,exch.rates,harvest index'!M11</f>
        <v>#DIV/0!</v>
      </c>
      <c r="E13" s="14">
        <v>0</v>
      </c>
      <c r="F13" s="216" t="e">
        <f>'Prices,exch.rates,harvest index'!O11</f>
        <v>#DIV/0!</v>
      </c>
      <c r="G13" s="215">
        <v>0</v>
      </c>
      <c r="H13" s="3"/>
      <c r="I13" s="3"/>
      <c r="J13" s="3"/>
      <c r="K13" s="3"/>
      <c r="L13" s="3"/>
      <c r="M13" s="3"/>
      <c r="N13" s="3"/>
      <c r="O13" s="3"/>
      <c r="P13" s="3"/>
      <c r="Q13" s="3"/>
      <c r="R13" s="3"/>
      <c r="S13" s="3"/>
      <c r="T13" s="3"/>
      <c r="U13" s="3"/>
      <c r="V13" s="3"/>
    </row>
    <row r="14" spans="1:34" ht="14.45" customHeight="1" x14ac:dyDescent="0.25">
      <c r="A14" s="1"/>
      <c r="H14" s="3"/>
      <c r="I14" s="3"/>
      <c r="J14" s="3"/>
      <c r="K14" s="3"/>
      <c r="L14" s="3"/>
      <c r="M14" s="3"/>
      <c r="N14" s="3"/>
      <c r="O14" s="3"/>
      <c r="P14" s="3"/>
      <c r="Q14" s="3"/>
      <c r="R14" s="3"/>
      <c r="S14" s="3"/>
      <c r="T14" s="3"/>
      <c r="U14" s="3"/>
      <c r="V14" s="3"/>
    </row>
    <row r="15" spans="1:34" ht="14.45" customHeight="1" x14ac:dyDescent="0.25">
      <c r="A15" s="1"/>
      <c r="H15" s="3"/>
      <c r="I15" s="3"/>
      <c r="J15" s="3"/>
      <c r="K15" s="3"/>
      <c r="L15" s="3"/>
      <c r="M15" s="3"/>
      <c r="N15" s="3"/>
      <c r="O15" s="3"/>
      <c r="P15" s="3"/>
      <c r="Q15" s="3"/>
      <c r="R15" s="3"/>
      <c r="S15" s="3"/>
      <c r="T15" s="3"/>
      <c r="U15" s="3"/>
      <c r="V15" s="3"/>
    </row>
    <row r="16" spans="1:34" ht="14.45" customHeight="1" x14ac:dyDescent="0.25">
      <c r="A16" s="1"/>
      <c r="H16" s="3"/>
      <c r="I16" s="3"/>
      <c r="J16" s="3"/>
      <c r="K16" s="3"/>
      <c r="L16" s="3"/>
      <c r="M16" s="3"/>
      <c r="N16" s="3"/>
      <c r="O16" s="3"/>
      <c r="P16" s="3"/>
      <c r="Q16" s="3"/>
      <c r="R16" s="3"/>
      <c r="S16" s="3"/>
      <c r="T16" s="3"/>
      <c r="U16" s="3"/>
      <c r="V16" s="3"/>
      <c r="AC16" s="852" t="s">
        <v>1258</v>
      </c>
      <c r="AD16" s="852"/>
      <c r="AE16" s="852"/>
      <c r="AF16" s="852"/>
      <c r="AG16" s="852"/>
      <c r="AH16" s="852"/>
    </row>
    <row r="17" spans="1:41" ht="14.45" customHeight="1" x14ac:dyDescent="0.25">
      <c r="A17" s="1"/>
      <c r="H17" s="3"/>
      <c r="I17" s="3"/>
      <c r="J17" s="3"/>
      <c r="K17" s="3"/>
      <c r="L17" s="3"/>
      <c r="M17" s="3"/>
      <c r="N17" s="3"/>
      <c r="O17" s="3"/>
      <c r="P17" s="3"/>
      <c r="Q17" s="3"/>
      <c r="R17" s="3"/>
      <c r="S17" s="3"/>
      <c r="T17" s="3"/>
      <c r="U17" s="3"/>
      <c r="V17" s="3"/>
      <c r="Z17" s="271"/>
      <c r="AC17" s="852"/>
      <c r="AD17" s="852"/>
      <c r="AE17" s="852"/>
      <c r="AF17" s="852"/>
      <c r="AG17" s="852"/>
      <c r="AH17" s="852"/>
    </row>
    <row r="18" spans="1:41" ht="14.45" customHeight="1" x14ac:dyDescent="0.25">
      <c r="A18" s="1"/>
      <c r="H18" s="3"/>
      <c r="I18" s="3"/>
      <c r="J18" s="3"/>
      <c r="K18" s="3"/>
      <c r="L18" s="3"/>
      <c r="M18" s="3"/>
      <c r="N18" s="3"/>
      <c r="O18" s="3"/>
      <c r="P18" s="3"/>
      <c r="Q18" s="3"/>
      <c r="R18" s="3"/>
      <c r="S18" s="3"/>
      <c r="T18" s="3"/>
      <c r="U18" s="3"/>
      <c r="V18" s="3"/>
      <c r="Z18" s="430"/>
      <c r="AC18" s="852"/>
      <c r="AD18" s="852"/>
      <c r="AE18" s="852"/>
      <c r="AF18" s="852"/>
      <c r="AG18" s="852"/>
      <c r="AH18" s="852"/>
    </row>
    <row r="19" spans="1:41" ht="31.5" customHeight="1" x14ac:dyDescent="0.25">
      <c r="A19" s="194" t="s">
        <v>120</v>
      </c>
      <c r="B19" s="307">
        <f>B13</f>
        <v>0</v>
      </c>
      <c r="C19" s="307" t="e">
        <f>C13</f>
        <v>#DIV/0!</v>
      </c>
      <c r="D19" s="307" t="e">
        <f t="shared" ref="D19:G19" si="0">D13</f>
        <v>#DIV/0!</v>
      </c>
      <c r="E19" s="307">
        <f t="shared" si="0"/>
        <v>0</v>
      </c>
      <c r="F19" s="307" t="e">
        <f t="shared" si="0"/>
        <v>#DIV/0!</v>
      </c>
      <c r="G19" s="198">
        <f t="shared" si="0"/>
        <v>0</v>
      </c>
      <c r="J19" s="22"/>
      <c r="K19" s="44"/>
      <c r="L19" s="44"/>
      <c r="M19" s="49"/>
      <c r="N19" s="1"/>
      <c r="R19" s="18"/>
      <c r="S19" s="44"/>
      <c r="T19" s="449"/>
      <c r="X19" s="1" t="s">
        <v>519</v>
      </c>
      <c r="AC19" s="852"/>
      <c r="AD19" s="852"/>
      <c r="AE19" s="852"/>
      <c r="AF19" s="852"/>
      <c r="AG19" s="852"/>
      <c r="AH19" s="852"/>
    </row>
    <row r="20" spans="1:41" ht="15.75" x14ac:dyDescent="0.25">
      <c r="A20" s="86"/>
      <c r="B20" s="201"/>
      <c r="C20" s="201"/>
      <c r="D20" s="814" t="s">
        <v>287</v>
      </c>
      <c r="E20" s="814"/>
      <c r="J20" s="22"/>
      <c r="K20" s="44"/>
      <c r="L20" s="1"/>
      <c r="M20" s="49"/>
      <c r="N20" s="1"/>
      <c r="O20" s="449"/>
      <c r="Q20" s="18"/>
      <c r="T20" s="2"/>
      <c r="W20" s="1" t="s">
        <v>136</v>
      </c>
      <c r="X20" s="1" t="s">
        <v>137</v>
      </c>
      <c r="Y20" s="1" t="s">
        <v>289</v>
      </c>
      <c r="Z20" s="22" t="s">
        <v>290</v>
      </c>
      <c r="AA20" s="1" t="s">
        <v>291</v>
      </c>
      <c r="AB20" s="15" t="s">
        <v>292</v>
      </c>
      <c r="AC20" s="15" t="s">
        <v>200</v>
      </c>
      <c r="AD20" s="1" t="s">
        <v>293</v>
      </c>
      <c r="AE20" s="1" t="s">
        <v>294</v>
      </c>
      <c r="AF20" s="1" t="s">
        <v>295</v>
      </c>
      <c r="AG20" s="1"/>
    </row>
    <row r="21" spans="1:41" ht="28.5" customHeight="1" x14ac:dyDescent="0.35">
      <c r="A21" s="843" t="s">
        <v>296</v>
      </c>
      <c r="B21" s="843"/>
      <c r="C21" s="18"/>
      <c r="D21" s="18">
        <v>2021</v>
      </c>
      <c r="E21" s="18">
        <v>2010</v>
      </c>
      <c r="F21" s="18">
        <v>2021</v>
      </c>
      <c r="G21" s="18">
        <v>2010</v>
      </c>
      <c r="K21" s="440"/>
      <c r="L21" s="441"/>
      <c r="P21" s="18"/>
      <c r="S21" s="450"/>
      <c r="T21" s="451"/>
      <c r="U21" s="196"/>
      <c r="V21" s="13" t="s">
        <v>139</v>
      </c>
      <c r="W21" s="296">
        <v>3.6052600810618225</v>
      </c>
      <c r="X21" s="296">
        <v>3.1350087668030393</v>
      </c>
      <c r="Y21" s="296">
        <v>2.3222285325908043</v>
      </c>
      <c r="Z21" s="95">
        <f>'Yield-data'!G5</f>
        <v>0</v>
      </c>
      <c r="AA21" s="95">
        <f>Z21*'Area&amp;production data'!J5</f>
        <v>0</v>
      </c>
      <c r="AB21" s="206">
        <f>'Yield-penalty-by-LD-class'!H7</f>
        <v>0</v>
      </c>
      <c r="AC21" s="206">
        <f>'Yield-penalty-by-LD-class'!I7</f>
        <v>0</v>
      </c>
      <c r="AD21" s="95">
        <f t="shared" ref="AD21:AE36" si="1">((W21-X21)/X21)-AB21</f>
        <v>0.14999999975704287</v>
      </c>
      <c r="AE21" s="9">
        <f t="shared" si="1"/>
        <v>0.35000010671019238</v>
      </c>
      <c r="AF21" s="95">
        <f>SUMPRODUCT(W21:Y21,C37:E37)-Z21</f>
        <v>0</v>
      </c>
      <c r="AG21" s="52"/>
    </row>
    <row r="22" spans="1:41" x14ac:dyDescent="0.25">
      <c r="A22" s="1" t="s">
        <v>520</v>
      </c>
      <c r="B22" s="1"/>
      <c r="C22" s="1"/>
      <c r="D22" s="214" t="e">
        <f>D19/K1</f>
        <v>#DIV/0!</v>
      </c>
      <c r="E22" s="312" t="e">
        <f>F19/K5</f>
        <v>#DIV/0!</v>
      </c>
      <c r="F22" s="214" t="e">
        <f>D19</f>
        <v>#DIV/0!</v>
      </c>
      <c r="G22" s="312" t="e">
        <f>F19</f>
        <v>#DIV/0!</v>
      </c>
      <c r="K22" s="246"/>
      <c r="L22" s="441"/>
      <c r="S22" s="450"/>
      <c r="T22" s="451"/>
      <c r="U22" s="196"/>
      <c r="V22" s="13" t="s">
        <v>140</v>
      </c>
      <c r="W22" s="296">
        <v>4.2640790602176244</v>
      </c>
      <c r="X22" s="296">
        <v>3.7078948286399793</v>
      </c>
      <c r="Y22" s="296">
        <v>2.7465887667241846</v>
      </c>
      <c r="Z22" s="95">
        <f>'Yield-data'!G6</f>
        <v>0</v>
      </c>
      <c r="AA22" s="95">
        <f>Z22*'Area&amp;production data'!J6</f>
        <v>0</v>
      </c>
      <c r="AB22" s="206">
        <f>'Yield-penalty-by-LD-class'!H8</f>
        <v>0</v>
      </c>
      <c r="AC22" s="206">
        <f>'Yield-penalty-by-LD-class'!I8</f>
        <v>0</v>
      </c>
      <c r="AD22" s="95">
        <f t="shared" si="1"/>
        <v>0.15000000196382274</v>
      </c>
      <c r="AE22" s="9">
        <f t="shared" si="1"/>
        <v>0.34999999765612166</v>
      </c>
      <c r="AF22" s="95">
        <f t="shared" ref="AF22:AF44" si="2">SUMPRODUCT(W22:Y22,C38:E38)-Z22</f>
        <v>0</v>
      </c>
      <c r="AG22" s="52"/>
    </row>
    <row r="23" spans="1:41" x14ac:dyDescent="0.25">
      <c r="A23" s="1" t="s">
        <v>521</v>
      </c>
      <c r="B23" s="1"/>
      <c r="C23" s="1"/>
      <c r="D23" s="214">
        <f>E19/K1</f>
        <v>0</v>
      </c>
      <c r="E23" s="312">
        <f>G19/K5</f>
        <v>0</v>
      </c>
      <c r="F23" s="214">
        <f>E19</f>
        <v>0</v>
      </c>
      <c r="G23" s="312">
        <f>G19</f>
        <v>0</v>
      </c>
      <c r="K23" s="246"/>
      <c r="L23" s="441"/>
      <c r="S23" s="450"/>
      <c r="T23" s="451"/>
      <c r="V23" s="13" t="s">
        <v>141</v>
      </c>
      <c r="W23" s="296">
        <v>3.0481081053380579</v>
      </c>
      <c r="X23" s="296">
        <v>2.6505287920743639</v>
      </c>
      <c r="Y23" s="296">
        <v>1.9633546549425256</v>
      </c>
      <c r="Z23" s="95">
        <f>'Yield-data'!G7</f>
        <v>0</v>
      </c>
      <c r="AA23" s="95">
        <f>Z23*'Area&amp;production data'!J7</f>
        <v>0</v>
      </c>
      <c r="AB23" s="206">
        <f>'Yield-penalty-by-LD-class'!H9</f>
        <v>0</v>
      </c>
      <c r="AC23" s="206">
        <f>'Yield-penalty-by-LD-class'!I9</f>
        <v>0</v>
      </c>
      <c r="AD23" s="95">
        <f t="shared" si="1"/>
        <v>0.14999999790703628</v>
      </c>
      <c r="AE23" s="9">
        <f t="shared" si="1"/>
        <v>0.35000000402472081</v>
      </c>
      <c r="AF23" s="95">
        <f t="shared" si="2"/>
        <v>0</v>
      </c>
      <c r="AG23" s="52"/>
    </row>
    <row r="24" spans="1:41" x14ac:dyDescent="0.25">
      <c r="A24" s="1"/>
      <c r="B24" s="1"/>
      <c r="C24" s="1"/>
      <c r="D24" s="80" t="s">
        <v>518</v>
      </c>
      <c r="E24" s="17" t="s">
        <v>300</v>
      </c>
      <c r="F24" s="126"/>
      <c r="K24" s="246"/>
      <c r="L24" s="441"/>
      <c r="S24" s="450"/>
      <c r="T24" s="451"/>
      <c r="V24" s="13" t="s">
        <v>142</v>
      </c>
      <c r="W24" s="296">
        <v>3.4873645739444972</v>
      </c>
      <c r="X24" s="296">
        <v>3.0324909747292415</v>
      </c>
      <c r="Y24" s="296">
        <v>2.2462895986992888</v>
      </c>
      <c r="Z24" s="95">
        <f>'Yield-data'!G8</f>
        <v>0</v>
      </c>
      <c r="AA24" s="95">
        <f>Z24*'Area&amp;production data'!J8</f>
        <v>0</v>
      </c>
      <c r="AB24" s="206">
        <f>'Yield-penalty-by-LD-class'!H10</f>
        <v>0</v>
      </c>
      <c r="AC24" s="206">
        <f>'Yield-penalty-by-LD-class'!I10</f>
        <v>0</v>
      </c>
      <c r="AD24" s="95">
        <f t="shared" si="1"/>
        <v>0.14999998450312602</v>
      </c>
      <c r="AE24" s="9">
        <f t="shared" si="1"/>
        <v>0.35000000733885855</v>
      </c>
      <c r="AF24" s="95">
        <f t="shared" si="2"/>
        <v>0</v>
      </c>
      <c r="AG24" s="52"/>
    </row>
    <row r="25" spans="1:41" x14ac:dyDescent="0.25">
      <c r="A25" s="1" t="s">
        <v>301</v>
      </c>
      <c r="B25" s="1"/>
      <c r="C25" s="1"/>
      <c r="D25" s="124" t="e">
        <f>(F22-G22)/($F$21-$G$21)/K1</f>
        <v>#DIV/0!</v>
      </c>
      <c r="E25" s="124">
        <f>(F23-G23)/(F21-G21)/K5</f>
        <v>0</v>
      </c>
      <c r="M25" s="44"/>
      <c r="N25" s="44"/>
      <c r="O25" s="44"/>
      <c r="P25" s="44"/>
      <c r="Q25" s="44"/>
      <c r="S25" s="450"/>
      <c r="T25" s="451"/>
      <c r="V25" s="13" t="s">
        <v>143</v>
      </c>
      <c r="W25" s="296">
        <v>2.3376909336143896</v>
      </c>
      <c r="X25" s="296">
        <v>2.0327743255612698</v>
      </c>
      <c r="Y25" s="296">
        <v>1.5057587294386836</v>
      </c>
      <c r="Z25" s="95">
        <f>'Yield-data'!G9</f>
        <v>0</v>
      </c>
      <c r="AA25" s="95">
        <f>Z25*'Area&amp;production data'!J9</f>
        <v>0</v>
      </c>
      <c r="AB25" s="206">
        <f>'Yield-penalty-by-LD-class'!H11</f>
        <v>0</v>
      </c>
      <c r="AC25" s="206">
        <f>'Yield-penalty-by-LD-class'!I11</f>
        <v>0</v>
      </c>
      <c r="AD25" s="95">
        <f t="shared" si="1"/>
        <v>0.15000022590748199</v>
      </c>
      <c r="AE25" s="9">
        <f t="shared" si="1"/>
        <v>0.35000002710862382</v>
      </c>
      <c r="AF25" s="95">
        <f t="shared" si="2"/>
        <v>0</v>
      </c>
      <c r="AG25" s="52"/>
    </row>
    <row r="26" spans="1:41" x14ac:dyDescent="0.25">
      <c r="A26" s="1" t="s">
        <v>302</v>
      </c>
      <c r="B26" s="1"/>
      <c r="C26" s="1"/>
      <c r="D26" s="124" t="e">
        <f>D25*$F$27</f>
        <v>#DIV/0!</v>
      </c>
      <c r="E26" s="124">
        <f>E25*$F$27</f>
        <v>0</v>
      </c>
      <c r="F26" s="1"/>
      <c r="M26" s="1"/>
      <c r="N26" s="1"/>
      <c r="O26" s="1"/>
      <c r="P26" s="1"/>
      <c r="Q26" s="1"/>
      <c r="S26" s="450"/>
      <c r="T26" s="451"/>
      <c r="V26" s="13" t="s">
        <v>144</v>
      </c>
      <c r="W26" s="296">
        <v>6.6498308097811778</v>
      </c>
      <c r="X26" s="296">
        <v>5.7824615442359253</v>
      </c>
      <c r="Y26" s="296">
        <v>4.2833048215487786</v>
      </c>
      <c r="Z26" s="95">
        <f>'Yield-data'!G10</f>
        <v>0</v>
      </c>
      <c r="AA26" s="95">
        <f>Z26*'Area&amp;production data'!J10</f>
        <v>0</v>
      </c>
      <c r="AB26" s="206">
        <f>'Yield-penalty-by-LD-class'!H12</f>
        <v>0</v>
      </c>
      <c r="AC26" s="206">
        <f>'Yield-penalty-by-LD-class'!I12</f>
        <v>0</v>
      </c>
      <c r="AD26" s="95">
        <f t="shared" si="1"/>
        <v>0.15000000586426099</v>
      </c>
      <c r="AE26" s="9">
        <f t="shared" si="1"/>
        <v>0.35000000820513033</v>
      </c>
      <c r="AF26" s="95">
        <f t="shared" si="2"/>
        <v>0</v>
      </c>
      <c r="AG26" s="52"/>
    </row>
    <row r="27" spans="1:41" x14ac:dyDescent="0.25">
      <c r="A27" s="1" t="s">
        <v>303</v>
      </c>
      <c r="B27" s="1"/>
      <c r="C27" s="176">
        <f>'Cereals-all-year'!C24</f>
        <v>6.0970000000000003E-2</v>
      </c>
      <c r="D27" s="1"/>
      <c r="E27" s="1" t="s">
        <v>304</v>
      </c>
      <c r="F27" s="78">
        <f>1/(1+C27)</f>
        <v>0.94253371914380235</v>
      </c>
      <c r="M27" s="33"/>
      <c r="N27" s="452"/>
      <c r="O27" s="452"/>
      <c r="P27" s="452"/>
      <c r="S27" s="450"/>
      <c r="T27" s="451"/>
      <c r="V27" s="13" t="s">
        <v>145</v>
      </c>
      <c r="W27" s="296">
        <v>1.9032474489027356</v>
      </c>
      <c r="X27" s="296">
        <v>1.5860392171775077</v>
      </c>
      <c r="Y27" s="296">
        <v>1.1328848811555858</v>
      </c>
      <c r="Z27" s="95">
        <f>'Yield-data'!G11</f>
        <v>0</v>
      </c>
      <c r="AA27" s="95">
        <f>Z27*'Area&amp;production data'!J11</f>
        <v>0</v>
      </c>
      <c r="AB27" s="206">
        <f>'Yield-penalty-by-LD-class'!H13</f>
        <v>0</v>
      </c>
      <c r="AC27" s="206">
        <f>'Yield-penalty-by-LD-class'!I13</f>
        <v>0</v>
      </c>
      <c r="AD27" s="95">
        <f t="shared" si="1"/>
        <v>0.20000024481722903</v>
      </c>
      <c r="AE27" s="9">
        <f t="shared" si="1"/>
        <v>0.40000033856898787</v>
      </c>
      <c r="AF27" s="95">
        <f t="shared" si="2"/>
        <v>0</v>
      </c>
      <c r="AG27" s="52"/>
    </row>
    <row r="28" spans="1:41" ht="28.5" customHeight="1" x14ac:dyDescent="0.25">
      <c r="A28" s="1"/>
      <c r="B28" s="1"/>
      <c r="C28" s="1"/>
      <c r="D28" s="1"/>
      <c r="E28" s="1"/>
      <c r="M28" s="33"/>
      <c r="N28" s="452"/>
      <c r="O28" s="452"/>
      <c r="P28" s="452"/>
      <c r="S28" s="450"/>
      <c r="T28" s="451"/>
      <c r="V28" s="13" t="s">
        <v>146</v>
      </c>
      <c r="W28" s="296">
        <v>3.7058333151083831</v>
      </c>
      <c r="X28" s="296">
        <v>3.0881944444444445</v>
      </c>
      <c r="Y28" s="296">
        <v>2.2058531776680548</v>
      </c>
      <c r="Z28" s="95">
        <f>'Yield-data'!G12</f>
        <v>0</v>
      </c>
      <c r="AA28" s="95">
        <f>Z28*'Area&amp;production data'!J12</f>
        <v>0</v>
      </c>
      <c r="AB28" s="206">
        <f>'Yield-penalty-by-LD-class'!H14</f>
        <v>0</v>
      </c>
      <c r="AC28" s="206">
        <f>'Yield-penalty-by-LD-class'!I14</f>
        <v>0</v>
      </c>
      <c r="AD28" s="95">
        <f t="shared" si="1"/>
        <v>0.19999999409850946</v>
      </c>
      <c r="AE28" s="9">
        <f t="shared" si="1"/>
        <v>0.39999999805479702</v>
      </c>
      <c r="AF28" s="95">
        <f t="shared" si="2"/>
        <v>0</v>
      </c>
      <c r="AG28" s="52"/>
    </row>
    <row r="29" spans="1:41" ht="28.5" customHeight="1" x14ac:dyDescent="0.25">
      <c r="A29" s="844" t="s">
        <v>305</v>
      </c>
      <c r="B29" s="844"/>
      <c r="C29" s="844"/>
      <c r="D29" s="844"/>
      <c r="E29" s="18"/>
      <c r="M29" s="33"/>
      <c r="N29" s="452"/>
      <c r="O29" s="452"/>
      <c r="P29" s="452"/>
      <c r="S29" s="450"/>
      <c r="T29" s="451"/>
      <c r="V29" s="13" t="s">
        <v>147</v>
      </c>
      <c r="W29" s="296">
        <v>4.5801364665303508</v>
      </c>
      <c r="X29" s="296">
        <v>3.8167804093519275</v>
      </c>
      <c r="Y29" s="296">
        <v>2.7262717367525444</v>
      </c>
      <c r="Z29" s="95">
        <f>'Yield-data'!G13</f>
        <v>0</v>
      </c>
      <c r="AA29" s="95">
        <f>Z29*'Area&amp;production data'!J13</f>
        <v>0</v>
      </c>
      <c r="AB29" s="206">
        <f>'Yield-penalty-by-LD-class'!H15</f>
        <v>0</v>
      </c>
      <c r="AC29" s="206">
        <f>'Yield-penalty-by-LD-class'!I15</f>
        <v>0</v>
      </c>
      <c r="AD29" s="95">
        <f t="shared" si="1"/>
        <v>0.19999999353068304</v>
      </c>
      <c r="AE29" s="9">
        <f t="shared" si="1"/>
        <v>0.39999999189309182</v>
      </c>
      <c r="AF29" s="95">
        <f t="shared" si="2"/>
        <v>0</v>
      </c>
      <c r="AG29" s="52"/>
    </row>
    <row r="30" spans="1:41" x14ac:dyDescent="0.25">
      <c r="A30" s="844" t="s">
        <v>306</v>
      </c>
      <c r="B30" s="844"/>
      <c r="C30" s="18"/>
      <c r="D30" s="18"/>
      <c r="E30" s="18"/>
      <c r="M30" s="33"/>
      <c r="N30" s="452"/>
      <c r="O30" s="452"/>
      <c r="P30" s="452"/>
      <c r="S30" s="450"/>
      <c r="T30" s="451"/>
      <c r="V30" s="13" t="s">
        <v>148</v>
      </c>
      <c r="W30" s="296">
        <v>0.92549157532193316</v>
      </c>
      <c r="X30" s="296">
        <v>0.77124297592020419</v>
      </c>
      <c r="Y30" s="296">
        <v>0.55088783557134635</v>
      </c>
      <c r="Z30" s="95">
        <f>'Yield-data'!G14</f>
        <v>0</v>
      </c>
      <c r="AA30" s="95">
        <f>Z30*'Area&amp;production data'!J14</f>
        <v>0</v>
      </c>
      <c r="AB30" s="206">
        <f>'Yield-penalty-by-LD-class'!H16</f>
        <v>0</v>
      </c>
      <c r="AC30" s="206">
        <f>'Yield-penalty-by-LD-class'!I16</f>
        <v>0</v>
      </c>
      <c r="AD30" s="95">
        <f t="shared" si="1"/>
        <v>0.20000000546868921</v>
      </c>
      <c r="AE30" s="9">
        <f t="shared" si="1"/>
        <v>0.40000001110991912</v>
      </c>
      <c r="AF30" s="95">
        <f t="shared" si="2"/>
        <v>0</v>
      </c>
      <c r="AG30" s="52"/>
    </row>
    <row r="31" spans="1:41" ht="27.6" customHeight="1" x14ac:dyDescent="0.25">
      <c r="A31" s="3" t="s">
        <v>522</v>
      </c>
      <c r="B31" s="3"/>
      <c r="C31" s="3"/>
      <c r="D31" s="3"/>
      <c r="E31" s="3"/>
      <c r="M31" s="34"/>
      <c r="N31" s="34"/>
      <c r="O31" s="34"/>
      <c r="P31" s="34"/>
      <c r="Q31" s="35"/>
      <c r="V31" s="13" t="s">
        <v>149</v>
      </c>
      <c r="W31" s="296">
        <v>1.4400322072292637</v>
      </c>
      <c r="X31" s="296">
        <v>1.2000269873697689</v>
      </c>
      <c r="Y31" s="296">
        <v>0.85716227837233827</v>
      </c>
      <c r="Z31" s="95">
        <f>'Yield-data'!G15</f>
        <v>0</v>
      </c>
      <c r="AA31" s="95">
        <f>Z31*'Area&amp;production data'!J15</f>
        <v>0</v>
      </c>
      <c r="AB31" s="206">
        <f>'Yield-penalty-by-LD-class'!H17</f>
        <v>0</v>
      </c>
      <c r="AC31" s="206">
        <f>'Yield-penalty-by-LD-class'!I17</f>
        <v>0</v>
      </c>
      <c r="AD31" s="95">
        <f t="shared" si="1"/>
        <v>0.19999985199127954</v>
      </c>
      <c r="AE31" s="9">
        <f t="shared" si="1"/>
        <v>0.39999976392859343</v>
      </c>
      <c r="AF31" s="95">
        <f t="shared" si="2"/>
        <v>0</v>
      </c>
      <c r="AG31" s="52"/>
      <c r="AL31" s="1"/>
      <c r="AM31" s="1"/>
      <c r="AN31" s="1"/>
      <c r="AO31" s="22"/>
    </row>
    <row r="32" spans="1:41" x14ac:dyDescent="0.25">
      <c r="A32" s="1" t="s">
        <v>523</v>
      </c>
      <c r="F32" s="1"/>
      <c r="V32" s="13" t="s">
        <v>150</v>
      </c>
      <c r="W32" s="296">
        <v>0.81513595271909323</v>
      </c>
      <c r="X32" s="296">
        <v>0.67927997239234772</v>
      </c>
      <c r="Y32" s="296">
        <v>0.48520000818625258</v>
      </c>
      <c r="Z32" s="95">
        <f>'Yield-data'!G16</f>
        <v>0</v>
      </c>
      <c r="AA32" s="95">
        <f>Z32*'Area&amp;production data'!J16</f>
        <v>0</v>
      </c>
      <c r="AB32" s="206">
        <f>'Yield-penalty-by-LD-class'!H18</f>
        <v>0</v>
      </c>
      <c r="AC32" s="206">
        <f>'Yield-penalty-by-LD-class'!I18</f>
        <v>0</v>
      </c>
      <c r="AD32" s="95">
        <f t="shared" si="1"/>
        <v>0.19999997916658135</v>
      </c>
      <c r="AE32" s="9">
        <f t="shared" si="1"/>
        <v>0.39999991947979135</v>
      </c>
      <c r="AF32" s="95">
        <f t="shared" si="2"/>
        <v>0</v>
      </c>
      <c r="AG32" s="52"/>
      <c r="AL32" s="49"/>
      <c r="AM32" s="49"/>
      <c r="AN32" s="49"/>
      <c r="AO32" s="49"/>
    </row>
    <row r="33" spans="1:41" x14ac:dyDescent="0.25">
      <c r="V33" s="13" t="s">
        <v>151</v>
      </c>
      <c r="W33" s="296">
        <v>3.3670537417921977</v>
      </c>
      <c r="X33" s="296">
        <v>2.8058775574712644</v>
      </c>
      <c r="Y33" s="296">
        <v>2.0041992277790004</v>
      </c>
      <c r="Z33" s="95">
        <f>'Yield-data'!G17</f>
        <v>0</v>
      </c>
      <c r="AA33" s="95">
        <f>Z33*'Area&amp;production data'!J17</f>
        <v>0</v>
      </c>
      <c r="AB33" s="206">
        <f>'Yield-penalty-by-LD-class'!H19</f>
        <v>0</v>
      </c>
      <c r="AC33" s="206">
        <f>'Yield-penalty-by-LD-class'!I19</f>
        <v>0</v>
      </c>
      <c r="AD33" s="95">
        <f t="shared" si="1"/>
        <v>0.20000023979188922</v>
      </c>
      <c r="AE33" s="9">
        <f t="shared" si="1"/>
        <v>0.39999932071656485</v>
      </c>
      <c r="AF33" s="95">
        <f t="shared" si="2"/>
        <v>0</v>
      </c>
      <c r="AG33" s="52"/>
      <c r="AL33" s="83"/>
      <c r="AM33" s="83"/>
      <c r="AN33" s="83"/>
    </row>
    <row r="34" spans="1:41" ht="19.350000000000001" customHeight="1" x14ac:dyDescent="0.25">
      <c r="A34" s="1" t="s">
        <v>524</v>
      </c>
      <c r="D34" s="1"/>
      <c r="F34" s="1"/>
      <c r="G34" s="60"/>
      <c r="H34" s="60"/>
      <c r="J34" s="246"/>
      <c r="K34" s="246"/>
      <c r="L34" s="442"/>
      <c r="V34" s="13" t="s">
        <v>152</v>
      </c>
      <c r="W34" s="296">
        <v>1.2802168876355862</v>
      </c>
      <c r="X34" s="296">
        <v>1.066847378585086</v>
      </c>
      <c r="Y34" s="296">
        <v>0.76203433183363223</v>
      </c>
      <c r="Z34" s="95">
        <f>'Yield-data'!G18</f>
        <v>0</v>
      </c>
      <c r="AA34" s="95">
        <f>Z34*'Area&amp;production data'!J18</f>
        <v>0</v>
      </c>
      <c r="AB34" s="206">
        <f>'Yield-penalty-by-LD-class'!H20</f>
        <v>0</v>
      </c>
      <c r="AC34" s="206">
        <f>'Yield-penalty-by-LD-class'!I20</f>
        <v>0</v>
      </c>
      <c r="AD34" s="95">
        <f t="shared" si="1"/>
        <v>0.2000000312448468</v>
      </c>
      <c r="AE34" s="9">
        <f t="shared" si="1"/>
        <v>0.39999909980171444</v>
      </c>
      <c r="AF34" s="95">
        <f t="shared" si="2"/>
        <v>0</v>
      </c>
    </row>
    <row r="35" spans="1:41" ht="44.45" customHeight="1" x14ac:dyDescent="0.25">
      <c r="A35" s="1" t="s">
        <v>101</v>
      </c>
      <c r="B35" s="814" t="s">
        <v>525</v>
      </c>
      <c r="C35" s="814" t="s">
        <v>526</v>
      </c>
      <c r="D35" s="814"/>
      <c r="E35" s="814"/>
      <c r="F35" s="814"/>
      <c r="G35" s="814" t="s">
        <v>527</v>
      </c>
      <c r="H35" s="814"/>
      <c r="I35" s="814"/>
      <c r="J35" s="814"/>
      <c r="K35" s="814" t="s">
        <v>528</v>
      </c>
      <c r="L35" s="814"/>
      <c r="M35" s="814"/>
      <c r="N35" s="814"/>
      <c r="O35" s="814" t="s">
        <v>529</v>
      </c>
      <c r="P35" s="814"/>
      <c r="Q35" s="814"/>
      <c r="R35" s="814"/>
      <c r="S35" s="17" t="s">
        <v>120</v>
      </c>
      <c r="T35" s="44"/>
      <c r="V35" s="13" t="s">
        <v>153</v>
      </c>
      <c r="W35" s="296">
        <v>7.1267799068383368</v>
      </c>
      <c r="X35" s="296">
        <v>5.9389867169844628</v>
      </c>
      <c r="Y35" s="296">
        <v>4.2421331291952571</v>
      </c>
      <c r="Z35" s="95">
        <f>'Yield-data'!G19</f>
        <v>0</v>
      </c>
      <c r="AA35" s="95">
        <f>Z35*'Area&amp;production data'!J19</f>
        <v>0</v>
      </c>
      <c r="AB35" s="206">
        <f>'Yield-penalty-by-LD-class'!H21</f>
        <v>0</v>
      </c>
      <c r="AC35" s="206">
        <f>'Yield-penalty-by-LD-class'!I21</f>
        <v>0</v>
      </c>
      <c r="AD35" s="95">
        <f t="shared" si="1"/>
        <v>0.19999930063103077</v>
      </c>
      <c r="AE35" s="9">
        <f t="shared" si="1"/>
        <v>0.40000007923162539</v>
      </c>
      <c r="AF35" s="95">
        <f t="shared" si="2"/>
        <v>0</v>
      </c>
      <c r="AM35" s="52"/>
      <c r="AN35" s="1"/>
      <c r="AO35" s="1"/>
    </row>
    <row r="36" spans="1:41" x14ac:dyDescent="0.25">
      <c r="A36" s="1"/>
      <c r="B36" s="814"/>
      <c r="C36" s="1" t="s">
        <v>136</v>
      </c>
      <c r="D36" s="1" t="s">
        <v>137</v>
      </c>
      <c r="E36" s="1" t="s">
        <v>138</v>
      </c>
      <c r="F36" s="1" t="s">
        <v>120</v>
      </c>
      <c r="G36" s="1" t="s">
        <v>136</v>
      </c>
      <c r="H36" s="1" t="s">
        <v>137</v>
      </c>
      <c r="I36" s="1" t="s">
        <v>289</v>
      </c>
      <c r="J36" s="1" t="s">
        <v>120</v>
      </c>
      <c r="K36" s="1" t="s">
        <v>136</v>
      </c>
      <c r="L36" s="1" t="s">
        <v>137</v>
      </c>
      <c r="M36" s="1" t="s">
        <v>289</v>
      </c>
      <c r="N36" s="1" t="s">
        <v>120</v>
      </c>
      <c r="O36" s="1" t="s">
        <v>136</v>
      </c>
      <c r="P36" s="1" t="s">
        <v>137</v>
      </c>
      <c r="Q36" s="1" t="s">
        <v>289</v>
      </c>
      <c r="R36" s="1" t="s">
        <v>120</v>
      </c>
      <c r="V36" s="13" t="s">
        <v>154</v>
      </c>
      <c r="W36" s="296">
        <v>0.52441427686963238</v>
      </c>
      <c r="X36" s="296">
        <v>0.40339556678118199</v>
      </c>
      <c r="Y36" s="296">
        <v>0.2689303588084544</v>
      </c>
      <c r="Z36" s="95">
        <f>'Yield-data'!G20</f>
        <v>0</v>
      </c>
      <c r="AA36" s="95">
        <f>Z36*'Area&amp;production data'!J20</f>
        <v>0</v>
      </c>
      <c r="AB36" s="206">
        <f>'Yield-penalty-by-LD-class'!H22</f>
        <v>0</v>
      </c>
      <c r="AC36" s="206">
        <f>'Yield-penalty-by-LD-class'!I22</f>
        <v>0</v>
      </c>
      <c r="AD36" s="95">
        <f t="shared" si="1"/>
        <v>0.30000009929235494</v>
      </c>
      <c r="AE36" s="9">
        <f t="shared" si="1"/>
        <v>0.50000010623010549</v>
      </c>
      <c r="AF36" s="95">
        <f t="shared" si="2"/>
        <v>0</v>
      </c>
    </row>
    <row r="37" spans="1:41" x14ac:dyDescent="0.25">
      <c r="A37" s="13" t="s">
        <v>139</v>
      </c>
      <c r="B37" s="67">
        <f>'Area&amp;production data'!J5</f>
        <v>0</v>
      </c>
      <c r="C37" s="169">
        <f>'Area&amp;production data'!BM5</f>
        <v>0</v>
      </c>
      <c r="D37" s="169">
        <f>'Area&amp;production data'!BN5</f>
        <v>0</v>
      </c>
      <c r="E37" s="169">
        <f>'Area&amp;production data'!BO5</f>
        <v>0</v>
      </c>
      <c r="F37" s="25">
        <f>SUM(C37:E37)</f>
        <v>0</v>
      </c>
      <c r="G37" s="180">
        <f t="shared" ref="G37:I37" si="3">$W21-W21</f>
        <v>0</v>
      </c>
      <c r="H37" s="180">
        <f t="shared" si="3"/>
        <v>0.47025131425878319</v>
      </c>
      <c r="I37" s="180">
        <f t="shared" si="3"/>
        <v>1.2830315484710182</v>
      </c>
      <c r="J37" s="81">
        <f>SUMPRODUCT(C37:E37,G37:I37)</f>
        <v>0</v>
      </c>
      <c r="K37" s="38">
        <f t="shared" ref="K37:N37" si="4">G37*C37*$B37</f>
        <v>0</v>
      </c>
      <c r="L37" s="38">
        <f t="shared" si="4"/>
        <v>0</v>
      </c>
      <c r="M37" s="38">
        <f t="shared" si="4"/>
        <v>0</v>
      </c>
      <c r="N37" s="38">
        <f t="shared" si="4"/>
        <v>0</v>
      </c>
      <c r="O37" s="38" t="e">
        <f t="shared" ref="O37:Q37" si="5">$D$22*K37</f>
        <v>#DIV/0!</v>
      </c>
      <c r="P37" s="38" t="e">
        <f t="shared" si="5"/>
        <v>#DIV/0!</v>
      </c>
      <c r="Q37" s="38" t="e">
        <f t="shared" si="5"/>
        <v>#DIV/0!</v>
      </c>
      <c r="R37" s="24" t="e">
        <f>SUM(O37:Q37)</f>
        <v>#DIV/0!</v>
      </c>
      <c r="V37" s="13" t="s">
        <v>155</v>
      </c>
      <c r="W37" s="296">
        <v>0.3394384153638218</v>
      </c>
      <c r="X37" s="296">
        <v>0.26110645639276597</v>
      </c>
      <c r="Y37" s="296">
        <v>0.1740709551379189</v>
      </c>
      <c r="Z37" s="95">
        <f>'Yield-data'!G21</f>
        <v>0</v>
      </c>
      <c r="AA37" s="95">
        <f>Z37*'Area&amp;production data'!J21</f>
        <v>0</v>
      </c>
      <c r="AB37" s="206">
        <f>'Yield-penalty-by-LD-class'!H23</f>
        <v>0</v>
      </c>
      <c r="AC37" s="206">
        <f>'Yield-penalty-by-LD-class'!I23</f>
        <v>0</v>
      </c>
      <c r="AD37" s="95">
        <f t="shared" ref="AD37:AE44" si="6">((W37-X37)/X37)-AB37</f>
        <v>0.30000008446066917</v>
      </c>
      <c r="AE37" s="9">
        <f t="shared" si="6"/>
        <v>0.50000013607030314</v>
      </c>
      <c r="AF37" s="95">
        <f t="shared" si="2"/>
        <v>0</v>
      </c>
    </row>
    <row r="38" spans="1:41" x14ac:dyDescent="0.25">
      <c r="A38" s="13" t="s">
        <v>140</v>
      </c>
      <c r="B38" s="67">
        <f>'Area&amp;production data'!J6</f>
        <v>0</v>
      </c>
      <c r="C38" s="169">
        <f>'Area&amp;production data'!BM6</f>
        <v>0</v>
      </c>
      <c r="D38" s="169">
        <f>'Area&amp;production data'!BN6</f>
        <v>0</v>
      </c>
      <c r="E38" s="169">
        <f>'Area&amp;production data'!BO6</f>
        <v>0</v>
      </c>
      <c r="F38" s="25">
        <f t="shared" ref="F38:F60" si="7">SUM(C38:E38)</f>
        <v>0</v>
      </c>
      <c r="G38" s="180">
        <f t="shared" ref="G38:G60" si="8">$W22-W22</f>
        <v>0</v>
      </c>
      <c r="H38" s="180">
        <f t="shared" ref="H38:H60" si="9">$W22-X22</f>
        <v>0.55618423157764507</v>
      </c>
      <c r="I38" s="180">
        <f t="shared" ref="I38:I60" si="10">$W22-Y22</f>
        <v>1.5174902934934398</v>
      </c>
      <c r="J38" s="81">
        <f t="shared" ref="J38:J60" si="11">SUMPRODUCT(C38:E38,G38:I38)</f>
        <v>0</v>
      </c>
      <c r="K38" s="38">
        <f t="shared" ref="K38:K60" si="12">G38*C38*$B38</f>
        <v>0</v>
      </c>
      <c r="L38" s="38">
        <f t="shared" ref="L38:L60" si="13">H38*D38*$B38</f>
        <v>0</v>
      </c>
      <c r="M38" s="38">
        <f t="shared" ref="M38:M60" si="14">I38*E38*$B38</f>
        <v>0</v>
      </c>
      <c r="N38" s="38">
        <f t="shared" ref="N38:N60" si="15">J38*F38*$B38</f>
        <v>0</v>
      </c>
      <c r="O38" s="38" t="e">
        <f t="shared" ref="O38:O60" si="16">$D$22*K38</f>
        <v>#DIV/0!</v>
      </c>
      <c r="P38" s="38" t="e">
        <f t="shared" ref="P38:P60" si="17">$D$22*L38</f>
        <v>#DIV/0!</v>
      </c>
      <c r="Q38" s="38" t="e">
        <f t="shared" ref="Q38:Q60" si="18">$D$22*M38</f>
        <v>#DIV/0!</v>
      </c>
      <c r="R38" s="24" t="e">
        <f t="shared" ref="R38:R60" si="19">SUM(O38:Q38)</f>
        <v>#DIV/0!</v>
      </c>
      <c r="V38" s="13" t="s">
        <v>156</v>
      </c>
      <c r="W38" s="296">
        <v>3.7417894138093093</v>
      </c>
      <c r="X38" s="296">
        <v>2.8783008458992279</v>
      </c>
      <c r="Y38" s="296">
        <v>1.9188675728501141</v>
      </c>
      <c r="Z38" s="95">
        <f>'Yield-data'!G22</f>
        <v>0</v>
      </c>
      <c r="AA38" s="95">
        <f>Z38*'Area&amp;production data'!J22</f>
        <v>0</v>
      </c>
      <c r="AB38" s="206">
        <f>'Yield-penalty-by-LD-class'!H24</f>
        <v>0</v>
      </c>
      <c r="AC38" s="206">
        <f>'Yield-penalty-by-LD-class'!I24</f>
        <v>0</v>
      </c>
      <c r="AD38" s="95">
        <f t="shared" si="6"/>
        <v>0.29999941428649152</v>
      </c>
      <c r="AE38" s="9">
        <f t="shared" si="6"/>
        <v>0.49999973245889889</v>
      </c>
      <c r="AF38" s="95">
        <f t="shared" si="2"/>
        <v>0</v>
      </c>
    </row>
    <row r="39" spans="1:41" x14ac:dyDescent="0.25">
      <c r="A39" s="13" t="s">
        <v>141</v>
      </c>
      <c r="B39" s="67">
        <f>'Area&amp;production data'!J7</f>
        <v>0</v>
      </c>
      <c r="C39" s="169">
        <f>'Area&amp;production data'!BM7</f>
        <v>0</v>
      </c>
      <c r="D39" s="169">
        <f>'Area&amp;production data'!BN7</f>
        <v>0</v>
      </c>
      <c r="E39" s="169">
        <f>'Area&amp;production data'!BO7</f>
        <v>0</v>
      </c>
      <c r="F39" s="25">
        <f t="shared" si="7"/>
        <v>0</v>
      </c>
      <c r="G39" s="180">
        <f t="shared" si="8"/>
        <v>0</v>
      </c>
      <c r="H39" s="180">
        <f t="shared" si="9"/>
        <v>0.397579313263694</v>
      </c>
      <c r="I39" s="180">
        <f t="shared" si="10"/>
        <v>1.0847534503955323</v>
      </c>
      <c r="J39" s="81">
        <f t="shared" si="11"/>
        <v>0</v>
      </c>
      <c r="K39" s="38">
        <f t="shared" si="12"/>
        <v>0</v>
      </c>
      <c r="L39" s="38">
        <f t="shared" si="13"/>
        <v>0</v>
      </c>
      <c r="M39" s="38">
        <f t="shared" si="14"/>
        <v>0</v>
      </c>
      <c r="N39" s="38">
        <f t="shared" si="15"/>
        <v>0</v>
      </c>
      <c r="O39" s="38" t="e">
        <f t="shared" si="16"/>
        <v>#DIV/0!</v>
      </c>
      <c r="P39" s="38" t="e">
        <f t="shared" si="17"/>
        <v>#DIV/0!</v>
      </c>
      <c r="Q39" s="38" t="e">
        <f t="shared" si="18"/>
        <v>#DIV/0!</v>
      </c>
      <c r="R39" s="24" t="e">
        <f t="shared" si="19"/>
        <v>#DIV/0!</v>
      </c>
      <c r="V39" s="13" t="s">
        <v>157</v>
      </c>
      <c r="W39" s="296">
        <v>2.9918439712121199</v>
      </c>
      <c r="X39" s="296">
        <v>2.3014184393939394</v>
      </c>
      <c r="Y39" s="296">
        <v>1.5342782833182156</v>
      </c>
      <c r="Z39" s="95">
        <f>'Yield-data'!G23</f>
        <v>0</v>
      </c>
      <c r="AA39" s="95">
        <f>Z39*'Area&amp;production data'!J23</f>
        <v>0</v>
      </c>
      <c r="AB39" s="206">
        <v>0.3</v>
      </c>
      <c r="AC39" s="206">
        <v>0.5</v>
      </c>
      <c r="AD39" s="95">
        <f t="shared" si="6"/>
        <v>-6.106226635438361E-16</v>
      </c>
      <c r="AE39" s="9">
        <f t="shared" si="6"/>
        <v>6.611685944291068E-7</v>
      </c>
      <c r="AF39" s="95">
        <f t="shared" si="2"/>
        <v>0</v>
      </c>
    </row>
    <row r="40" spans="1:41" x14ac:dyDescent="0.25">
      <c r="A40" s="13" t="s">
        <v>142</v>
      </c>
      <c r="B40" s="67">
        <f>'Area&amp;production data'!J8</f>
        <v>0</v>
      </c>
      <c r="C40" s="169">
        <f>'Area&amp;production data'!BM8</f>
        <v>0</v>
      </c>
      <c r="D40" s="169">
        <f>'Area&amp;production data'!BN8</f>
        <v>0</v>
      </c>
      <c r="E40" s="169">
        <f>'Area&amp;production data'!BO8</f>
        <v>0</v>
      </c>
      <c r="F40" s="25">
        <f t="shared" si="7"/>
        <v>0</v>
      </c>
      <c r="G40" s="180">
        <f t="shared" si="8"/>
        <v>0</v>
      </c>
      <c r="H40" s="180">
        <f t="shared" si="9"/>
        <v>0.45487359921525572</v>
      </c>
      <c r="I40" s="180">
        <f t="shared" si="10"/>
        <v>1.2410749752452084</v>
      </c>
      <c r="J40" s="81">
        <f t="shared" si="11"/>
        <v>0</v>
      </c>
      <c r="K40" s="38">
        <f t="shared" si="12"/>
        <v>0</v>
      </c>
      <c r="L40" s="38">
        <f t="shared" si="13"/>
        <v>0</v>
      </c>
      <c r="M40" s="38">
        <f t="shared" si="14"/>
        <v>0</v>
      </c>
      <c r="N40" s="38">
        <f t="shared" si="15"/>
        <v>0</v>
      </c>
      <c r="O40" s="38" t="e">
        <f t="shared" si="16"/>
        <v>#DIV/0!</v>
      </c>
      <c r="P40" s="38" t="e">
        <f t="shared" si="17"/>
        <v>#DIV/0!</v>
      </c>
      <c r="Q40" s="38" t="e">
        <f t="shared" si="18"/>
        <v>#DIV/0!</v>
      </c>
      <c r="R40" s="24" t="e">
        <f t="shared" si="19"/>
        <v>#DIV/0!</v>
      </c>
      <c r="V40" s="13" t="s">
        <v>158</v>
      </c>
      <c r="W40" s="296">
        <v>6.0051973278562834</v>
      </c>
      <c r="X40" s="296">
        <v>4.6193826058322784</v>
      </c>
      <c r="Y40" s="296">
        <v>3.0795883629572804</v>
      </c>
      <c r="Z40" s="95">
        <f>'Yield-data'!G24</f>
        <v>0</v>
      </c>
      <c r="AA40" s="95">
        <f>Z40*'Area&amp;production data'!J24</f>
        <v>0</v>
      </c>
      <c r="AB40" s="206">
        <v>0.3</v>
      </c>
      <c r="AC40" s="206">
        <v>0.5</v>
      </c>
      <c r="AD40" s="95">
        <f t="shared" si="6"/>
        <v>-1.2929363857328013E-8</v>
      </c>
      <c r="AE40" s="9">
        <f t="shared" si="6"/>
        <v>1.9936546857834969E-8</v>
      </c>
      <c r="AF40" s="95">
        <f t="shared" si="2"/>
        <v>0</v>
      </c>
    </row>
    <row r="41" spans="1:41" x14ac:dyDescent="0.25">
      <c r="A41" s="13" t="s">
        <v>143</v>
      </c>
      <c r="B41" s="67">
        <f>'Area&amp;production data'!J9</f>
        <v>0</v>
      </c>
      <c r="C41" s="169">
        <f>'Area&amp;production data'!BM9</f>
        <v>0</v>
      </c>
      <c r="D41" s="169">
        <f>'Area&amp;production data'!BN9</f>
        <v>0</v>
      </c>
      <c r="E41" s="169">
        <f>'Area&amp;production data'!BO9</f>
        <v>0</v>
      </c>
      <c r="F41" s="25">
        <f t="shared" si="7"/>
        <v>0</v>
      </c>
      <c r="G41" s="180">
        <f t="shared" si="8"/>
        <v>0</v>
      </c>
      <c r="H41" s="180">
        <f t="shared" si="9"/>
        <v>0.30491660805311982</v>
      </c>
      <c r="I41" s="180">
        <f t="shared" si="10"/>
        <v>0.83193220417570601</v>
      </c>
      <c r="J41" s="81">
        <f t="shared" si="11"/>
        <v>0</v>
      </c>
      <c r="K41" s="38">
        <f t="shared" si="12"/>
        <v>0</v>
      </c>
      <c r="L41" s="38">
        <f t="shared" si="13"/>
        <v>0</v>
      </c>
      <c r="M41" s="38">
        <f t="shared" si="14"/>
        <v>0</v>
      </c>
      <c r="N41" s="38">
        <f t="shared" si="15"/>
        <v>0</v>
      </c>
      <c r="O41" s="38" t="e">
        <f t="shared" si="16"/>
        <v>#DIV/0!</v>
      </c>
      <c r="P41" s="38" t="e">
        <f t="shared" si="17"/>
        <v>#DIV/0!</v>
      </c>
      <c r="Q41" s="38" t="e">
        <f t="shared" si="18"/>
        <v>#DIV/0!</v>
      </c>
      <c r="R41" s="24" t="e">
        <f t="shared" si="19"/>
        <v>#DIV/0!</v>
      </c>
      <c r="V41" s="13" t="s">
        <v>159</v>
      </c>
      <c r="W41" s="296">
        <v>0.21943262085750906</v>
      </c>
      <c r="X41" s="296">
        <v>0.16879432624113475</v>
      </c>
      <c r="Y41" s="296">
        <v>0.11252954836157499</v>
      </c>
      <c r="Z41" s="95">
        <f>'Yield-data'!G25</f>
        <v>0</v>
      </c>
      <c r="AA41" s="95">
        <f>Z41*'Area&amp;production data'!J25</f>
        <v>0</v>
      </c>
      <c r="AB41" s="206">
        <v>0.3</v>
      </c>
      <c r="AC41" s="206">
        <v>0.5</v>
      </c>
      <c r="AD41" s="95">
        <f t="shared" si="6"/>
        <v>-1.9289547126266626E-8</v>
      </c>
      <c r="AE41" s="9">
        <f t="shared" si="6"/>
        <v>3.286934247004325E-8</v>
      </c>
      <c r="AF41" s="95">
        <f t="shared" si="2"/>
        <v>0</v>
      </c>
    </row>
    <row r="42" spans="1:41" x14ac:dyDescent="0.25">
      <c r="A42" s="13" t="s">
        <v>144</v>
      </c>
      <c r="B42" s="67">
        <f>'Area&amp;production data'!J10</f>
        <v>0</v>
      </c>
      <c r="C42" s="169">
        <f>'Area&amp;production data'!BM10</f>
        <v>0</v>
      </c>
      <c r="D42" s="169">
        <f>'Area&amp;production data'!BN10</f>
        <v>0</v>
      </c>
      <c r="E42" s="169">
        <f>'Area&amp;production data'!BO10</f>
        <v>0</v>
      </c>
      <c r="F42" s="25">
        <f t="shared" si="7"/>
        <v>0</v>
      </c>
      <c r="G42" s="180">
        <f t="shared" si="8"/>
        <v>0</v>
      </c>
      <c r="H42" s="180">
        <f t="shared" si="9"/>
        <v>0.86736926554525251</v>
      </c>
      <c r="I42" s="180">
        <f t="shared" si="10"/>
        <v>2.3665259882323992</v>
      </c>
      <c r="J42" s="81">
        <f t="shared" si="11"/>
        <v>0</v>
      </c>
      <c r="K42" s="38">
        <f t="shared" si="12"/>
        <v>0</v>
      </c>
      <c r="L42" s="38">
        <f t="shared" si="13"/>
        <v>0</v>
      </c>
      <c r="M42" s="38">
        <f t="shared" si="14"/>
        <v>0</v>
      </c>
      <c r="N42" s="38">
        <f t="shared" si="15"/>
        <v>0</v>
      </c>
      <c r="O42" s="38" t="e">
        <f t="shared" si="16"/>
        <v>#DIV/0!</v>
      </c>
      <c r="P42" s="38" t="e">
        <f t="shared" si="17"/>
        <v>#DIV/0!</v>
      </c>
      <c r="Q42" s="38" t="e">
        <f t="shared" si="18"/>
        <v>#DIV/0!</v>
      </c>
      <c r="R42" s="24" t="e">
        <f t="shared" si="19"/>
        <v>#DIV/0!</v>
      </c>
      <c r="V42" s="13" t="s">
        <v>160</v>
      </c>
      <c r="W42" s="296">
        <v>5.6837208780291366</v>
      </c>
      <c r="X42" s="296">
        <v>4.3720930232558137</v>
      </c>
      <c r="Y42" s="296">
        <v>2.9147285610000875</v>
      </c>
      <c r="Z42" s="95">
        <f>'Yield-data'!G26</f>
        <v>0</v>
      </c>
      <c r="AA42" s="95">
        <f>Z42*'Area&amp;production data'!J26</f>
        <v>0</v>
      </c>
      <c r="AB42" s="206">
        <v>0.3</v>
      </c>
      <c r="AC42" s="206">
        <v>0.5</v>
      </c>
      <c r="AD42" s="95">
        <f t="shared" si="6"/>
        <v>-1.1940144206690206E-8</v>
      </c>
      <c r="AE42" s="9">
        <f t="shared" si="6"/>
        <v>6.2357670249646446E-8</v>
      </c>
      <c r="AF42" s="95">
        <f t="shared" si="2"/>
        <v>0</v>
      </c>
    </row>
    <row r="43" spans="1:41" x14ac:dyDescent="0.25">
      <c r="A43" s="13" t="s">
        <v>145</v>
      </c>
      <c r="B43" s="67">
        <f>'Area&amp;production data'!J11</f>
        <v>0</v>
      </c>
      <c r="C43" s="169">
        <f>'Area&amp;production data'!BM11</f>
        <v>0</v>
      </c>
      <c r="D43" s="169">
        <f>'Area&amp;production data'!BN11</f>
        <v>0</v>
      </c>
      <c r="E43" s="169">
        <f>'Area&amp;production data'!BO11</f>
        <v>0</v>
      </c>
      <c r="F43" s="25">
        <f t="shared" si="7"/>
        <v>0</v>
      </c>
      <c r="G43" s="180">
        <f t="shared" si="8"/>
        <v>0</v>
      </c>
      <c r="H43" s="180">
        <f t="shared" si="9"/>
        <v>0.31720823172522783</v>
      </c>
      <c r="I43" s="180">
        <f t="shared" si="10"/>
        <v>0.77036256774714973</v>
      </c>
      <c r="J43" s="81">
        <f t="shared" si="11"/>
        <v>0</v>
      </c>
      <c r="K43" s="38">
        <f t="shared" si="12"/>
        <v>0</v>
      </c>
      <c r="L43" s="38">
        <f t="shared" si="13"/>
        <v>0</v>
      </c>
      <c r="M43" s="38">
        <f t="shared" si="14"/>
        <v>0</v>
      </c>
      <c r="N43" s="38">
        <f t="shared" si="15"/>
        <v>0</v>
      </c>
      <c r="O43" s="38" t="e">
        <f t="shared" si="16"/>
        <v>#DIV/0!</v>
      </c>
      <c r="P43" s="38" t="e">
        <f t="shared" si="17"/>
        <v>#DIV/0!</v>
      </c>
      <c r="Q43" s="38" t="e">
        <f t="shared" si="18"/>
        <v>#DIV/0!</v>
      </c>
      <c r="R43" s="24" t="e">
        <f t="shared" si="19"/>
        <v>#DIV/0!</v>
      </c>
      <c r="V43" s="13" t="s">
        <v>161</v>
      </c>
      <c r="W43" s="296">
        <v>9.3599998071857105</v>
      </c>
      <c r="X43" s="296">
        <v>7.2</v>
      </c>
      <c r="Y43" s="296">
        <v>4.7999998426943149</v>
      </c>
      <c r="Z43" s="95">
        <f>'Yield-data'!G27</f>
        <v>0</v>
      </c>
      <c r="AA43" s="95">
        <f>Z43*'Area&amp;production data'!J27</f>
        <v>0</v>
      </c>
      <c r="AB43" s="206">
        <v>0.3</v>
      </c>
      <c r="AC43" s="206">
        <v>0.5</v>
      </c>
      <c r="AD43" s="95">
        <f t="shared" si="6"/>
        <v>-2.6779762463124968E-8</v>
      </c>
      <c r="AE43" s="9">
        <f t="shared" si="6"/>
        <v>4.9158028203599713E-8</v>
      </c>
      <c r="AF43" s="95">
        <f t="shared" si="2"/>
        <v>0</v>
      </c>
    </row>
    <row r="44" spans="1:41" x14ac:dyDescent="0.25">
      <c r="A44" s="13" t="s">
        <v>146</v>
      </c>
      <c r="B44" s="67">
        <f>'Area&amp;production data'!J12</f>
        <v>0</v>
      </c>
      <c r="C44" s="169">
        <f>'Area&amp;production data'!BM12</f>
        <v>0</v>
      </c>
      <c r="D44" s="169">
        <f>'Area&amp;production data'!BN12</f>
        <v>0</v>
      </c>
      <c r="E44" s="169">
        <f>'Area&amp;production data'!BO12</f>
        <v>0</v>
      </c>
      <c r="F44" s="25">
        <f t="shared" si="7"/>
        <v>0</v>
      </c>
      <c r="G44" s="180">
        <f t="shared" si="8"/>
        <v>0</v>
      </c>
      <c r="H44" s="180">
        <f t="shared" si="9"/>
        <v>0.61763887066393863</v>
      </c>
      <c r="I44" s="180">
        <f t="shared" si="10"/>
        <v>1.4999801374403283</v>
      </c>
      <c r="J44" s="81">
        <f t="shared" si="11"/>
        <v>0</v>
      </c>
      <c r="K44" s="38">
        <f t="shared" si="12"/>
        <v>0</v>
      </c>
      <c r="L44" s="38">
        <f t="shared" si="13"/>
        <v>0</v>
      </c>
      <c r="M44" s="38">
        <f t="shared" si="14"/>
        <v>0</v>
      </c>
      <c r="N44" s="38">
        <f t="shared" si="15"/>
        <v>0</v>
      </c>
      <c r="O44" s="38" t="e">
        <f t="shared" si="16"/>
        <v>#DIV/0!</v>
      </c>
      <c r="P44" s="38" t="e">
        <f t="shared" si="17"/>
        <v>#DIV/0!</v>
      </c>
      <c r="Q44" s="38" t="e">
        <f t="shared" si="18"/>
        <v>#DIV/0!</v>
      </c>
      <c r="R44" s="24" t="e">
        <f t="shared" si="19"/>
        <v>#DIV/0!</v>
      </c>
      <c r="V44" s="13" t="s">
        <v>162</v>
      </c>
      <c r="W44" s="296">
        <v>0.51483078031226936</v>
      </c>
      <c r="X44" s="296">
        <v>0.3960236359649123</v>
      </c>
      <c r="Y44" s="296">
        <v>0.26401570723250434</v>
      </c>
      <c r="Z44" s="95">
        <f>'Yield-data'!G28</f>
        <v>0</v>
      </c>
      <c r="AA44" s="95">
        <f>Z44*'Area&amp;production data'!J28</f>
        <v>0</v>
      </c>
      <c r="AB44" s="206">
        <v>0.3</v>
      </c>
      <c r="AC44" s="206">
        <v>0.5</v>
      </c>
      <c r="AD44" s="95">
        <f t="shared" si="6"/>
        <v>1.3523910824542185E-7</v>
      </c>
      <c r="AE44" s="9">
        <f t="shared" si="6"/>
        <v>2.8451396538731188E-7</v>
      </c>
      <c r="AF44" s="95">
        <f t="shared" si="2"/>
        <v>0</v>
      </c>
    </row>
    <row r="45" spans="1:41" x14ac:dyDescent="0.25">
      <c r="A45" s="13" t="s">
        <v>147</v>
      </c>
      <c r="B45" s="67">
        <f>'Area&amp;production data'!J13</f>
        <v>0</v>
      </c>
      <c r="C45" s="169">
        <f>'Area&amp;production data'!BM13</f>
        <v>0</v>
      </c>
      <c r="D45" s="169">
        <f>'Area&amp;production data'!BN13</f>
        <v>0</v>
      </c>
      <c r="E45" s="169">
        <f>'Area&amp;production data'!BO13</f>
        <v>0</v>
      </c>
      <c r="F45" s="25">
        <f t="shared" si="7"/>
        <v>0</v>
      </c>
      <c r="G45" s="180">
        <f t="shared" si="8"/>
        <v>0</v>
      </c>
      <c r="H45" s="180">
        <f t="shared" si="9"/>
        <v>0.76335605717842325</v>
      </c>
      <c r="I45" s="180">
        <f t="shared" si="10"/>
        <v>1.8538647297778064</v>
      </c>
      <c r="J45" s="81">
        <f t="shared" si="11"/>
        <v>0</v>
      </c>
      <c r="K45" s="38">
        <f t="shared" si="12"/>
        <v>0</v>
      </c>
      <c r="L45" s="38">
        <f t="shared" si="13"/>
        <v>0</v>
      </c>
      <c r="M45" s="38">
        <f t="shared" si="14"/>
        <v>0</v>
      </c>
      <c r="N45" s="38">
        <f t="shared" si="15"/>
        <v>0</v>
      </c>
      <c r="O45" s="38" t="e">
        <f t="shared" si="16"/>
        <v>#DIV/0!</v>
      </c>
      <c r="P45" s="38" t="e">
        <f t="shared" si="17"/>
        <v>#DIV/0!</v>
      </c>
      <c r="Q45" s="38" t="e">
        <f t="shared" si="18"/>
        <v>#DIV/0!</v>
      </c>
      <c r="R45" s="24" t="e">
        <f t="shared" si="19"/>
        <v>#DIV/0!</v>
      </c>
      <c r="W45" s="28" t="e">
        <f>SUMPRODUCT($B$37:$B$60,W21:W44)/$B$61</f>
        <v>#DIV/0!</v>
      </c>
      <c r="X45" s="28" t="e">
        <f>SUMPRODUCT($B$37:$B$60,X21:X44)/$B$61</f>
        <v>#DIV/0!</v>
      </c>
      <c r="Y45" s="28" t="e">
        <f>SUMPRODUCT($B$37:$B$60,Y21:Y44)/$B$61</f>
        <v>#DIV/0!</v>
      </c>
      <c r="Z45" s="28" t="e">
        <f>SUMPRODUCT($B$37:$B$60,Z21:Z44)/$B$61</f>
        <v>#DIV/0!</v>
      </c>
      <c r="AA45" s="28" t="e">
        <f>Z45*'Area&amp;production data'!J18</f>
        <v>#DIV/0!</v>
      </c>
      <c r="AB45" s="37" t="e">
        <f>SUMPRODUCT(AB21:AB44,B37:B60)/B61</f>
        <v>#DIV/0!</v>
      </c>
      <c r="AC45" s="37" t="e">
        <f>SUMPRODUCT(AC21:AC44,B37:B60)/B61</f>
        <v>#DIV/0!</v>
      </c>
      <c r="AD45" s="124">
        <f>SUM(AD21:AD44)</f>
        <v>3.5999995189833158</v>
      </c>
      <c r="AE45" s="124">
        <f>SUM(AE21:AE44)</f>
        <v>7.1999997585921873</v>
      </c>
      <c r="AF45" s="124">
        <f>SUM(AF21:AF44)</f>
        <v>0</v>
      </c>
    </row>
    <row r="46" spans="1:41" x14ac:dyDescent="0.25">
      <c r="A46" s="13" t="s">
        <v>148</v>
      </c>
      <c r="B46" s="67">
        <f>'Area&amp;production data'!J14</f>
        <v>0</v>
      </c>
      <c r="C46" s="169">
        <f>'Area&amp;production data'!BM14</f>
        <v>0</v>
      </c>
      <c r="D46" s="169">
        <f>'Area&amp;production data'!BN14</f>
        <v>0</v>
      </c>
      <c r="E46" s="169">
        <f>'Area&amp;production data'!BO14</f>
        <v>0</v>
      </c>
      <c r="F46" s="25">
        <f t="shared" si="7"/>
        <v>0</v>
      </c>
      <c r="G46" s="180">
        <f t="shared" si="8"/>
        <v>0</v>
      </c>
      <c r="H46" s="180">
        <f t="shared" si="9"/>
        <v>0.15424859940172897</v>
      </c>
      <c r="I46" s="180">
        <f t="shared" si="10"/>
        <v>0.37460373975058681</v>
      </c>
      <c r="J46" s="81">
        <f t="shared" si="11"/>
        <v>0</v>
      </c>
      <c r="K46" s="38">
        <f t="shared" si="12"/>
        <v>0</v>
      </c>
      <c r="L46" s="38">
        <f t="shared" si="13"/>
        <v>0</v>
      </c>
      <c r="M46" s="38">
        <f t="shared" si="14"/>
        <v>0</v>
      </c>
      <c r="N46" s="38">
        <f t="shared" si="15"/>
        <v>0</v>
      </c>
      <c r="O46" s="38" t="e">
        <f t="shared" si="16"/>
        <v>#DIV/0!</v>
      </c>
      <c r="P46" s="38" t="e">
        <f t="shared" si="17"/>
        <v>#DIV/0!</v>
      </c>
      <c r="Q46" s="38" t="e">
        <f t="shared" si="18"/>
        <v>#DIV/0!</v>
      </c>
      <c r="R46" s="24" t="e">
        <f t="shared" si="19"/>
        <v>#DIV/0!</v>
      </c>
      <c r="V46" s="189"/>
      <c r="W46" s="1"/>
      <c r="X46" s="1"/>
      <c r="Y46" s="1"/>
    </row>
    <row r="47" spans="1:41" x14ac:dyDescent="0.25">
      <c r="A47" s="13" t="s">
        <v>149</v>
      </c>
      <c r="B47" s="67">
        <f>'Area&amp;production data'!J15</f>
        <v>0</v>
      </c>
      <c r="C47" s="169">
        <f>'Area&amp;production data'!BM15</f>
        <v>0</v>
      </c>
      <c r="D47" s="169">
        <f>'Area&amp;production data'!BN15</f>
        <v>0</v>
      </c>
      <c r="E47" s="169">
        <f>'Area&amp;production data'!BO15</f>
        <v>0</v>
      </c>
      <c r="F47" s="25">
        <f t="shared" si="7"/>
        <v>0</v>
      </c>
      <c r="G47" s="180">
        <f t="shared" si="8"/>
        <v>0</v>
      </c>
      <c r="H47" s="180">
        <f t="shared" si="9"/>
        <v>0.24000521985949486</v>
      </c>
      <c r="I47" s="180">
        <f t="shared" si="10"/>
        <v>0.58286992885692546</v>
      </c>
      <c r="J47" s="81">
        <f t="shared" si="11"/>
        <v>0</v>
      </c>
      <c r="K47" s="38">
        <f t="shared" si="12"/>
        <v>0</v>
      </c>
      <c r="L47" s="38">
        <f t="shared" si="13"/>
        <v>0</v>
      </c>
      <c r="M47" s="38">
        <f t="shared" si="14"/>
        <v>0</v>
      </c>
      <c r="N47" s="38">
        <f t="shared" si="15"/>
        <v>0</v>
      </c>
      <c r="O47" s="38" t="e">
        <f t="shared" si="16"/>
        <v>#DIV/0!</v>
      </c>
      <c r="P47" s="38" t="e">
        <f t="shared" si="17"/>
        <v>#DIV/0!</v>
      </c>
      <c r="Q47" s="38" t="e">
        <f t="shared" si="18"/>
        <v>#DIV/0!</v>
      </c>
      <c r="R47" s="24" t="e">
        <f t="shared" si="19"/>
        <v>#DIV/0!</v>
      </c>
      <c r="V47" s="189"/>
      <c r="W47" s="1"/>
      <c r="X47" s="1"/>
      <c r="Y47" s="1"/>
    </row>
    <row r="48" spans="1:41" x14ac:dyDescent="0.25">
      <c r="A48" s="13" t="s">
        <v>150</v>
      </c>
      <c r="B48" s="67">
        <f>'Area&amp;production data'!J16</f>
        <v>0</v>
      </c>
      <c r="C48" s="169">
        <f>'Area&amp;production data'!BM16</f>
        <v>0</v>
      </c>
      <c r="D48" s="169">
        <f>'Area&amp;production data'!BN16</f>
        <v>0</v>
      </c>
      <c r="E48" s="169">
        <f>'Area&amp;production data'!BO16</f>
        <v>0</v>
      </c>
      <c r="F48" s="25">
        <f t="shared" si="7"/>
        <v>0</v>
      </c>
      <c r="G48" s="180">
        <f t="shared" si="8"/>
        <v>0</v>
      </c>
      <c r="H48" s="180">
        <f t="shared" si="9"/>
        <v>0.13585598032674551</v>
      </c>
      <c r="I48" s="180">
        <f t="shared" si="10"/>
        <v>0.32993594453284064</v>
      </c>
      <c r="J48" s="81">
        <f t="shared" si="11"/>
        <v>0</v>
      </c>
      <c r="K48" s="38">
        <f t="shared" si="12"/>
        <v>0</v>
      </c>
      <c r="L48" s="38">
        <f t="shared" si="13"/>
        <v>0</v>
      </c>
      <c r="M48" s="38">
        <f t="shared" si="14"/>
        <v>0</v>
      </c>
      <c r="N48" s="38">
        <f t="shared" si="15"/>
        <v>0</v>
      </c>
      <c r="O48" s="38" t="e">
        <f t="shared" si="16"/>
        <v>#DIV/0!</v>
      </c>
      <c r="P48" s="38" t="e">
        <f t="shared" si="17"/>
        <v>#DIV/0!</v>
      </c>
      <c r="Q48" s="38" t="e">
        <f t="shared" si="18"/>
        <v>#DIV/0!</v>
      </c>
      <c r="R48" s="24" t="e">
        <f t="shared" si="19"/>
        <v>#DIV/0!</v>
      </c>
      <c r="V48" s="189"/>
      <c r="W48" s="1"/>
      <c r="X48" s="1"/>
      <c r="Y48" s="1"/>
    </row>
    <row r="49" spans="1:30" x14ac:dyDescent="0.25">
      <c r="A49" s="13" t="s">
        <v>151</v>
      </c>
      <c r="B49" s="67">
        <f>'Area&amp;production data'!J17</f>
        <v>0</v>
      </c>
      <c r="C49" s="169">
        <f>'Area&amp;production data'!BM17</f>
        <v>0</v>
      </c>
      <c r="D49" s="169">
        <f>'Area&amp;production data'!BN17</f>
        <v>0</v>
      </c>
      <c r="E49" s="169">
        <f>'Area&amp;production data'!BO17</f>
        <v>0</v>
      </c>
      <c r="F49" s="25">
        <f t="shared" si="7"/>
        <v>0</v>
      </c>
      <c r="G49" s="180">
        <f t="shared" si="8"/>
        <v>0</v>
      </c>
      <c r="H49" s="180">
        <f t="shared" si="9"/>
        <v>0.5611761843209333</v>
      </c>
      <c r="I49" s="180">
        <f t="shared" si="10"/>
        <v>1.3628545140131973</v>
      </c>
      <c r="J49" s="81">
        <f t="shared" si="11"/>
        <v>0</v>
      </c>
      <c r="K49" s="38">
        <f t="shared" si="12"/>
        <v>0</v>
      </c>
      <c r="L49" s="38">
        <f t="shared" si="13"/>
        <v>0</v>
      </c>
      <c r="M49" s="38">
        <f t="shared" si="14"/>
        <v>0</v>
      </c>
      <c r="N49" s="38">
        <f t="shared" si="15"/>
        <v>0</v>
      </c>
      <c r="O49" s="38" t="e">
        <f t="shared" si="16"/>
        <v>#DIV/0!</v>
      </c>
      <c r="P49" s="38" t="e">
        <f t="shared" si="17"/>
        <v>#DIV/0!</v>
      </c>
      <c r="Q49" s="38" t="e">
        <f t="shared" si="18"/>
        <v>#DIV/0!</v>
      </c>
      <c r="R49" s="24" t="e">
        <f t="shared" si="19"/>
        <v>#DIV/0!</v>
      </c>
      <c r="V49" s="189"/>
      <c r="W49" s="1"/>
      <c r="X49" s="1"/>
      <c r="Y49" s="1"/>
    </row>
    <row r="50" spans="1:30" x14ac:dyDescent="0.25">
      <c r="A50" s="13" t="s">
        <v>152</v>
      </c>
      <c r="B50" s="67">
        <f>'Area&amp;production data'!J18</f>
        <v>0</v>
      </c>
      <c r="C50" s="169">
        <f>'Area&amp;production data'!BM18</f>
        <v>0</v>
      </c>
      <c r="D50" s="169">
        <f>'Area&amp;production data'!BN18</f>
        <v>0</v>
      </c>
      <c r="E50" s="169">
        <f>'Area&amp;production data'!BO18</f>
        <v>0</v>
      </c>
      <c r="F50" s="25">
        <f t="shared" si="7"/>
        <v>0</v>
      </c>
      <c r="G50" s="180">
        <f t="shared" si="8"/>
        <v>0</v>
      </c>
      <c r="H50" s="180">
        <f t="shared" si="9"/>
        <v>0.21336950905050012</v>
      </c>
      <c r="I50" s="180">
        <f t="shared" si="10"/>
        <v>0.51818255580195394</v>
      </c>
      <c r="J50" s="81">
        <f t="shared" si="11"/>
        <v>0</v>
      </c>
      <c r="K50" s="38">
        <f t="shared" si="12"/>
        <v>0</v>
      </c>
      <c r="L50" s="38">
        <f t="shared" si="13"/>
        <v>0</v>
      </c>
      <c r="M50" s="38">
        <f t="shared" si="14"/>
        <v>0</v>
      </c>
      <c r="N50" s="38">
        <f t="shared" si="15"/>
        <v>0</v>
      </c>
      <c r="O50" s="38" t="e">
        <f t="shared" si="16"/>
        <v>#DIV/0!</v>
      </c>
      <c r="P50" s="38" t="e">
        <f t="shared" si="17"/>
        <v>#DIV/0!</v>
      </c>
      <c r="Q50" s="38" t="e">
        <f t="shared" si="18"/>
        <v>#DIV/0!</v>
      </c>
      <c r="R50" s="24" t="e">
        <f t="shared" si="19"/>
        <v>#DIV/0!</v>
      </c>
    </row>
    <row r="51" spans="1:30" x14ac:dyDescent="0.25">
      <c r="A51" s="13" t="s">
        <v>153</v>
      </c>
      <c r="B51" s="67">
        <f>'Area&amp;production data'!J19</f>
        <v>0</v>
      </c>
      <c r="C51" s="169">
        <f>'Area&amp;production data'!BM19</f>
        <v>0</v>
      </c>
      <c r="D51" s="169">
        <f>'Area&amp;production data'!BN19</f>
        <v>0</v>
      </c>
      <c r="E51" s="169">
        <f>'Area&amp;production data'!BO19</f>
        <v>0</v>
      </c>
      <c r="F51" s="25">
        <f t="shared" si="7"/>
        <v>0</v>
      </c>
      <c r="G51" s="180">
        <f t="shared" si="8"/>
        <v>0</v>
      </c>
      <c r="H51" s="180">
        <f t="shared" si="9"/>
        <v>1.1877931898538741</v>
      </c>
      <c r="I51" s="180">
        <f t="shared" si="10"/>
        <v>2.8846467776430798</v>
      </c>
      <c r="J51" s="81">
        <f t="shared" si="11"/>
        <v>0</v>
      </c>
      <c r="K51" s="38">
        <f t="shared" si="12"/>
        <v>0</v>
      </c>
      <c r="L51" s="38">
        <f t="shared" si="13"/>
        <v>0</v>
      </c>
      <c r="M51" s="38">
        <f t="shared" si="14"/>
        <v>0</v>
      </c>
      <c r="N51" s="38">
        <f t="shared" si="15"/>
        <v>0</v>
      </c>
      <c r="O51" s="38" t="e">
        <f t="shared" si="16"/>
        <v>#DIV/0!</v>
      </c>
      <c r="P51" s="38" t="e">
        <f t="shared" si="17"/>
        <v>#DIV/0!</v>
      </c>
      <c r="Q51" s="38" t="e">
        <f t="shared" si="18"/>
        <v>#DIV/0!</v>
      </c>
      <c r="R51" s="24" t="e">
        <f t="shared" si="19"/>
        <v>#DIV/0!</v>
      </c>
    </row>
    <row r="52" spans="1:30" x14ac:dyDescent="0.25">
      <c r="A52" s="13" t="s">
        <v>154</v>
      </c>
      <c r="B52" s="67">
        <f>'Area&amp;production data'!J20</f>
        <v>0</v>
      </c>
      <c r="C52" s="169">
        <f>'Area&amp;production data'!BM20</f>
        <v>0</v>
      </c>
      <c r="D52" s="169">
        <f>'Area&amp;production data'!BN20</f>
        <v>0</v>
      </c>
      <c r="E52" s="169">
        <f>'Area&amp;production data'!BO20</f>
        <v>0</v>
      </c>
      <c r="F52" s="25">
        <f t="shared" si="7"/>
        <v>0</v>
      </c>
      <c r="G52" s="180">
        <f t="shared" si="8"/>
        <v>0</v>
      </c>
      <c r="H52" s="180">
        <f t="shared" si="9"/>
        <v>0.12101871008845039</v>
      </c>
      <c r="I52" s="180">
        <f t="shared" si="10"/>
        <v>0.25548391806117798</v>
      </c>
      <c r="J52" s="81">
        <f t="shared" si="11"/>
        <v>0</v>
      </c>
      <c r="K52" s="38">
        <f t="shared" si="12"/>
        <v>0</v>
      </c>
      <c r="L52" s="38">
        <f t="shared" si="13"/>
        <v>0</v>
      </c>
      <c r="M52" s="38">
        <f t="shared" si="14"/>
        <v>0</v>
      </c>
      <c r="N52" s="38">
        <f t="shared" si="15"/>
        <v>0</v>
      </c>
      <c r="O52" s="38" t="e">
        <f t="shared" si="16"/>
        <v>#DIV/0!</v>
      </c>
      <c r="P52" s="38" t="e">
        <f t="shared" si="17"/>
        <v>#DIV/0!</v>
      </c>
      <c r="Q52" s="38" t="e">
        <f t="shared" si="18"/>
        <v>#DIV/0!</v>
      </c>
      <c r="R52" s="24" t="e">
        <f t="shared" si="19"/>
        <v>#DIV/0!</v>
      </c>
    </row>
    <row r="53" spans="1:30" x14ac:dyDescent="0.25">
      <c r="A53" s="13" t="s">
        <v>155</v>
      </c>
      <c r="B53" s="67">
        <f>'Area&amp;production data'!J21</f>
        <v>0</v>
      </c>
      <c r="C53" s="169">
        <f>'Area&amp;production data'!BM21</f>
        <v>0</v>
      </c>
      <c r="D53" s="169">
        <f>'Area&amp;production data'!BN21</f>
        <v>0</v>
      </c>
      <c r="E53" s="169">
        <f>'Area&amp;production data'!BO21</f>
        <v>0</v>
      </c>
      <c r="F53" s="25">
        <f t="shared" si="7"/>
        <v>0</v>
      </c>
      <c r="G53" s="180">
        <f t="shared" si="8"/>
        <v>0</v>
      </c>
      <c r="H53" s="180">
        <f t="shared" si="9"/>
        <v>7.8331958971055826E-2</v>
      </c>
      <c r="I53" s="180">
        <f t="shared" si="10"/>
        <v>0.1653674602259029</v>
      </c>
      <c r="J53" s="81">
        <f t="shared" si="11"/>
        <v>0</v>
      </c>
      <c r="K53" s="38">
        <f t="shared" si="12"/>
        <v>0</v>
      </c>
      <c r="L53" s="38">
        <f t="shared" si="13"/>
        <v>0</v>
      </c>
      <c r="M53" s="38">
        <f t="shared" si="14"/>
        <v>0</v>
      </c>
      <c r="N53" s="38">
        <f t="shared" si="15"/>
        <v>0</v>
      </c>
      <c r="O53" s="38" t="e">
        <f t="shared" si="16"/>
        <v>#DIV/0!</v>
      </c>
      <c r="P53" s="38" t="e">
        <f t="shared" si="17"/>
        <v>#DIV/0!</v>
      </c>
      <c r="Q53" s="38" t="e">
        <f t="shared" si="18"/>
        <v>#DIV/0!</v>
      </c>
      <c r="R53" s="24" t="e">
        <f t="shared" si="19"/>
        <v>#DIV/0!</v>
      </c>
    </row>
    <row r="54" spans="1:30" x14ac:dyDescent="0.25">
      <c r="A54" s="13" t="s">
        <v>156</v>
      </c>
      <c r="B54" s="67">
        <f>'Area&amp;production data'!J22</f>
        <v>0</v>
      </c>
      <c r="C54" s="169">
        <f>'Area&amp;production data'!BM22</f>
        <v>0</v>
      </c>
      <c r="D54" s="169">
        <f>'Area&amp;production data'!BN22</f>
        <v>0</v>
      </c>
      <c r="E54" s="169">
        <f>'Area&amp;production data'!BO22</f>
        <v>0</v>
      </c>
      <c r="F54" s="25">
        <f t="shared" si="7"/>
        <v>0</v>
      </c>
      <c r="G54" s="180">
        <f t="shared" si="8"/>
        <v>0</v>
      </c>
      <c r="H54" s="180">
        <f t="shared" si="9"/>
        <v>0.86348856791008144</v>
      </c>
      <c r="I54" s="180">
        <f t="shared" si="10"/>
        <v>1.8229218409591952</v>
      </c>
      <c r="J54" s="81">
        <f t="shared" si="11"/>
        <v>0</v>
      </c>
      <c r="K54" s="38">
        <f t="shared" si="12"/>
        <v>0</v>
      </c>
      <c r="L54" s="38">
        <f t="shared" si="13"/>
        <v>0</v>
      </c>
      <c r="M54" s="38">
        <f t="shared" si="14"/>
        <v>0</v>
      </c>
      <c r="N54" s="38">
        <f t="shared" si="15"/>
        <v>0</v>
      </c>
      <c r="O54" s="38" t="e">
        <f t="shared" si="16"/>
        <v>#DIV/0!</v>
      </c>
      <c r="P54" s="38" t="e">
        <f t="shared" si="17"/>
        <v>#DIV/0!</v>
      </c>
      <c r="Q54" s="38" t="e">
        <f t="shared" si="18"/>
        <v>#DIV/0!</v>
      </c>
      <c r="R54" s="24" t="e">
        <f t="shared" si="19"/>
        <v>#DIV/0!</v>
      </c>
    </row>
    <row r="55" spans="1:30" x14ac:dyDescent="0.25">
      <c r="A55" s="13" t="s">
        <v>157</v>
      </c>
      <c r="B55" s="67">
        <f>'Area&amp;production data'!J23</f>
        <v>0</v>
      </c>
      <c r="C55" s="169">
        <f>'Area&amp;production data'!BM23</f>
        <v>0</v>
      </c>
      <c r="D55" s="169">
        <f>'Area&amp;production data'!BN23</f>
        <v>0</v>
      </c>
      <c r="E55" s="169">
        <f>'Area&amp;production data'!BO23</f>
        <v>0</v>
      </c>
      <c r="F55" s="25">
        <f t="shared" si="7"/>
        <v>0</v>
      </c>
      <c r="G55" s="180">
        <f t="shared" si="8"/>
        <v>0</v>
      </c>
      <c r="H55" s="180">
        <f t="shared" si="9"/>
        <v>0.69042553181818045</v>
      </c>
      <c r="I55" s="180">
        <f t="shared" si="10"/>
        <v>1.4575656878939043</v>
      </c>
      <c r="J55" s="81">
        <f t="shared" si="11"/>
        <v>0</v>
      </c>
      <c r="K55" s="38">
        <f t="shared" si="12"/>
        <v>0</v>
      </c>
      <c r="L55" s="38">
        <f t="shared" si="13"/>
        <v>0</v>
      </c>
      <c r="M55" s="38">
        <f t="shared" si="14"/>
        <v>0</v>
      </c>
      <c r="N55" s="38">
        <f t="shared" si="15"/>
        <v>0</v>
      </c>
      <c r="O55" s="38" t="e">
        <f t="shared" si="16"/>
        <v>#DIV/0!</v>
      </c>
      <c r="P55" s="38" t="e">
        <f t="shared" si="17"/>
        <v>#DIV/0!</v>
      </c>
      <c r="Q55" s="38" t="e">
        <f t="shared" si="18"/>
        <v>#DIV/0!</v>
      </c>
      <c r="R55" s="24" t="e">
        <f t="shared" si="19"/>
        <v>#DIV/0!</v>
      </c>
    </row>
    <row r="56" spans="1:30" x14ac:dyDescent="0.25">
      <c r="A56" s="13" t="s">
        <v>158</v>
      </c>
      <c r="B56" s="67">
        <f>'Area&amp;production data'!J24</f>
        <v>0</v>
      </c>
      <c r="C56" s="169">
        <f>'Area&amp;production data'!BM24</f>
        <v>0</v>
      </c>
      <c r="D56" s="169">
        <f>'Area&amp;production data'!BN24</f>
        <v>0</v>
      </c>
      <c r="E56" s="169">
        <f>'Area&amp;production data'!BO24</f>
        <v>0</v>
      </c>
      <c r="F56" s="25">
        <f t="shared" si="7"/>
        <v>0</v>
      </c>
      <c r="G56" s="180">
        <f t="shared" si="8"/>
        <v>0</v>
      </c>
      <c r="H56" s="180">
        <f t="shared" si="9"/>
        <v>1.3858147220240049</v>
      </c>
      <c r="I56" s="180">
        <f t="shared" si="10"/>
        <v>2.9256089648990029</v>
      </c>
      <c r="J56" s="81">
        <f t="shared" si="11"/>
        <v>0</v>
      </c>
      <c r="K56" s="38">
        <f t="shared" si="12"/>
        <v>0</v>
      </c>
      <c r="L56" s="38">
        <f t="shared" si="13"/>
        <v>0</v>
      </c>
      <c r="M56" s="38">
        <f t="shared" si="14"/>
        <v>0</v>
      </c>
      <c r="N56" s="38">
        <f t="shared" si="15"/>
        <v>0</v>
      </c>
      <c r="O56" s="38" t="e">
        <f t="shared" si="16"/>
        <v>#DIV/0!</v>
      </c>
      <c r="P56" s="38" t="e">
        <f t="shared" si="17"/>
        <v>#DIV/0!</v>
      </c>
      <c r="Q56" s="38" t="e">
        <f t="shared" si="18"/>
        <v>#DIV/0!</v>
      </c>
      <c r="R56" s="24" t="e">
        <f t="shared" si="19"/>
        <v>#DIV/0!</v>
      </c>
    </row>
    <row r="57" spans="1:30" x14ac:dyDescent="0.25">
      <c r="A57" s="13" t="s">
        <v>159</v>
      </c>
      <c r="B57" s="67">
        <f>'Area&amp;production data'!J25</f>
        <v>0</v>
      </c>
      <c r="C57" s="169">
        <f>'Area&amp;production data'!BM25</f>
        <v>0</v>
      </c>
      <c r="D57" s="169">
        <f>'Area&amp;production data'!BN25</f>
        <v>0</v>
      </c>
      <c r="E57" s="169">
        <f>'Area&amp;production data'!BO25</f>
        <v>0</v>
      </c>
      <c r="F57" s="25">
        <f t="shared" si="7"/>
        <v>0</v>
      </c>
      <c r="G57" s="180">
        <f t="shared" si="8"/>
        <v>0</v>
      </c>
      <c r="H57" s="180">
        <f t="shared" si="9"/>
        <v>5.0638294616374313E-2</v>
      </c>
      <c r="I57" s="180">
        <f t="shared" si="10"/>
        <v>0.10690307249593407</v>
      </c>
      <c r="J57" s="81">
        <f t="shared" si="11"/>
        <v>0</v>
      </c>
      <c r="K57" s="38">
        <f t="shared" si="12"/>
        <v>0</v>
      </c>
      <c r="L57" s="38">
        <f t="shared" si="13"/>
        <v>0</v>
      </c>
      <c r="M57" s="38">
        <f t="shared" si="14"/>
        <v>0</v>
      </c>
      <c r="N57" s="38">
        <f t="shared" si="15"/>
        <v>0</v>
      </c>
      <c r="O57" s="38" t="e">
        <f t="shared" si="16"/>
        <v>#DIV/0!</v>
      </c>
      <c r="P57" s="38" t="e">
        <f t="shared" si="17"/>
        <v>#DIV/0!</v>
      </c>
      <c r="Q57" s="38" t="e">
        <f t="shared" si="18"/>
        <v>#DIV/0!</v>
      </c>
      <c r="R57" s="24" t="e">
        <f t="shared" si="19"/>
        <v>#DIV/0!</v>
      </c>
    </row>
    <row r="58" spans="1:30" x14ac:dyDescent="0.25">
      <c r="A58" s="13" t="s">
        <v>160</v>
      </c>
      <c r="B58" s="67">
        <f>'Area&amp;production data'!J26</f>
        <v>0</v>
      </c>
      <c r="C58" s="169">
        <f>'Area&amp;production data'!BM26</f>
        <v>0</v>
      </c>
      <c r="D58" s="169">
        <f>'Area&amp;production data'!BN26</f>
        <v>0</v>
      </c>
      <c r="E58" s="169">
        <f>'Area&amp;production data'!BO26</f>
        <v>0</v>
      </c>
      <c r="F58" s="25">
        <f t="shared" si="7"/>
        <v>0</v>
      </c>
      <c r="G58" s="180">
        <f t="shared" si="8"/>
        <v>0</v>
      </c>
      <c r="H58" s="180">
        <f t="shared" si="9"/>
        <v>1.3116278547733229</v>
      </c>
      <c r="I58" s="180">
        <f t="shared" si="10"/>
        <v>2.7689923170290491</v>
      </c>
      <c r="J58" s="81">
        <f t="shared" si="11"/>
        <v>0</v>
      </c>
      <c r="K58" s="38">
        <f t="shared" si="12"/>
        <v>0</v>
      </c>
      <c r="L58" s="38">
        <f t="shared" si="13"/>
        <v>0</v>
      </c>
      <c r="M58" s="38">
        <f t="shared" si="14"/>
        <v>0</v>
      </c>
      <c r="N58" s="38">
        <f t="shared" si="15"/>
        <v>0</v>
      </c>
      <c r="O58" s="38" t="e">
        <f t="shared" si="16"/>
        <v>#DIV/0!</v>
      </c>
      <c r="P58" s="38" t="e">
        <f t="shared" si="17"/>
        <v>#DIV/0!</v>
      </c>
      <c r="Q58" s="38" t="e">
        <f t="shared" si="18"/>
        <v>#DIV/0!</v>
      </c>
      <c r="R58" s="24" t="e">
        <f t="shared" si="19"/>
        <v>#DIV/0!</v>
      </c>
      <c r="T58" s="1"/>
      <c r="W58" s="1"/>
      <c r="X58" s="1"/>
      <c r="Y58" s="1"/>
    </row>
    <row r="59" spans="1:30" x14ac:dyDescent="0.25">
      <c r="A59" s="13" t="s">
        <v>161</v>
      </c>
      <c r="B59" s="67">
        <f>'Area&amp;production data'!J27</f>
        <v>0</v>
      </c>
      <c r="C59" s="169">
        <f>'Area&amp;production data'!BM27</f>
        <v>0</v>
      </c>
      <c r="D59" s="169">
        <f>'Area&amp;production data'!BN27</f>
        <v>0</v>
      </c>
      <c r="E59" s="169">
        <f>'Area&amp;production data'!BO27</f>
        <v>0</v>
      </c>
      <c r="F59" s="25">
        <f t="shared" si="7"/>
        <v>0</v>
      </c>
      <c r="G59" s="180">
        <f t="shared" si="8"/>
        <v>0</v>
      </c>
      <c r="H59" s="180">
        <f t="shared" si="9"/>
        <v>2.1599998071857103</v>
      </c>
      <c r="I59" s="180">
        <f t="shared" si="10"/>
        <v>4.5599999644913956</v>
      </c>
      <c r="J59" s="81">
        <f t="shared" si="11"/>
        <v>0</v>
      </c>
      <c r="K59" s="38">
        <f t="shared" si="12"/>
        <v>0</v>
      </c>
      <c r="L59" s="38">
        <f t="shared" si="13"/>
        <v>0</v>
      </c>
      <c r="M59" s="38">
        <f t="shared" si="14"/>
        <v>0</v>
      </c>
      <c r="N59" s="38">
        <f t="shared" si="15"/>
        <v>0</v>
      </c>
      <c r="O59" s="38" t="e">
        <f t="shared" si="16"/>
        <v>#DIV/0!</v>
      </c>
      <c r="P59" s="38" t="e">
        <f t="shared" si="17"/>
        <v>#DIV/0!</v>
      </c>
      <c r="Q59" s="38" t="e">
        <f t="shared" si="18"/>
        <v>#DIV/0!</v>
      </c>
      <c r="R59" s="24" t="e">
        <f t="shared" si="19"/>
        <v>#DIV/0!</v>
      </c>
      <c r="U59" s="1"/>
      <c r="V59" s="1"/>
      <c r="W59" s="126"/>
    </row>
    <row r="60" spans="1:30" s="1" customFormat="1" x14ac:dyDescent="0.25">
      <c r="A60" s="13" t="s">
        <v>162</v>
      </c>
      <c r="B60" s="67">
        <f>'Area&amp;production data'!J28</f>
        <v>0</v>
      </c>
      <c r="C60" s="169">
        <f>'Area&amp;production data'!BM28</f>
        <v>0</v>
      </c>
      <c r="D60" s="169">
        <f>'Area&amp;production data'!BN28</f>
        <v>0</v>
      </c>
      <c r="E60" s="169">
        <f>'Area&amp;production data'!BO28</f>
        <v>0</v>
      </c>
      <c r="F60" s="25">
        <f t="shared" si="7"/>
        <v>0</v>
      </c>
      <c r="G60" s="180">
        <f t="shared" si="8"/>
        <v>0</v>
      </c>
      <c r="H60" s="180">
        <f t="shared" si="9"/>
        <v>0.11880714434735706</v>
      </c>
      <c r="I60" s="180">
        <f t="shared" si="10"/>
        <v>0.25081507307976503</v>
      </c>
      <c r="J60" s="81">
        <f t="shared" si="11"/>
        <v>0</v>
      </c>
      <c r="K60" s="38">
        <f t="shared" si="12"/>
        <v>0</v>
      </c>
      <c r="L60" s="38">
        <f t="shared" si="13"/>
        <v>0</v>
      </c>
      <c r="M60" s="38">
        <f t="shared" si="14"/>
        <v>0</v>
      </c>
      <c r="N60" s="38">
        <f t="shared" si="15"/>
        <v>0</v>
      </c>
      <c r="O60" s="38" t="e">
        <f t="shared" si="16"/>
        <v>#DIV/0!</v>
      </c>
      <c r="P60" s="38" t="e">
        <f t="shared" si="17"/>
        <v>#DIV/0!</v>
      </c>
      <c r="Q60" s="38" t="e">
        <f t="shared" si="18"/>
        <v>#DIV/0!</v>
      </c>
      <c r="R60" s="24" t="e">
        <f t="shared" si="19"/>
        <v>#DIV/0!</v>
      </c>
      <c r="S60"/>
      <c r="T60"/>
      <c r="W60" s="126"/>
      <c r="AD60"/>
    </row>
    <row r="61" spans="1:30" x14ac:dyDescent="0.25">
      <c r="A61" s="1" t="s">
        <v>163</v>
      </c>
      <c r="B61" s="24">
        <f>SUM(B37:B60)</f>
        <v>0</v>
      </c>
      <c r="C61" s="200" t="e">
        <f>SUMPRODUCT($B$37:$B$60,C37:C60)/$B$61</f>
        <v>#DIV/0!</v>
      </c>
      <c r="D61" s="51" t="e">
        <f>SUMPRODUCT($B$37:$B$60,D37:D60)/$B$61</f>
        <v>#DIV/0!</v>
      </c>
      <c r="E61" s="51" t="e">
        <f>SUMPRODUCT($B$37:$B$60,E37:E60)/$B$61</f>
        <v>#DIV/0!</v>
      </c>
      <c r="F61" s="27" t="e">
        <f>SUM(C61:E61)</f>
        <v>#DIV/0!</v>
      </c>
      <c r="G61" s="28" t="e">
        <f>SUMPRODUCT($B$37:$B$60,G37:G60)/$B$61</f>
        <v>#DIV/0!</v>
      </c>
      <c r="H61" s="10" t="e">
        <f>SUMPRODUCT($B$37:$B$60,H37:H60)/$B$61</f>
        <v>#DIV/0!</v>
      </c>
      <c r="I61" s="10" t="e">
        <f>SUMPRODUCT($B$37:$B$60,I37:I60)/$B$61</f>
        <v>#DIV/0!</v>
      </c>
      <c r="J61" s="81" t="e">
        <f>SUMPRODUCT(C61:E61,G61:I61)</f>
        <v>#DIV/0!</v>
      </c>
      <c r="K61" s="38">
        <f>SUM(K37:K60)</f>
        <v>0</v>
      </c>
      <c r="L61" s="38">
        <f>SUM(L37:L60)</f>
        <v>0</v>
      </c>
      <c r="M61" s="38">
        <f t="shared" ref="M61" si="20">SUM(M37:M60)</f>
        <v>0</v>
      </c>
      <c r="N61" s="38">
        <f>SUM(N37:N60)</f>
        <v>0</v>
      </c>
      <c r="O61" s="38" t="e">
        <f>SUM(O37:O60)</f>
        <v>#DIV/0!</v>
      </c>
      <c r="P61" s="38" t="e">
        <f>SUM(P37:P60)</f>
        <v>#DIV/0!</v>
      </c>
      <c r="Q61" s="38" t="e">
        <f>SUM(Q37:Q60)</f>
        <v>#DIV/0!</v>
      </c>
      <c r="R61" s="24" t="e">
        <f>SUM(R37:R60)</f>
        <v>#DIV/0!</v>
      </c>
    </row>
    <row r="62" spans="1:30" x14ac:dyDescent="0.25">
      <c r="A62" s="17" t="s">
        <v>8</v>
      </c>
      <c r="B62" s="213" t="b">
        <f>B61='Area&amp;production data'!J29</f>
        <v>1</v>
      </c>
      <c r="C62" s="842" t="e">
        <f>SUM(C61:E61)=100%</f>
        <v>#DIV/0!</v>
      </c>
      <c r="D62" s="842"/>
      <c r="E62" s="842"/>
      <c r="F62" s="6" t="e">
        <f>F61=100%</f>
        <v>#DIV/0!</v>
      </c>
      <c r="N62" s="29" t="b">
        <f>SUM(K61:M61)=N61</f>
        <v>1</v>
      </c>
      <c r="S62" s="39" t="e">
        <f>SUM(O61:Q61)=R61</f>
        <v>#DIV/0!</v>
      </c>
      <c r="X62" s="39" t="e">
        <f>SUM(O61:Q61)=R61</f>
        <v>#DIV/0!</v>
      </c>
      <c r="AD62" s="1"/>
    </row>
    <row r="63" spans="1:30" x14ac:dyDescent="0.25">
      <c r="A63" s="17"/>
      <c r="C63" s="21"/>
      <c r="D63" s="21"/>
      <c r="E63" s="21"/>
      <c r="N63" s="30" t="e">
        <f>N61/AA45</f>
        <v>#DIV/0!</v>
      </c>
    </row>
    <row r="64" spans="1:30" ht="45.95" customHeight="1" x14ac:dyDescent="0.25">
      <c r="A64" s="1" t="s">
        <v>530</v>
      </c>
      <c r="D64" s="3" t="s">
        <v>531</v>
      </c>
      <c r="E64" s="1"/>
      <c r="F64" s="54">
        <v>1.1000000000000001</v>
      </c>
      <c r="G64" t="s">
        <v>96</v>
      </c>
      <c r="H64" s="20" t="s">
        <v>464</v>
      </c>
      <c r="O64" s="20" t="s">
        <v>532</v>
      </c>
      <c r="P64" s="20"/>
      <c r="X64" s="20" t="s">
        <v>533</v>
      </c>
    </row>
    <row r="65" spans="1:23" ht="39" customHeight="1" x14ac:dyDescent="0.25">
      <c r="A65" s="1" t="s">
        <v>101</v>
      </c>
      <c r="B65" s="814" t="s">
        <v>525</v>
      </c>
      <c r="C65" s="814" t="s">
        <v>526</v>
      </c>
      <c r="D65" s="814"/>
      <c r="E65" s="814"/>
      <c r="F65" s="814"/>
      <c r="G65" s="814" t="s">
        <v>534</v>
      </c>
      <c r="H65" s="814"/>
      <c r="I65" s="814"/>
      <c r="J65" s="814"/>
      <c r="K65" s="814" t="s">
        <v>535</v>
      </c>
      <c r="L65" s="814"/>
      <c r="M65" s="814"/>
      <c r="N65" s="814"/>
      <c r="O65" s="814" t="s">
        <v>536</v>
      </c>
      <c r="P65" s="814"/>
      <c r="Q65" s="814"/>
      <c r="R65" s="814"/>
      <c r="S65" s="17" t="s">
        <v>120</v>
      </c>
      <c r="T65" s="44"/>
      <c r="U65" s="814"/>
      <c r="V65" s="814"/>
      <c r="W65" s="814"/>
    </row>
    <row r="66" spans="1:23" x14ac:dyDescent="0.25">
      <c r="A66" s="1"/>
      <c r="B66" s="814"/>
      <c r="C66" s="1" t="s">
        <v>136</v>
      </c>
      <c r="D66" s="1" t="s">
        <v>137</v>
      </c>
      <c r="E66" s="1" t="s">
        <v>138</v>
      </c>
      <c r="F66" s="1" t="s">
        <v>120</v>
      </c>
      <c r="G66" s="1" t="s">
        <v>136</v>
      </c>
      <c r="H66" s="1" t="s">
        <v>137</v>
      </c>
      <c r="I66" s="1" t="s">
        <v>289</v>
      </c>
      <c r="J66" s="1" t="s">
        <v>120</v>
      </c>
      <c r="K66" s="1" t="s">
        <v>136</v>
      </c>
      <c r="L66" s="1" t="s">
        <v>137</v>
      </c>
      <c r="M66" s="1" t="s">
        <v>289</v>
      </c>
      <c r="N66" s="1" t="s">
        <v>120</v>
      </c>
      <c r="O66" s="1" t="s">
        <v>136</v>
      </c>
      <c r="P66" s="1" t="s">
        <v>137</v>
      </c>
      <c r="Q66" s="1" t="s">
        <v>289</v>
      </c>
      <c r="R66" s="17"/>
    </row>
    <row r="67" spans="1:23" x14ac:dyDescent="0.25">
      <c r="A67" s="13" t="s">
        <v>139</v>
      </c>
      <c r="B67" s="36">
        <f>B37</f>
        <v>0</v>
      </c>
      <c r="C67" s="25">
        <f t="shared" ref="C67:E67" si="21">C37</f>
        <v>0</v>
      </c>
      <c r="D67" s="25">
        <f t="shared" si="21"/>
        <v>0</v>
      </c>
      <c r="E67" s="25">
        <f t="shared" si="21"/>
        <v>0</v>
      </c>
      <c r="F67" s="25">
        <f>SUM(C67:E67)</f>
        <v>0</v>
      </c>
      <c r="G67" s="184">
        <f>$F$64*G37</f>
        <v>0</v>
      </c>
      <c r="H67" s="184">
        <f>$F$64*H37</f>
        <v>0.51727644568466158</v>
      </c>
      <c r="I67" s="184">
        <f>$F$64*I37</f>
        <v>1.4113347033181201</v>
      </c>
      <c r="J67" s="9">
        <f>SUMPRODUCT(C67:E67,G67:I67)</f>
        <v>0</v>
      </c>
      <c r="K67" s="26">
        <f t="shared" ref="K67:N67" si="22">G67*C67*$B67</f>
        <v>0</v>
      </c>
      <c r="L67" s="26">
        <f t="shared" si="22"/>
        <v>0</v>
      </c>
      <c r="M67" s="26">
        <f t="shared" si="22"/>
        <v>0</v>
      </c>
      <c r="N67" s="26">
        <f t="shared" si="22"/>
        <v>0</v>
      </c>
      <c r="O67" s="26">
        <f>$D$23*K67</f>
        <v>0</v>
      </c>
      <c r="P67" s="26">
        <f t="shared" ref="P67:Q67" si="23">$D$23*L67</f>
        <v>0</v>
      </c>
      <c r="Q67" s="26">
        <f t="shared" si="23"/>
        <v>0</v>
      </c>
      <c r="R67" s="26">
        <f>SUM(O67:Q67)</f>
        <v>0</v>
      </c>
    </row>
    <row r="68" spans="1:23" x14ac:dyDescent="0.25">
      <c r="A68" s="13" t="s">
        <v>140</v>
      </c>
      <c r="B68" s="36">
        <f t="shared" ref="B68:E68" si="24">B38</f>
        <v>0</v>
      </c>
      <c r="C68" s="25">
        <f t="shared" si="24"/>
        <v>0</v>
      </c>
      <c r="D68" s="25">
        <f t="shared" si="24"/>
        <v>0</v>
      </c>
      <c r="E68" s="25">
        <f t="shared" si="24"/>
        <v>0</v>
      </c>
      <c r="F68" s="25">
        <f t="shared" ref="F68:F90" si="25">SUM(C68:E68)</f>
        <v>0</v>
      </c>
      <c r="G68" s="184">
        <f t="shared" ref="G68:I68" si="26">$F$64*G38</f>
        <v>0</v>
      </c>
      <c r="H68" s="184">
        <f t="shared" si="26"/>
        <v>0.61180265473540962</v>
      </c>
      <c r="I68" s="184">
        <f t="shared" si="26"/>
        <v>1.669239322842784</v>
      </c>
      <c r="J68" s="9">
        <f t="shared" ref="J68:J90" si="27">SUMPRODUCT(C68:E68,G68:I68)</f>
        <v>0</v>
      </c>
      <c r="K68" s="26">
        <f t="shared" ref="K68:K90" si="28">G68*C68*$B68</f>
        <v>0</v>
      </c>
      <c r="L68" s="26">
        <f t="shared" ref="L68:L90" si="29">H68*D68*$B68</f>
        <v>0</v>
      </c>
      <c r="M68" s="26">
        <f t="shared" ref="M68:M90" si="30">I68*E68*$B68</f>
        <v>0</v>
      </c>
      <c r="N68" s="26">
        <f t="shared" ref="N68:N90" si="31">J68*F68*$B68</f>
        <v>0</v>
      </c>
      <c r="O68" s="26">
        <f t="shared" ref="O68:O90" si="32">$D$23*K68</f>
        <v>0</v>
      </c>
      <c r="P68" s="26">
        <f t="shared" ref="P68:P90" si="33">$D$23*L68</f>
        <v>0</v>
      </c>
      <c r="Q68" s="26">
        <f t="shared" ref="Q68:Q90" si="34">$D$23*M68</f>
        <v>0</v>
      </c>
      <c r="R68" s="26">
        <f t="shared" ref="R68:R90" si="35">SUM(O68:Q68)</f>
        <v>0</v>
      </c>
    </row>
    <row r="69" spans="1:23" x14ac:dyDescent="0.25">
      <c r="A69" s="13" t="s">
        <v>141</v>
      </c>
      <c r="B69" s="36">
        <f t="shared" ref="B69:E69" si="36">B39</f>
        <v>0</v>
      </c>
      <c r="C69" s="25">
        <f t="shared" si="36"/>
        <v>0</v>
      </c>
      <c r="D69" s="25">
        <f t="shared" si="36"/>
        <v>0</v>
      </c>
      <c r="E69" s="25">
        <f t="shared" si="36"/>
        <v>0</v>
      </c>
      <c r="F69" s="25">
        <f t="shared" si="25"/>
        <v>0</v>
      </c>
      <c r="G69" s="184">
        <f t="shared" ref="G69:I69" si="37">$F$64*G39</f>
        <v>0</v>
      </c>
      <c r="H69" s="184">
        <f t="shared" si="37"/>
        <v>0.43733724459006346</v>
      </c>
      <c r="I69" s="184">
        <f t="shared" si="37"/>
        <v>1.1932287954350855</v>
      </c>
      <c r="J69" s="9">
        <f t="shared" si="27"/>
        <v>0</v>
      </c>
      <c r="K69" s="26">
        <f t="shared" si="28"/>
        <v>0</v>
      </c>
      <c r="L69" s="26">
        <f t="shared" si="29"/>
        <v>0</v>
      </c>
      <c r="M69" s="26">
        <f t="shared" si="30"/>
        <v>0</v>
      </c>
      <c r="N69" s="26">
        <f t="shared" si="31"/>
        <v>0</v>
      </c>
      <c r="O69" s="26">
        <f t="shared" si="32"/>
        <v>0</v>
      </c>
      <c r="P69" s="26">
        <f t="shared" si="33"/>
        <v>0</v>
      </c>
      <c r="Q69" s="26">
        <f t="shared" si="34"/>
        <v>0</v>
      </c>
      <c r="R69" s="26">
        <f t="shared" si="35"/>
        <v>0</v>
      </c>
    </row>
    <row r="70" spans="1:23" x14ac:dyDescent="0.25">
      <c r="A70" s="13" t="s">
        <v>142</v>
      </c>
      <c r="B70" s="36">
        <f t="shared" ref="B70:E70" si="38">B40</f>
        <v>0</v>
      </c>
      <c r="C70" s="25">
        <f t="shared" si="38"/>
        <v>0</v>
      </c>
      <c r="D70" s="25">
        <f t="shared" si="38"/>
        <v>0</v>
      </c>
      <c r="E70" s="25">
        <f t="shared" si="38"/>
        <v>0</v>
      </c>
      <c r="F70" s="25">
        <f t="shared" si="25"/>
        <v>0</v>
      </c>
      <c r="G70" s="184">
        <f t="shared" ref="G70:I70" si="39">$F$64*G40</f>
        <v>0</v>
      </c>
      <c r="H70" s="184">
        <f t="shared" si="39"/>
        <v>0.50036095913678136</v>
      </c>
      <c r="I70" s="184">
        <f t="shared" si="39"/>
        <v>1.3651824727697293</v>
      </c>
      <c r="J70" s="9">
        <f t="shared" si="27"/>
        <v>0</v>
      </c>
      <c r="K70" s="26">
        <f t="shared" si="28"/>
        <v>0</v>
      </c>
      <c r="L70" s="26">
        <f t="shared" si="29"/>
        <v>0</v>
      </c>
      <c r="M70" s="26">
        <f t="shared" si="30"/>
        <v>0</v>
      </c>
      <c r="N70" s="26">
        <f t="shared" si="31"/>
        <v>0</v>
      </c>
      <c r="O70" s="26">
        <f t="shared" si="32"/>
        <v>0</v>
      </c>
      <c r="P70" s="26">
        <f t="shared" si="33"/>
        <v>0</v>
      </c>
      <c r="Q70" s="26">
        <f t="shared" si="34"/>
        <v>0</v>
      </c>
      <c r="R70" s="26">
        <f t="shared" si="35"/>
        <v>0</v>
      </c>
    </row>
    <row r="71" spans="1:23" x14ac:dyDescent="0.25">
      <c r="A71" s="13" t="s">
        <v>143</v>
      </c>
      <c r="B71" s="36">
        <f t="shared" ref="B71:E71" si="40">B41</f>
        <v>0</v>
      </c>
      <c r="C71" s="25">
        <f t="shared" si="40"/>
        <v>0</v>
      </c>
      <c r="D71" s="25">
        <f t="shared" si="40"/>
        <v>0</v>
      </c>
      <c r="E71" s="25">
        <f t="shared" si="40"/>
        <v>0</v>
      </c>
      <c r="F71" s="25">
        <f t="shared" si="25"/>
        <v>0</v>
      </c>
      <c r="G71" s="184">
        <f t="shared" ref="G71:I71" si="41">$F$64*G41</f>
        <v>0</v>
      </c>
      <c r="H71" s="184">
        <f t="shared" si="41"/>
        <v>0.33540826885843184</v>
      </c>
      <c r="I71" s="184">
        <f t="shared" si="41"/>
        <v>0.91512542459327673</v>
      </c>
      <c r="J71" s="9">
        <f t="shared" si="27"/>
        <v>0</v>
      </c>
      <c r="K71" s="26">
        <f t="shared" si="28"/>
        <v>0</v>
      </c>
      <c r="L71" s="26">
        <f t="shared" si="29"/>
        <v>0</v>
      </c>
      <c r="M71" s="26">
        <f t="shared" si="30"/>
        <v>0</v>
      </c>
      <c r="N71" s="26">
        <f t="shared" si="31"/>
        <v>0</v>
      </c>
      <c r="O71" s="26">
        <f t="shared" si="32"/>
        <v>0</v>
      </c>
      <c r="P71" s="26">
        <f t="shared" si="33"/>
        <v>0</v>
      </c>
      <c r="Q71" s="26">
        <f t="shared" si="34"/>
        <v>0</v>
      </c>
      <c r="R71" s="26">
        <f t="shared" si="35"/>
        <v>0</v>
      </c>
    </row>
    <row r="72" spans="1:23" x14ac:dyDescent="0.25">
      <c r="A72" s="13" t="s">
        <v>144</v>
      </c>
      <c r="B72" s="36">
        <f t="shared" ref="B72:E72" si="42">B42</f>
        <v>0</v>
      </c>
      <c r="C72" s="25">
        <f t="shared" si="42"/>
        <v>0</v>
      </c>
      <c r="D72" s="25">
        <f t="shared" si="42"/>
        <v>0</v>
      </c>
      <c r="E72" s="25">
        <f t="shared" si="42"/>
        <v>0</v>
      </c>
      <c r="F72" s="25">
        <f t="shared" si="25"/>
        <v>0</v>
      </c>
      <c r="G72" s="184">
        <f t="shared" ref="G72:I72" si="43">$F$64*G42</f>
        <v>0</v>
      </c>
      <c r="H72" s="184">
        <f t="shared" si="43"/>
        <v>0.95410619209977787</v>
      </c>
      <c r="I72" s="184">
        <f t="shared" si="43"/>
        <v>2.6031785870556394</v>
      </c>
      <c r="J72" s="9">
        <f t="shared" si="27"/>
        <v>0</v>
      </c>
      <c r="K72" s="26">
        <f t="shared" si="28"/>
        <v>0</v>
      </c>
      <c r="L72" s="26">
        <f t="shared" si="29"/>
        <v>0</v>
      </c>
      <c r="M72" s="26">
        <f t="shared" si="30"/>
        <v>0</v>
      </c>
      <c r="N72" s="26">
        <f t="shared" si="31"/>
        <v>0</v>
      </c>
      <c r="O72" s="26">
        <f t="shared" si="32"/>
        <v>0</v>
      </c>
      <c r="P72" s="26">
        <f t="shared" si="33"/>
        <v>0</v>
      </c>
      <c r="Q72" s="26">
        <f t="shared" si="34"/>
        <v>0</v>
      </c>
      <c r="R72" s="26">
        <f t="shared" si="35"/>
        <v>0</v>
      </c>
    </row>
    <row r="73" spans="1:23" x14ac:dyDescent="0.25">
      <c r="A73" s="13" t="s">
        <v>145</v>
      </c>
      <c r="B73" s="36">
        <f t="shared" ref="B73:E73" si="44">B43</f>
        <v>0</v>
      </c>
      <c r="C73" s="25">
        <f t="shared" si="44"/>
        <v>0</v>
      </c>
      <c r="D73" s="25">
        <f t="shared" si="44"/>
        <v>0</v>
      </c>
      <c r="E73" s="25">
        <f t="shared" si="44"/>
        <v>0</v>
      </c>
      <c r="F73" s="25">
        <f t="shared" si="25"/>
        <v>0</v>
      </c>
      <c r="G73" s="184">
        <f t="shared" ref="G73:I73" si="45">$F$64*G43</f>
        <v>0</v>
      </c>
      <c r="H73" s="184">
        <f t="shared" si="45"/>
        <v>0.34892905489775067</v>
      </c>
      <c r="I73" s="184">
        <f t="shared" si="45"/>
        <v>0.84739882452186477</v>
      </c>
      <c r="J73" s="9">
        <f t="shared" si="27"/>
        <v>0</v>
      </c>
      <c r="K73" s="26">
        <f t="shared" si="28"/>
        <v>0</v>
      </c>
      <c r="L73" s="26">
        <f t="shared" si="29"/>
        <v>0</v>
      </c>
      <c r="M73" s="26">
        <f t="shared" si="30"/>
        <v>0</v>
      </c>
      <c r="N73" s="26">
        <f t="shared" si="31"/>
        <v>0</v>
      </c>
      <c r="O73" s="26">
        <f t="shared" si="32"/>
        <v>0</v>
      </c>
      <c r="P73" s="26">
        <f t="shared" si="33"/>
        <v>0</v>
      </c>
      <c r="Q73" s="26">
        <f t="shared" si="34"/>
        <v>0</v>
      </c>
      <c r="R73" s="26">
        <f t="shared" si="35"/>
        <v>0</v>
      </c>
    </row>
    <row r="74" spans="1:23" x14ac:dyDescent="0.25">
      <c r="A74" s="13" t="s">
        <v>146</v>
      </c>
      <c r="B74" s="36">
        <f t="shared" ref="B74:E74" si="46">B44</f>
        <v>0</v>
      </c>
      <c r="C74" s="25">
        <f t="shared" si="46"/>
        <v>0</v>
      </c>
      <c r="D74" s="25">
        <f t="shared" si="46"/>
        <v>0</v>
      </c>
      <c r="E74" s="25">
        <f t="shared" si="46"/>
        <v>0</v>
      </c>
      <c r="F74" s="25">
        <f t="shared" si="25"/>
        <v>0</v>
      </c>
      <c r="G74" s="184">
        <f t="shared" ref="G74:I74" si="47">$F$64*G44</f>
        <v>0</v>
      </c>
      <c r="H74" s="184">
        <f t="shared" si="47"/>
        <v>0.67940275773033254</v>
      </c>
      <c r="I74" s="184">
        <f t="shared" si="47"/>
        <v>1.6499781511843612</v>
      </c>
      <c r="J74" s="9">
        <f t="shared" si="27"/>
        <v>0</v>
      </c>
      <c r="K74" s="26">
        <f t="shared" si="28"/>
        <v>0</v>
      </c>
      <c r="L74" s="26">
        <f t="shared" si="29"/>
        <v>0</v>
      </c>
      <c r="M74" s="26">
        <f t="shared" si="30"/>
        <v>0</v>
      </c>
      <c r="N74" s="26">
        <f t="shared" si="31"/>
        <v>0</v>
      </c>
      <c r="O74" s="26">
        <f t="shared" si="32"/>
        <v>0</v>
      </c>
      <c r="P74" s="26">
        <f t="shared" si="33"/>
        <v>0</v>
      </c>
      <c r="Q74" s="26">
        <f t="shared" si="34"/>
        <v>0</v>
      </c>
      <c r="R74" s="26">
        <f t="shared" si="35"/>
        <v>0</v>
      </c>
    </row>
    <row r="75" spans="1:23" x14ac:dyDescent="0.25">
      <c r="A75" s="13" t="s">
        <v>147</v>
      </c>
      <c r="B75" s="36">
        <f t="shared" ref="B75:E75" si="48">B45</f>
        <v>0</v>
      </c>
      <c r="C75" s="25">
        <f t="shared" si="48"/>
        <v>0</v>
      </c>
      <c r="D75" s="25">
        <f t="shared" si="48"/>
        <v>0</v>
      </c>
      <c r="E75" s="25">
        <f t="shared" si="48"/>
        <v>0</v>
      </c>
      <c r="F75" s="25">
        <f t="shared" si="25"/>
        <v>0</v>
      </c>
      <c r="G75" s="184">
        <f t="shared" ref="G75:I75" si="49">$F$64*G45</f>
        <v>0</v>
      </c>
      <c r="H75" s="184">
        <f t="shared" si="49"/>
        <v>0.83969166289626562</v>
      </c>
      <c r="I75" s="184">
        <f t="shared" si="49"/>
        <v>2.0392512027555871</v>
      </c>
      <c r="J75" s="9">
        <f t="shared" si="27"/>
        <v>0</v>
      </c>
      <c r="K75" s="26">
        <f t="shared" si="28"/>
        <v>0</v>
      </c>
      <c r="L75" s="26">
        <f t="shared" si="29"/>
        <v>0</v>
      </c>
      <c r="M75" s="26">
        <f t="shared" si="30"/>
        <v>0</v>
      </c>
      <c r="N75" s="26">
        <f t="shared" si="31"/>
        <v>0</v>
      </c>
      <c r="O75" s="26">
        <f t="shared" si="32"/>
        <v>0</v>
      </c>
      <c r="P75" s="26">
        <f t="shared" si="33"/>
        <v>0</v>
      </c>
      <c r="Q75" s="26">
        <f t="shared" si="34"/>
        <v>0</v>
      </c>
      <c r="R75" s="26">
        <f t="shared" si="35"/>
        <v>0</v>
      </c>
    </row>
    <row r="76" spans="1:23" x14ac:dyDescent="0.25">
      <c r="A76" s="13" t="s">
        <v>148</v>
      </c>
      <c r="B76" s="36">
        <f t="shared" ref="B76:E76" si="50">B46</f>
        <v>0</v>
      </c>
      <c r="C76" s="25">
        <f t="shared" si="50"/>
        <v>0</v>
      </c>
      <c r="D76" s="25">
        <f t="shared" si="50"/>
        <v>0</v>
      </c>
      <c r="E76" s="25">
        <f t="shared" si="50"/>
        <v>0</v>
      </c>
      <c r="F76" s="25">
        <f t="shared" si="25"/>
        <v>0</v>
      </c>
      <c r="G76" s="184">
        <f t="shared" ref="G76:I76" si="51">$F$64*G46</f>
        <v>0</v>
      </c>
      <c r="H76" s="184">
        <f t="shared" si="51"/>
        <v>0.16967345934190187</v>
      </c>
      <c r="I76" s="184">
        <f t="shared" si="51"/>
        <v>0.4120641137256455</v>
      </c>
      <c r="J76" s="9">
        <f t="shared" si="27"/>
        <v>0</v>
      </c>
      <c r="K76" s="26">
        <f t="shared" si="28"/>
        <v>0</v>
      </c>
      <c r="L76" s="26">
        <f t="shared" si="29"/>
        <v>0</v>
      </c>
      <c r="M76" s="26">
        <f t="shared" si="30"/>
        <v>0</v>
      </c>
      <c r="N76" s="26">
        <f t="shared" si="31"/>
        <v>0</v>
      </c>
      <c r="O76" s="26">
        <f t="shared" si="32"/>
        <v>0</v>
      </c>
      <c r="P76" s="26">
        <f t="shared" si="33"/>
        <v>0</v>
      </c>
      <c r="Q76" s="26">
        <f t="shared" si="34"/>
        <v>0</v>
      </c>
      <c r="R76" s="26">
        <f t="shared" si="35"/>
        <v>0</v>
      </c>
    </row>
    <row r="77" spans="1:23" x14ac:dyDescent="0.25">
      <c r="A77" s="13" t="s">
        <v>149</v>
      </c>
      <c r="B77" s="36">
        <f t="shared" ref="B77:E77" si="52">B47</f>
        <v>0</v>
      </c>
      <c r="C77" s="25">
        <f t="shared" si="52"/>
        <v>0</v>
      </c>
      <c r="D77" s="25">
        <f t="shared" si="52"/>
        <v>0</v>
      </c>
      <c r="E77" s="25">
        <f t="shared" si="52"/>
        <v>0</v>
      </c>
      <c r="F77" s="25">
        <f t="shared" si="25"/>
        <v>0</v>
      </c>
      <c r="G77" s="184">
        <f t="shared" ref="G77:I77" si="53">$F$64*G47</f>
        <v>0</v>
      </c>
      <c r="H77" s="184">
        <f t="shared" si="53"/>
        <v>0.26400574184544434</v>
      </c>
      <c r="I77" s="184">
        <f t="shared" si="53"/>
        <v>0.64115692174261807</v>
      </c>
      <c r="J77" s="9">
        <f t="shared" si="27"/>
        <v>0</v>
      </c>
      <c r="K77" s="26">
        <f t="shared" si="28"/>
        <v>0</v>
      </c>
      <c r="L77" s="26">
        <f t="shared" si="29"/>
        <v>0</v>
      </c>
      <c r="M77" s="26">
        <f t="shared" si="30"/>
        <v>0</v>
      </c>
      <c r="N77" s="26">
        <f t="shared" si="31"/>
        <v>0</v>
      </c>
      <c r="O77" s="26">
        <f t="shared" si="32"/>
        <v>0</v>
      </c>
      <c r="P77" s="26">
        <f t="shared" si="33"/>
        <v>0</v>
      </c>
      <c r="Q77" s="26">
        <f t="shared" si="34"/>
        <v>0</v>
      </c>
      <c r="R77" s="26">
        <f t="shared" si="35"/>
        <v>0</v>
      </c>
    </row>
    <row r="78" spans="1:23" x14ac:dyDescent="0.25">
      <c r="A78" s="13" t="s">
        <v>150</v>
      </c>
      <c r="B78" s="36">
        <f t="shared" ref="B78:E78" si="54">B48</f>
        <v>0</v>
      </c>
      <c r="C78" s="25">
        <f t="shared" si="54"/>
        <v>0</v>
      </c>
      <c r="D78" s="25">
        <f t="shared" si="54"/>
        <v>0</v>
      </c>
      <c r="E78" s="25">
        <f t="shared" si="54"/>
        <v>0</v>
      </c>
      <c r="F78" s="25">
        <f t="shared" si="25"/>
        <v>0</v>
      </c>
      <c r="G78" s="184">
        <f t="shared" ref="G78:I78" si="55">$F$64*G48</f>
        <v>0</v>
      </c>
      <c r="H78" s="184">
        <f t="shared" si="55"/>
        <v>0.14944157835942007</v>
      </c>
      <c r="I78" s="184">
        <f t="shared" si="55"/>
        <v>0.36292953898612473</v>
      </c>
      <c r="J78" s="9">
        <f t="shared" si="27"/>
        <v>0</v>
      </c>
      <c r="K78" s="26">
        <f t="shared" si="28"/>
        <v>0</v>
      </c>
      <c r="L78" s="26">
        <f t="shared" si="29"/>
        <v>0</v>
      </c>
      <c r="M78" s="26">
        <f t="shared" si="30"/>
        <v>0</v>
      </c>
      <c r="N78" s="26">
        <f t="shared" si="31"/>
        <v>0</v>
      </c>
      <c r="O78" s="26">
        <f t="shared" si="32"/>
        <v>0</v>
      </c>
      <c r="P78" s="26">
        <f t="shared" si="33"/>
        <v>0</v>
      </c>
      <c r="Q78" s="26">
        <f t="shared" si="34"/>
        <v>0</v>
      </c>
      <c r="R78" s="26">
        <f t="shared" si="35"/>
        <v>0</v>
      </c>
    </row>
    <row r="79" spans="1:23" x14ac:dyDescent="0.25">
      <c r="A79" s="13" t="s">
        <v>151</v>
      </c>
      <c r="B79" s="36">
        <f t="shared" ref="B79:E79" si="56">B49</f>
        <v>0</v>
      </c>
      <c r="C79" s="25">
        <f t="shared" si="56"/>
        <v>0</v>
      </c>
      <c r="D79" s="25">
        <f t="shared" si="56"/>
        <v>0</v>
      </c>
      <c r="E79" s="25">
        <f t="shared" si="56"/>
        <v>0</v>
      </c>
      <c r="F79" s="25">
        <f t="shared" si="25"/>
        <v>0</v>
      </c>
      <c r="G79" s="184">
        <f t="shared" ref="G79:I79" si="57">$F$64*G49</f>
        <v>0</v>
      </c>
      <c r="H79" s="184">
        <f t="shared" si="57"/>
        <v>0.6172938027530267</v>
      </c>
      <c r="I79" s="184">
        <f t="shared" si="57"/>
        <v>1.4991399654145172</v>
      </c>
      <c r="J79" s="9">
        <f t="shared" si="27"/>
        <v>0</v>
      </c>
      <c r="K79" s="26">
        <f t="shared" si="28"/>
        <v>0</v>
      </c>
      <c r="L79" s="26">
        <f t="shared" si="29"/>
        <v>0</v>
      </c>
      <c r="M79" s="26">
        <f t="shared" si="30"/>
        <v>0</v>
      </c>
      <c r="N79" s="26">
        <f t="shared" si="31"/>
        <v>0</v>
      </c>
      <c r="O79" s="26">
        <f t="shared" si="32"/>
        <v>0</v>
      </c>
      <c r="P79" s="26">
        <f t="shared" si="33"/>
        <v>0</v>
      </c>
      <c r="Q79" s="26">
        <f t="shared" si="34"/>
        <v>0</v>
      </c>
      <c r="R79" s="26">
        <f t="shared" si="35"/>
        <v>0</v>
      </c>
    </row>
    <row r="80" spans="1:23" x14ac:dyDescent="0.25">
      <c r="A80" s="13" t="s">
        <v>152</v>
      </c>
      <c r="B80" s="36">
        <f t="shared" ref="B80:E80" si="58">B50</f>
        <v>0</v>
      </c>
      <c r="C80" s="25">
        <f t="shared" si="58"/>
        <v>0</v>
      </c>
      <c r="D80" s="25">
        <f t="shared" si="58"/>
        <v>0</v>
      </c>
      <c r="E80" s="25">
        <f t="shared" si="58"/>
        <v>0</v>
      </c>
      <c r="F80" s="25">
        <f t="shared" si="25"/>
        <v>0</v>
      </c>
      <c r="G80" s="184">
        <f t="shared" ref="G80:I80" si="59">$F$64*G50</f>
        <v>0</v>
      </c>
      <c r="H80" s="184">
        <f t="shared" si="59"/>
        <v>0.23470645995555015</v>
      </c>
      <c r="I80" s="184">
        <f t="shared" si="59"/>
        <v>0.57000081138214942</v>
      </c>
      <c r="J80" s="9">
        <f t="shared" si="27"/>
        <v>0</v>
      </c>
      <c r="K80" s="26">
        <f t="shared" si="28"/>
        <v>0</v>
      </c>
      <c r="L80" s="26">
        <f t="shared" si="29"/>
        <v>0</v>
      </c>
      <c r="M80" s="26">
        <f t="shared" si="30"/>
        <v>0</v>
      </c>
      <c r="N80" s="26">
        <f t="shared" si="31"/>
        <v>0</v>
      </c>
      <c r="O80" s="26">
        <f t="shared" si="32"/>
        <v>0</v>
      </c>
      <c r="P80" s="26">
        <f t="shared" si="33"/>
        <v>0</v>
      </c>
      <c r="Q80" s="26">
        <f t="shared" si="34"/>
        <v>0</v>
      </c>
      <c r="R80" s="26">
        <f t="shared" si="35"/>
        <v>0</v>
      </c>
    </row>
    <row r="81" spans="1:19" x14ac:dyDescent="0.25">
      <c r="A81" s="13" t="s">
        <v>153</v>
      </c>
      <c r="B81" s="36">
        <f t="shared" ref="B81:E81" si="60">B51</f>
        <v>0</v>
      </c>
      <c r="C81" s="25">
        <f t="shared" si="60"/>
        <v>0</v>
      </c>
      <c r="D81" s="25">
        <f t="shared" si="60"/>
        <v>0</v>
      </c>
      <c r="E81" s="25">
        <f t="shared" si="60"/>
        <v>0</v>
      </c>
      <c r="F81" s="25">
        <f t="shared" si="25"/>
        <v>0</v>
      </c>
      <c r="G81" s="184">
        <f t="shared" ref="G81:I81" si="61">$F$64*G51</f>
        <v>0</v>
      </c>
      <c r="H81" s="184">
        <f t="shared" si="61"/>
        <v>1.3065725088392615</v>
      </c>
      <c r="I81" s="184">
        <f t="shared" si="61"/>
        <v>3.1731114554073878</v>
      </c>
      <c r="J81" s="9">
        <f t="shared" si="27"/>
        <v>0</v>
      </c>
      <c r="K81" s="26">
        <f t="shared" si="28"/>
        <v>0</v>
      </c>
      <c r="L81" s="26">
        <f t="shared" si="29"/>
        <v>0</v>
      </c>
      <c r="M81" s="26">
        <f t="shared" si="30"/>
        <v>0</v>
      </c>
      <c r="N81" s="26">
        <f t="shared" si="31"/>
        <v>0</v>
      </c>
      <c r="O81" s="26">
        <f t="shared" si="32"/>
        <v>0</v>
      </c>
      <c r="P81" s="26">
        <f t="shared" si="33"/>
        <v>0</v>
      </c>
      <c r="Q81" s="26">
        <f t="shared" si="34"/>
        <v>0</v>
      </c>
      <c r="R81" s="26">
        <f t="shared" si="35"/>
        <v>0</v>
      </c>
    </row>
    <row r="82" spans="1:19" x14ac:dyDescent="0.25">
      <c r="A82" s="13" t="s">
        <v>154</v>
      </c>
      <c r="B82" s="36">
        <f t="shared" ref="B82:E82" si="62">B52</f>
        <v>0</v>
      </c>
      <c r="C82" s="25">
        <f t="shared" si="62"/>
        <v>0</v>
      </c>
      <c r="D82" s="25">
        <f t="shared" si="62"/>
        <v>0</v>
      </c>
      <c r="E82" s="25">
        <f t="shared" si="62"/>
        <v>0</v>
      </c>
      <c r="F82" s="25">
        <f t="shared" si="25"/>
        <v>0</v>
      </c>
      <c r="G82" s="184">
        <f t="shared" ref="G82:I82" si="63">$F$64*G52</f>
        <v>0</v>
      </c>
      <c r="H82" s="184">
        <f t="shared" si="63"/>
        <v>0.13312058109729544</v>
      </c>
      <c r="I82" s="184">
        <f t="shared" si="63"/>
        <v>0.28103230986729583</v>
      </c>
      <c r="J82" s="9">
        <f t="shared" si="27"/>
        <v>0</v>
      </c>
      <c r="K82" s="26">
        <f t="shared" si="28"/>
        <v>0</v>
      </c>
      <c r="L82" s="26">
        <f t="shared" si="29"/>
        <v>0</v>
      </c>
      <c r="M82" s="26">
        <f t="shared" si="30"/>
        <v>0</v>
      </c>
      <c r="N82" s="26">
        <f t="shared" si="31"/>
        <v>0</v>
      </c>
      <c r="O82" s="26">
        <f t="shared" si="32"/>
        <v>0</v>
      </c>
      <c r="P82" s="26">
        <f t="shared" si="33"/>
        <v>0</v>
      </c>
      <c r="Q82" s="26">
        <f t="shared" si="34"/>
        <v>0</v>
      </c>
      <c r="R82" s="26">
        <f t="shared" si="35"/>
        <v>0</v>
      </c>
    </row>
    <row r="83" spans="1:19" x14ac:dyDescent="0.25">
      <c r="A83" s="13" t="s">
        <v>155</v>
      </c>
      <c r="B83" s="36">
        <f t="shared" ref="B83:E83" si="64">B53</f>
        <v>0</v>
      </c>
      <c r="C83" s="25">
        <f t="shared" si="64"/>
        <v>0</v>
      </c>
      <c r="D83" s="25">
        <f t="shared" si="64"/>
        <v>0</v>
      </c>
      <c r="E83" s="25">
        <f t="shared" si="64"/>
        <v>0</v>
      </c>
      <c r="F83" s="25">
        <f t="shared" si="25"/>
        <v>0</v>
      </c>
      <c r="G83" s="184">
        <f t="shared" ref="G83:I83" si="65">$F$64*G53</f>
        <v>0</v>
      </c>
      <c r="H83" s="184">
        <f t="shared" si="65"/>
        <v>8.6165154868161412E-2</v>
      </c>
      <c r="I83" s="184">
        <f t="shared" si="65"/>
        <v>0.18190420624849321</v>
      </c>
      <c r="J83" s="9">
        <f t="shared" si="27"/>
        <v>0</v>
      </c>
      <c r="K83" s="26">
        <f t="shared" si="28"/>
        <v>0</v>
      </c>
      <c r="L83" s="26">
        <f t="shared" si="29"/>
        <v>0</v>
      </c>
      <c r="M83" s="26">
        <f t="shared" si="30"/>
        <v>0</v>
      </c>
      <c r="N83" s="26">
        <f t="shared" si="31"/>
        <v>0</v>
      </c>
      <c r="O83" s="26">
        <f t="shared" si="32"/>
        <v>0</v>
      </c>
      <c r="P83" s="26">
        <f t="shared" si="33"/>
        <v>0</v>
      </c>
      <c r="Q83" s="26">
        <f t="shared" si="34"/>
        <v>0</v>
      </c>
      <c r="R83" s="26">
        <f t="shared" si="35"/>
        <v>0</v>
      </c>
    </row>
    <row r="84" spans="1:19" x14ac:dyDescent="0.25">
      <c r="A84" s="13" t="s">
        <v>156</v>
      </c>
      <c r="B84" s="36">
        <f t="shared" ref="B84:E84" si="66">B54</f>
        <v>0</v>
      </c>
      <c r="C84" s="25">
        <f t="shared" si="66"/>
        <v>0</v>
      </c>
      <c r="D84" s="25">
        <f t="shared" si="66"/>
        <v>0</v>
      </c>
      <c r="E84" s="25">
        <f t="shared" si="66"/>
        <v>0</v>
      </c>
      <c r="F84" s="25">
        <f t="shared" si="25"/>
        <v>0</v>
      </c>
      <c r="G84" s="184">
        <f t="shared" ref="G84:I84" si="67">$F$64*G54</f>
        <v>0</v>
      </c>
      <c r="H84" s="184">
        <f t="shared" si="67"/>
        <v>0.94983742470108967</v>
      </c>
      <c r="I84" s="184">
        <f t="shared" si="67"/>
        <v>2.0052140250551149</v>
      </c>
      <c r="J84" s="9">
        <f t="shared" si="27"/>
        <v>0</v>
      </c>
      <c r="K84" s="26">
        <f t="shared" si="28"/>
        <v>0</v>
      </c>
      <c r="L84" s="26">
        <f t="shared" si="29"/>
        <v>0</v>
      </c>
      <c r="M84" s="26">
        <f t="shared" si="30"/>
        <v>0</v>
      </c>
      <c r="N84" s="26">
        <f t="shared" si="31"/>
        <v>0</v>
      </c>
      <c r="O84" s="26">
        <f t="shared" si="32"/>
        <v>0</v>
      </c>
      <c r="P84" s="26">
        <f t="shared" si="33"/>
        <v>0</v>
      </c>
      <c r="Q84" s="26">
        <f t="shared" si="34"/>
        <v>0</v>
      </c>
      <c r="R84" s="26">
        <f t="shared" si="35"/>
        <v>0</v>
      </c>
    </row>
    <row r="85" spans="1:19" x14ac:dyDescent="0.25">
      <c r="A85" s="13" t="s">
        <v>157</v>
      </c>
      <c r="B85" s="36">
        <f t="shared" ref="B85:E85" si="68">B55</f>
        <v>0</v>
      </c>
      <c r="C85" s="25">
        <f t="shared" si="68"/>
        <v>0</v>
      </c>
      <c r="D85" s="25">
        <f t="shared" si="68"/>
        <v>0</v>
      </c>
      <c r="E85" s="25">
        <f t="shared" si="68"/>
        <v>0</v>
      </c>
      <c r="F85" s="25">
        <f t="shared" si="25"/>
        <v>0</v>
      </c>
      <c r="G85" s="184">
        <f t="shared" ref="G85:I85" si="69">$F$64*G55</f>
        <v>0</v>
      </c>
      <c r="H85" s="184">
        <f t="shared" si="69"/>
        <v>0.75946808499999852</v>
      </c>
      <c r="I85" s="184">
        <f t="shared" si="69"/>
        <v>1.6033222566832948</v>
      </c>
      <c r="J85" s="9">
        <f t="shared" si="27"/>
        <v>0</v>
      </c>
      <c r="K85" s="26">
        <f t="shared" si="28"/>
        <v>0</v>
      </c>
      <c r="L85" s="26">
        <f t="shared" si="29"/>
        <v>0</v>
      </c>
      <c r="M85" s="26">
        <f t="shared" si="30"/>
        <v>0</v>
      </c>
      <c r="N85" s="26">
        <f t="shared" si="31"/>
        <v>0</v>
      </c>
      <c r="O85" s="26">
        <f t="shared" si="32"/>
        <v>0</v>
      </c>
      <c r="P85" s="26">
        <f t="shared" si="33"/>
        <v>0</v>
      </c>
      <c r="Q85" s="26">
        <f t="shared" si="34"/>
        <v>0</v>
      </c>
      <c r="R85" s="26">
        <f t="shared" si="35"/>
        <v>0</v>
      </c>
    </row>
    <row r="86" spans="1:19" x14ac:dyDescent="0.25">
      <c r="A86" s="13" t="s">
        <v>158</v>
      </c>
      <c r="B86" s="36">
        <f t="shared" ref="B86:E86" si="70">B56</f>
        <v>0</v>
      </c>
      <c r="C86" s="25">
        <f t="shared" si="70"/>
        <v>0</v>
      </c>
      <c r="D86" s="25">
        <f t="shared" si="70"/>
        <v>0</v>
      </c>
      <c r="E86" s="25">
        <f t="shared" si="70"/>
        <v>0</v>
      </c>
      <c r="F86" s="25">
        <f t="shared" si="25"/>
        <v>0</v>
      </c>
      <c r="G86" s="184">
        <f t="shared" ref="G86:I86" si="71">$F$64*G56</f>
        <v>0</v>
      </c>
      <c r="H86" s="184">
        <f t="shared" si="71"/>
        <v>1.5243961942264055</v>
      </c>
      <c r="I86" s="184">
        <f t="shared" si="71"/>
        <v>3.2181698613889034</v>
      </c>
      <c r="J86" s="9">
        <f t="shared" si="27"/>
        <v>0</v>
      </c>
      <c r="K86" s="26">
        <f t="shared" si="28"/>
        <v>0</v>
      </c>
      <c r="L86" s="26">
        <f t="shared" si="29"/>
        <v>0</v>
      </c>
      <c r="M86" s="26">
        <f t="shared" si="30"/>
        <v>0</v>
      </c>
      <c r="N86" s="26">
        <f t="shared" si="31"/>
        <v>0</v>
      </c>
      <c r="O86" s="26">
        <f t="shared" si="32"/>
        <v>0</v>
      </c>
      <c r="P86" s="26">
        <f t="shared" si="33"/>
        <v>0</v>
      </c>
      <c r="Q86" s="26">
        <f t="shared" si="34"/>
        <v>0</v>
      </c>
      <c r="R86" s="26">
        <f t="shared" si="35"/>
        <v>0</v>
      </c>
    </row>
    <row r="87" spans="1:19" x14ac:dyDescent="0.25">
      <c r="A87" s="13" t="s">
        <v>159</v>
      </c>
      <c r="B87" s="36">
        <f t="shared" ref="B87:E87" si="72">B57</f>
        <v>0</v>
      </c>
      <c r="C87" s="25">
        <f t="shared" si="72"/>
        <v>0</v>
      </c>
      <c r="D87" s="25">
        <f t="shared" si="72"/>
        <v>0</v>
      </c>
      <c r="E87" s="25">
        <f t="shared" si="72"/>
        <v>0</v>
      </c>
      <c r="F87" s="25">
        <f t="shared" si="25"/>
        <v>0</v>
      </c>
      <c r="G87" s="184">
        <f t="shared" ref="G87:I87" si="73">$F$64*G57</f>
        <v>0</v>
      </c>
      <c r="H87" s="184">
        <f t="shared" si="73"/>
        <v>5.5702124078011749E-2</v>
      </c>
      <c r="I87" s="184">
        <f t="shared" si="73"/>
        <v>0.11759337974552748</v>
      </c>
      <c r="J87" s="9">
        <f t="shared" si="27"/>
        <v>0</v>
      </c>
      <c r="K87" s="26">
        <f t="shared" si="28"/>
        <v>0</v>
      </c>
      <c r="L87" s="26">
        <f t="shared" si="29"/>
        <v>0</v>
      </c>
      <c r="M87" s="26">
        <f t="shared" si="30"/>
        <v>0</v>
      </c>
      <c r="N87" s="26">
        <f t="shared" si="31"/>
        <v>0</v>
      </c>
      <c r="O87" s="26">
        <f t="shared" si="32"/>
        <v>0</v>
      </c>
      <c r="P87" s="26">
        <f t="shared" si="33"/>
        <v>0</v>
      </c>
      <c r="Q87" s="26">
        <f t="shared" si="34"/>
        <v>0</v>
      </c>
      <c r="R87" s="26">
        <f t="shared" si="35"/>
        <v>0</v>
      </c>
    </row>
    <row r="88" spans="1:19" x14ac:dyDescent="0.25">
      <c r="A88" s="13" t="s">
        <v>160</v>
      </c>
      <c r="B88" s="36">
        <f t="shared" ref="B88:E88" si="74">B58</f>
        <v>0</v>
      </c>
      <c r="C88" s="25">
        <f t="shared" si="74"/>
        <v>0</v>
      </c>
      <c r="D88" s="25">
        <f t="shared" si="74"/>
        <v>0</v>
      </c>
      <c r="E88" s="25">
        <f t="shared" si="74"/>
        <v>0</v>
      </c>
      <c r="F88" s="25">
        <f t="shared" si="25"/>
        <v>0</v>
      </c>
      <c r="G88" s="184">
        <f t="shared" ref="G88:I88" si="75">$F$64*G58</f>
        <v>0</v>
      </c>
      <c r="H88" s="184">
        <f t="shared" si="75"/>
        <v>1.4427906402506554</v>
      </c>
      <c r="I88" s="184">
        <f t="shared" si="75"/>
        <v>3.0458915487319542</v>
      </c>
      <c r="J88" s="9">
        <f t="shared" si="27"/>
        <v>0</v>
      </c>
      <c r="K88" s="26">
        <f t="shared" si="28"/>
        <v>0</v>
      </c>
      <c r="L88" s="26">
        <f t="shared" si="29"/>
        <v>0</v>
      </c>
      <c r="M88" s="26">
        <f t="shared" si="30"/>
        <v>0</v>
      </c>
      <c r="N88" s="26">
        <f t="shared" si="31"/>
        <v>0</v>
      </c>
      <c r="O88" s="26">
        <f t="shared" si="32"/>
        <v>0</v>
      </c>
      <c r="P88" s="26">
        <f t="shared" si="33"/>
        <v>0</v>
      </c>
      <c r="Q88" s="26">
        <f t="shared" si="34"/>
        <v>0</v>
      </c>
      <c r="R88" s="26">
        <f t="shared" si="35"/>
        <v>0</v>
      </c>
    </row>
    <row r="89" spans="1:19" x14ac:dyDescent="0.25">
      <c r="A89" s="13" t="s">
        <v>161</v>
      </c>
      <c r="B89" s="36">
        <f t="shared" ref="B89:E89" si="76">B59</f>
        <v>0</v>
      </c>
      <c r="C89" s="25">
        <f t="shared" si="76"/>
        <v>0</v>
      </c>
      <c r="D89" s="25">
        <f t="shared" si="76"/>
        <v>0</v>
      </c>
      <c r="E89" s="25">
        <f t="shared" si="76"/>
        <v>0</v>
      </c>
      <c r="F89" s="25">
        <f t="shared" si="25"/>
        <v>0</v>
      </c>
      <c r="G89" s="184">
        <f t="shared" ref="G89:I89" si="77">$F$64*G59</f>
        <v>0</v>
      </c>
      <c r="H89" s="184">
        <f t="shared" si="77"/>
        <v>2.3759997879042816</v>
      </c>
      <c r="I89" s="184">
        <f t="shared" si="77"/>
        <v>5.0159999609405359</v>
      </c>
      <c r="J89" s="9">
        <f t="shared" si="27"/>
        <v>0</v>
      </c>
      <c r="K89" s="26">
        <f t="shared" si="28"/>
        <v>0</v>
      </c>
      <c r="L89" s="26">
        <f t="shared" si="29"/>
        <v>0</v>
      </c>
      <c r="M89" s="26">
        <f t="shared" si="30"/>
        <v>0</v>
      </c>
      <c r="N89" s="26">
        <f t="shared" si="31"/>
        <v>0</v>
      </c>
      <c r="O89" s="26">
        <f t="shared" si="32"/>
        <v>0</v>
      </c>
      <c r="P89" s="26">
        <f t="shared" si="33"/>
        <v>0</v>
      </c>
      <c r="Q89" s="26">
        <f t="shared" si="34"/>
        <v>0</v>
      </c>
      <c r="R89" s="26">
        <f t="shared" si="35"/>
        <v>0</v>
      </c>
    </row>
    <row r="90" spans="1:19" x14ac:dyDescent="0.25">
      <c r="A90" s="13" t="s">
        <v>162</v>
      </c>
      <c r="B90" s="36">
        <f t="shared" ref="B90:E90" si="78">B60</f>
        <v>0</v>
      </c>
      <c r="C90" s="25">
        <f t="shared" si="78"/>
        <v>0</v>
      </c>
      <c r="D90" s="25">
        <f t="shared" si="78"/>
        <v>0</v>
      </c>
      <c r="E90" s="25">
        <f t="shared" si="78"/>
        <v>0</v>
      </c>
      <c r="F90" s="25">
        <f t="shared" si="25"/>
        <v>0</v>
      </c>
      <c r="G90" s="184">
        <f t="shared" ref="G90:I90" si="79">$F$64*G60</f>
        <v>0</v>
      </c>
      <c r="H90" s="184">
        <f t="shared" si="79"/>
        <v>0.13068785878209277</v>
      </c>
      <c r="I90" s="184">
        <f t="shared" si="79"/>
        <v>0.27589658038774156</v>
      </c>
      <c r="J90" s="9">
        <f t="shared" si="27"/>
        <v>0</v>
      </c>
      <c r="K90" s="26">
        <f t="shared" si="28"/>
        <v>0</v>
      </c>
      <c r="L90" s="26">
        <f t="shared" si="29"/>
        <v>0</v>
      </c>
      <c r="M90" s="26">
        <f t="shared" si="30"/>
        <v>0</v>
      </c>
      <c r="N90" s="26">
        <f t="shared" si="31"/>
        <v>0</v>
      </c>
      <c r="O90" s="26">
        <f t="shared" si="32"/>
        <v>0</v>
      </c>
      <c r="P90" s="26">
        <f t="shared" si="33"/>
        <v>0</v>
      </c>
      <c r="Q90" s="26">
        <f t="shared" si="34"/>
        <v>0</v>
      </c>
      <c r="R90" s="26">
        <f t="shared" si="35"/>
        <v>0</v>
      </c>
    </row>
    <row r="91" spans="1:19" x14ac:dyDescent="0.25">
      <c r="A91" s="1" t="s">
        <v>163</v>
      </c>
      <c r="B91" s="10">
        <f>SUM(B67:B90)</f>
        <v>0</v>
      </c>
      <c r="C91" s="51" t="e">
        <f>SUMPRODUCT($B$67:$B$90,C67:C90)/$B$91</f>
        <v>#DIV/0!</v>
      </c>
      <c r="D91" s="51" t="e">
        <f>SUMPRODUCT($B$67:$B$90,D67:D90)/$B$91</f>
        <v>#DIV/0!</v>
      </c>
      <c r="E91" s="51" t="e">
        <f>SUMPRODUCT($B$67:$B$90,E67:E90)/$B$91</f>
        <v>#DIV/0!</v>
      </c>
      <c r="F91" s="37" t="e">
        <f>SUM(C91:E91)</f>
        <v>#DIV/0!</v>
      </c>
      <c r="G91" s="10" t="e">
        <f>SUMPRODUCT(B67:B90,G67:G90)/E91</f>
        <v>#DIV/0!</v>
      </c>
      <c r="H91" s="10" t="e">
        <f>SUMPRODUCT(B67:B90,H67:H90)/G91</f>
        <v>#DIV/0!</v>
      </c>
      <c r="I91" s="10" t="e">
        <f>SUMPRODUCT(B67:B90,I67:I90)/H91</f>
        <v>#DIV/0!</v>
      </c>
      <c r="J91" s="9" t="e">
        <f>SUMPRODUCT(C91:E91,G91:I91)</f>
        <v>#DIV/0!</v>
      </c>
      <c r="K91" s="10">
        <f>SUM(K67:K90)</f>
        <v>0</v>
      </c>
      <c r="L91" s="10">
        <f>SUM(L67:L90)</f>
        <v>0</v>
      </c>
      <c r="M91" s="10">
        <f t="shared" ref="M91" si="80">SUM(M67:M90)</f>
        <v>0</v>
      </c>
      <c r="N91" s="23">
        <f>SUM(K91:M91)</f>
        <v>0</v>
      </c>
      <c r="O91" s="10">
        <f>SUM(O67:O90)</f>
        <v>0</v>
      </c>
      <c r="P91" s="10">
        <f>SUM(P67:P90)</f>
        <v>0</v>
      </c>
      <c r="Q91" s="10">
        <f>SUM(Q67:Q90)</f>
        <v>0</v>
      </c>
      <c r="R91" s="23">
        <f>SUM(R67:R90)</f>
        <v>0</v>
      </c>
    </row>
    <row r="92" spans="1:19" x14ac:dyDescent="0.25">
      <c r="A92" s="17" t="s">
        <v>8</v>
      </c>
      <c r="C92" s="842" t="e">
        <f>SUM(C91:E91)=100%</f>
        <v>#DIV/0!</v>
      </c>
      <c r="D92" s="842"/>
      <c r="E92" s="842"/>
      <c r="F92" s="6" t="e">
        <f>F91=100%</f>
        <v>#DIV/0!</v>
      </c>
      <c r="N92" s="29" t="b">
        <f>SUM(K91:M91)=N91</f>
        <v>1</v>
      </c>
      <c r="S92" s="39" t="b">
        <f>SUM(O91:Q91)=R91</f>
        <v>1</v>
      </c>
    </row>
    <row r="93" spans="1:19" x14ac:dyDescent="0.25">
      <c r="A93" s="17"/>
      <c r="C93" s="21"/>
      <c r="D93" s="21"/>
      <c r="E93" s="21"/>
    </row>
    <row r="96" spans="1:19" x14ac:dyDescent="0.25">
      <c r="A96" s="3" t="s">
        <v>537</v>
      </c>
    </row>
    <row r="97" spans="1:20" ht="38.450000000000003" customHeight="1" x14ac:dyDescent="0.25">
      <c r="A97" s="59" t="s">
        <v>423</v>
      </c>
    </row>
    <row r="98" spans="1:20" ht="33.6" customHeight="1" x14ac:dyDescent="0.25">
      <c r="A98" s="838" t="s">
        <v>101</v>
      </c>
      <c r="B98" s="814" t="s">
        <v>327</v>
      </c>
      <c r="C98" s="814" t="s">
        <v>328</v>
      </c>
      <c r="D98" s="814"/>
      <c r="E98" s="814"/>
      <c r="F98" s="814"/>
      <c r="G98" s="814" t="s">
        <v>538</v>
      </c>
      <c r="H98" s="814"/>
      <c r="I98" s="814"/>
      <c r="J98" s="814"/>
      <c r="K98" s="814" t="s">
        <v>539</v>
      </c>
      <c r="L98" s="814"/>
      <c r="M98" s="814"/>
      <c r="N98" s="814"/>
      <c r="O98" s="44"/>
      <c r="P98" s="44"/>
      <c r="Q98" s="44"/>
      <c r="R98" s="44"/>
      <c r="S98" s="44"/>
      <c r="T98" s="44"/>
    </row>
    <row r="99" spans="1:20" x14ac:dyDescent="0.25">
      <c r="A99" s="838"/>
      <c r="B99" s="814"/>
      <c r="C99" s="1" t="s">
        <v>331</v>
      </c>
      <c r="D99" s="1" t="s">
        <v>137</v>
      </c>
      <c r="E99" s="1" t="s">
        <v>289</v>
      </c>
      <c r="F99" s="1" t="s">
        <v>120</v>
      </c>
      <c r="G99" s="1" t="s">
        <v>136</v>
      </c>
      <c r="H99" s="1" t="s">
        <v>137</v>
      </c>
      <c r="I99" s="1" t="s">
        <v>289</v>
      </c>
      <c r="J99" s="1" t="s">
        <v>120</v>
      </c>
      <c r="K99" s="1" t="s">
        <v>136</v>
      </c>
      <c r="L99" s="1" t="s">
        <v>137</v>
      </c>
      <c r="M99" s="1" t="s">
        <v>289</v>
      </c>
      <c r="N99" s="1" t="s">
        <v>120</v>
      </c>
    </row>
    <row r="100" spans="1:20" x14ac:dyDescent="0.25">
      <c r="A100" s="13" t="s">
        <v>139</v>
      </c>
      <c r="B100" s="40">
        <v>0</v>
      </c>
      <c r="C100" s="394">
        <f t="shared" ref="C100:E100" si="81">C67</f>
        <v>0</v>
      </c>
      <c r="D100" s="394">
        <f t="shared" si="81"/>
        <v>0</v>
      </c>
      <c r="E100" s="394">
        <f t="shared" si="81"/>
        <v>0</v>
      </c>
      <c r="F100" s="25">
        <f>SUM(C100:E100)</f>
        <v>0</v>
      </c>
      <c r="G100" s="9">
        <f>IFERROR(C100*$B100/(C37*$B37),0)</f>
        <v>0</v>
      </c>
      <c r="H100" s="9">
        <f t="shared" ref="H100:I115" si="82">IFERROR(D100*$B100/(D37*$B37),0)</f>
        <v>0</v>
      </c>
      <c r="I100" s="9">
        <f t="shared" si="82"/>
        <v>0</v>
      </c>
      <c r="J100" s="9">
        <f>SUMPRODUCT(C100:E100,G100:I100)</f>
        <v>0</v>
      </c>
      <c r="K100" s="9">
        <f>($G100-G100)*(C37*$B37)</f>
        <v>0</v>
      </c>
      <c r="L100" s="9">
        <f>($G100-H100)*(D37*$B37)</f>
        <v>0</v>
      </c>
      <c r="M100" s="9">
        <f>($G100-I100)*(E37*$B37)</f>
        <v>0</v>
      </c>
      <c r="N100" s="140">
        <f>'Value-of-fuel-used-under-CT'!X4</f>
        <v>0</v>
      </c>
    </row>
    <row r="101" spans="1:20" x14ac:dyDescent="0.25">
      <c r="A101" s="13" t="s">
        <v>140</v>
      </c>
      <c r="B101" s="40">
        <v>0</v>
      </c>
      <c r="C101" s="394">
        <f t="shared" ref="C101:E101" si="83">C68</f>
        <v>0</v>
      </c>
      <c r="D101" s="394">
        <f t="shared" si="83"/>
        <v>0</v>
      </c>
      <c r="E101" s="394">
        <f t="shared" si="83"/>
        <v>0</v>
      </c>
      <c r="F101" s="25">
        <f t="shared" ref="F101:F123" si="84">SUM(C101:E101)</f>
        <v>0</v>
      </c>
      <c r="G101" s="9">
        <f t="shared" ref="G101:G123" si="85">IFERROR(C101*$B101/(C38*$B38),0)</f>
        <v>0</v>
      </c>
      <c r="H101" s="9" t="e">
        <f t="shared" ref="H101" si="86">D101*$B101/(D38*$B38)</f>
        <v>#DIV/0!</v>
      </c>
      <c r="I101" s="9">
        <f t="shared" si="82"/>
        <v>0</v>
      </c>
      <c r="J101" s="9" t="e">
        <f t="shared" ref="J101:J123" si="87">SUMPRODUCT(C101:E101,G101:I101)</f>
        <v>#DIV/0!</v>
      </c>
      <c r="K101" s="9">
        <f t="shared" ref="K101:M101" si="88">($G101-G101)*(C38*$B38)</f>
        <v>0</v>
      </c>
      <c r="L101" s="9" t="e">
        <f t="shared" si="88"/>
        <v>#DIV/0!</v>
      </c>
      <c r="M101" s="9">
        <f t="shared" si="88"/>
        <v>0</v>
      </c>
      <c r="N101" s="140">
        <f>'Value-of-fuel-used-under-CT'!X5</f>
        <v>0</v>
      </c>
    </row>
    <row r="102" spans="1:20" x14ac:dyDescent="0.25">
      <c r="A102" s="13" t="s">
        <v>141</v>
      </c>
      <c r="B102" s="40">
        <v>0</v>
      </c>
      <c r="C102" s="394">
        <f t="shared" ref="C102:E102" si="89">C69</f>
        <v>0</v>
      </c>
      <c r="D102" s="394">
        <f t="shared" si="89"/>
        <v>0</v>
      </c>
      <c r="E102" s="394">
        <f t="shared" si="89"/>
        <v>0</v>
      </c>
      <c r="F102" s="25">
        <f t="shared" si="84"/>
        <v>0</v>
      </c>
      <c r="G102" s="9">
        <f t="shared" si="85"/>
        <v>0</v>
      </c>
      <c r="H102" s="9" t="e">
        <f t="shared" ref="H102" si="90">D102*$B102/(D39*$B39)</f>
        <v>#DIV/0!</v>
      </c>
      <c r="I102" s="9">
        <f t="shared" si="82"/>
        <v>0</v>
      </c>
      <c r="J102" s="9" t="e">
        <f t="shared" si="87"/>
        <v>#DIV/0!</v>
      </c>
      <c r="K102" s="9">
        <f t="shared" ref="K102:M102" si="91">($G102-G102)*(C39*$B39)</f>
        <v>0</v>
      </c>
      <c r="L102" s="9" t="e">
        <f t="shared" si="91"/>
        <v>#DIV/0!</v>
      </c>
      <c r="M102" s="9">
        <f t="shared" si="91"/>
        <v>0</v>
      </c>
      <c r="N102" s="140">
        <f>'Value-of-fuel-used-under-CT'!X17</f>
        <v>0</v>
      </c>
    </row>
    <row r="103" spans="1:20" x14ac:dyDescent="0.25">
      <c r="A103" s="13" t="s">
        <v>142</v>
      </c>
      <c r="B103" s="40">
        <v>0</v>
      </c>
      <c r="C103" s="394">
        <f t="shared" ref="C103:E103" si="92">C70</f>
        <v>0</v>
      </c>
      <c r="D103" s="394">
        <f t="shared" si="92"/>
        <v>0</v>
      </c>
      <c r="E103" s="394">
        <f t="shared" si="92"/>
        <v>0</v>
      </c>
      <c r="F103" s="25">
        <f t="shared" si="84"/>
        <v>0</v>
      </c>
      <c r="G103" s="9">
        <f t="shared" si="85"/>
        <v>0</v>
      </c>
      <c r="H103" s="9" t="e">
        <f t="shared" ref="H103" si="93">D103*$B103/(D40*$B40)</f>
        <v>#DIV/0!</v>
      </c>
      <c r="I103" s="9">
        <f t="shared" si="82"/>
        <v>0</v>
      </c>
      <c r="J103" s="9" t="e">
        <f t="shared" si="87"/>
        <v>#DIV/0!</v>
      </c>
      <c r="K103" s="9">
        <f t="shared" ref="K103:M103" si="94">($G103-G103)*(C40*$B40)</f>
        <v>0</v>
      </c>
      <c r="L103" s="9" t="e">
        <f t="shared" si="94"/>
        <v>#DIV/0!</v>
      </c>
      <c r="M103" s="9">
        <f t="shared" si="94"/>
        <v>0</v>
      </c>
      <c r="N103" s="140">
        <f>'Value-of-fuel-used-under-CT'!X18</f>
        <v>0</v>
      </c>
    </row>
    <row r="104" spans="1:20" x14ac:dyDescent="0.25">
      <c r="A104" s="13" t="s">
        <v>143</v>
      </c>
      <c r="B104" s="40">
        <v>0</v>
      </c>
      <c r="C104" s="394">
        <f t="shared" ref="C104:E104" si="95">C71</f>
        <v>0</v>
      </c>
      <c r="D104" s="394">
        <f t="shared" si="95"/>
        <v>0</v>
      </c>
      <c r="E104" s="394">
        <f t="shared" si="95"/>
        <v>0</v>
      </c>
      <c r="F104" s="25">
        <f t="shared" si="84"/>
        <v>0</v>
      </c>
      <c r="G104" s="9">
        <f t="shared" si="85"/>
        <v>0</v>
      </c>
      <c r="H104" s="9" t="e">
        <f t="shared" ref="H104" si="96">D104*$B104/(D41*$B41)</f>
        <v>#DIV/0!</v>
      </c>
      <c r="I104" s="9">
        <f t="shared" si="82"/>
        <v>0</v>
      </c>
      <c r="J104" s="9" t="e">
        <f t="shared" si="87"/>
        <v>#DIV/0!</v>
      </c>
      <c r="K104" s="9">
        <f t="shared" ref="K104:M104" si="97">($G104-G104)*(C41*$B41)</f>
        <v>0</v>
      </c>
      <c r="L104" s="9" t="e">
        <f t="shared" si="97"/>
        <v>#DIV/0!</v>
      </c>
      <c r="M104" s="9">
        <f t="shared" si="97"/>
        <v>0</v>
      </c>
      <c r="N104" s="140">
        <f>'Value-of-fuel-used-under-CT'!X19</f>
        <v>0</v>
      </c>
    </row>
    <row r="105" spans="1:20" x14ac:dyDescent="0.25">
      <c r="A105" s="13" t="s">
        <v>144</v>
      </c>
      <c r="B105" s="40">
        <v>0</v>
      </c>
      <c r="C105" s="394">
        <f t="shared" ref="C105:E105" si="98">C72</f>
        <v>0</v>
      </c>
      <c r="D105" s="394">
        <f t="shared" si="98"/>
        <v>0</v>
      </c>
      <c r="E105" s="394">
        <f t="shared" si="98"/>
        <v>0</v>
      </c>
      <c r="F105" s="25">
        <f t="shared" si="84"/>
        <v>0</v>
      </c>
      <c r="G105" s="9">
        <f t="shared" si="85"/>
        <v>0</v>
      </c>
      <c r="H105" s="9" t="e">
        <f t="shared" ref="H105" si="99">D105*$B105/(D42*$B42)</f>
        <v>#DIV/0!</v>
      </c>
      <c r="I105" s="9">
        <f t="shared" si="82"/>
        <v>0</v>
      </c>
      <c r="J105" s="9" t="e">
        <f t="shared" si="87"/>
        <v>#DIV/0!</v>
      </c>
      <c r="K105" s="9">
        <f t="shared" ref="K105:M105" si="100">($G105-G105)*(C42*$B42)</f>
        <v>0</v>
      </c>
      <c r="L105" s="9" t="e">
        <f t="shared" si="100"/>
        <v>#DIV/0!</v>
      </c>
      <c r="M105" s="9">
        <f t="shared" si="100"/>
        <v>0</v>
      </c>
      <c r="N105" s="140">
        <f>'Value-of-fuel-used-under-CT'!X20</f>
        <v>0</v>
      </c>
    </row>
    <row r="106" spans="1:20" x14ac:dyDescent="0.25">
      <c r="A106" s="13" t="s">
        <v>145</v>
      </c>
      <c r="B106" s="40">
        <v>0</v>
      </c>
      <c r="C106" s="394">
        <f t="shared" ref="C106:E106" si="101">C73</f>
        <v>0</v>
      </c>
      <c r="D106" s="394">
        <f t="shared" si="101"/>
        <v>0</v>
      </c>
      <c r="E106" s="394">
        <f t="shared" si="101"/>
        <v>0</v>
      </c>
      <c r="F106" s="25">
        <f t="shared" si="84"/>
        <v>0</v>
      </c>
      <c r="G106" s="9">
        <f t="shared" si="85"/>
        <v>0</v>
      </c>
      <c r="H106" s="9" t="e">
        <f t="shared" ref="H106" si="102">D106*$B106/(D43*$B43)</f>
        <v>#DIV/0!</v>
      </c>
      <c r="I106" s="9">
        <f t="shared" si="82"/>
        <v>0</v>
      </c>
      <c r="J106" s="9" t="e">
        <f t="shared" si="87"/>
        <v>#DIV/0!</v>
      </c>
      <c r="K106" s="9">
        <f t="shared" ref="K106:M106" si="103">($G106-G106)*(C43*$B43)</f>
        <v>0</v>
      </c>
      <c r="L106" s="9" t="e">
        <f t="shared" si="103"/>
        <v>#DIV/0!</v>
      </c>
      <c r="M106" s="9">
        <f t="shared" si="103"/>
        <v>0</v>
      </c>
      <c r="N106" s="140">
        <f>'Value-of-fuel-used-under-CT'!X21</f>
        <v>0</v>
      </c>
    </row>
    <row r="107" spans="1:20" x14ac:dyDescent="0.25">
      <c r="A107" s="13" t="s">
        <v>146</v>
      </c>
      <c r="B107" s="40">
        <v>0</v>
      </c>
      <c r="C107" s="394">
        <f t="shared" ref="C107:E107" si="104">C74</f>
        <v>0</v>
      </c>
      <c r="D107" s="394">
        <f t="shared" si="104"/>
        <v>0</v>
      </c>
      <c r="E107" s="394">
        <f t="shared" si="104"/>
        <v>0</v>
      </c>
      <c r="F107" s="25">
        <f t="shared" si="84"/>
        <v>0</v>
      </c>
      <c r="G107" s="9">
        <f t="shared" si="85"/>
        <v>0</v>
      </c>
      <c r="H107" s="9" t="e">
        <f t="shared" ref="H107" si="105">D107*$B107/(D44*$B44)</f>
        <v>#DIV/0!</v>
      </c>
      <c r="I107" s="9">
        <f t="shared" si="82"/>
        <v>0</v>
      </c>
      <c r="J107" s="9" t="e">
        <f t="shared" si="87"/>
        <v>#DIV/0!</v>
      </c>
      <c r="K107" s="9">
        <f t="shared" ref="K107:M107" si="106">($G107-G107)*(C44*$B44)</f>
        <v>0</v>
      </c>
      <c r="L107" s="9" t="e">
        <f t="shared" si="106"/>
        <v>#DIV/0!</v>
      </c>
      <c r="M107" s="9">
        <f t="shared" si="106"/>
        <v>0</v>
      </c>
      <c r="N107" s="140">
        <f>'Value-of-fuel-used-under-CT'!X22</f>
        <v>0</v>
      </c>
    </row>
    <row r="108" spans="1:20" x14ac:dyDescent="0.25">
      <c r="A108" s="13" t="s">
        <v>147</v>
      </c>
      <c r="B108" s="40">
        <v>0</v>
      </c>
      <c r="C108" s="394">
        <f t="shared" ref="C108:E108" si="107">C75</f>
        <v>0</v>
      </c>
      <c r="D108" s="394">
        <f t="shared" si="107"/>
        <v>0</v>
      </c>
      <c r="E108" s="394">
        <f t="shared" si="107"/>
        <v>0</v>
      </c>
      <c r="F108" s="25">
        <f t="shared" si="84"/>
        <v>0</v>
      </c>
      <c r="G108" s="9">
        <f t="shared" si="85"/>
        <v>0</v>
      </c>
      <c r="H108" s="9" t="e">
        <f t="shared" ref="H108" si="108">D108*$B108/(D45*$B45)</f>
        <v>#DIV/0!</v>
      </c>
      <c r="I108" s="9">
        <f t="shared" si="82"/>
        <v>0</v>
      </c>
      <c r="J108" s="9" t="e">
        <f t="shared" si="87"/>
        <v>#DIV/0!</v>
      </c>
      <c r="K108" s="9">
        <f t="shared" ref="K108:M108" si="109">($G108-G108)*(C45*$B45)</f>
        <v>0</v>
      </c>
      <c r="L108" s="9" t="e">
        <f t="shared" si="109"/>
        <v>#DIV/0!</v>
      </c>
      <c r="M108" s="9">
        <f t="shared" si="109"/>
        <v>0</v>
      </c>
      <c r="N108" s="140">
        <f>'Value-of-fuel-used-under-CT'!X23</f>
        <v>0</v>
      </c>
    </row>
    <row r="109" spans="1:20" x14ac:dyDescent="0.25">
      <c r="A109" s="13" t="s">
        <v>148</v>
      </c>
      <c r="B109" s="40">
        <v>0</v>
      </c>
      <c r="C109" s="394">
        <f t="shared" ref="C109:E109" si="110">C76</f>
        <v>0</v>
      </c>
      <c r="D109" s="394">
        <f t="shared" si="110"/>
        <v>0</v>
      </c>
      <c r="E109" s="394">
        <f t="shared" si="110"/>
        <v>0</v>
      </c>
      <c r="F109" s="25">
        <f t="shared" si="84"/>
        <v>0</v>
      </c>
      <c r="G109" s="9">
        <f t="shared" si="85"/>
        <v>0</v>
      </c>
      <c r="H109" s="9" t="e">
        <f t="shared" ref="H109" si="111">D109*$B109/(D46*$B46)</f>
        <v>#DIV/0!</v>
      </c>
      <c r="I109" s="9">
        <f t="shared" si="82"/>
        <v>0</v>
      </c>
      <c r="J109" s="9" t="e">
        <f t="shared" si="87"/>
        <v>#DIV/0!</v>
      </c>
      <c r="K109" s="9">
        <f t="shared" ref="K109:M109" si="112">($G109-G109)*(C46*$B46)</f>
        <v>0</v>
      </c>
      <c r="L109" s="9" t="e">
        <f t="shared" si="112"/>
        <v>#DIV/0!</v>
      </c>
      <c r="M109" s="9">
        <f t="shared" si="112"/>
        <v>0</v>
      </c>
      <c r="N109" s="140">
        <f>'Value-of-fuel-used-under-CT'!X24</f>
        <v>0</v>
      </c>
    </row>
    <row r="110" spans="1:20" x14ac:dyDescent="0.25">
      <c r="A110" s="13" t="s">
        <v>149</v>
      </c>
      <c r="B110" s="40">
        <v>0</v>
      </c>
      <c r="C110" s="394">
        <f t="shared" ref="C110:E110" si="113">C77</f>
        <v>0</v>
      </c>
      <c r="D110" s="394">
        <f t="shared" si="113"/>
        <v>0</v>
      </c>
      <c r="E110" s="394">
        <f t="shared" si="113"/>
        <v>0</v>
      </c>
      <c r="F110" s="25">
        <f t="shared" si="84"/>
        <v>0</v>
      </c>
      <c r="G110" s="9">
        <f t="shared" si="85"/>
        <v>0</v>
      </c>
      <c r="H110" s="9" t="e">
        <f t="shared" ref="H110" si="114">D110*$B110/(D47*$B47)</f>
        <v>#DIV/0!</v>
      </c>
      <c r="I110" s="9">
        <f t="shared" si="82"/>
        <v>0</v>
      </c>
      <c r="J110" s="9" t="e">
        <f t="shared" si="87"/>
        <v>#DIV/0!</v>
      </c>
      <c r="K110" s="9">
        <f t="shared" ref="K110:M110" si="115">($G110-G110)*(C47*$B47)</f>
        <v>0</v>
      </c>
      <c r="L110" s="9" t="e">
        <f t="shared" si="115"/>
        <v>#DIV/0!</v>
      </c>
      <c r="M110" s="9">
        <f t="shared" si="115"/>
        <v>0</v>
      </c>
      <c r="N110" s="140">
        <f>'Value-of-fuel-used-under-CT'!X25</f>
        <v>0</v>
      </c>
    </row>
    <row r="111" spans="1:20" x14ac:dyDescent="0.25">
      <c r="A111" s="13" t="s">
        <v>150</v>
      </c>
      <c r="B111" s="40">
        <v>0</v>
      </c>
      <c r="C111" s="394">
        <f t="shared" ref="C111:E111" si="116">C78</f>
        <v>0</v>
      </c>
      <c r="D111" s="394">
        <f t="shared" si="116"/>
        <v>0</v>
      </c>
      <c r="E111" s="394">
        <f t="shared" si="116"/>
        <v>0</v>
      </c>
      <c r="F111" s="25">
        <f t="shared" si="84"/>
        <v>0</v>
      </c>
      <c r="G111" s="9">
        <f t="shared" si="85"/>
        <v>0</v>
      </c>
      <c r="H111" s="9" t="e">
        <f t="shared" ref="H111" si="117">D111*$B111/(D48*$B48)</f>
        <v>#DIV/0!</v>
      </c>
      <c r="I111" s="9">
        <f t="shared" si="82"/>
        <v>0</v>
      </c>
      <c r="J111" s="9" t="e">
        <f t="shared" si="87"/>
        <v>#DIV/0!</v>
      </c>
      <c r="K111" s="9">
        <f t="shared" ref="K111:M111" si="118">($G111-G111)*(C48*$B48)</f>
        <v>0</v>
      </c>
      <c r="L111" s="9" t="e">
        <f t="shared" si="118"/>
        <v>#DIV/0!</v>
      </c>
      <c r="M111" s="9">
        <f t="shared" si="118"/>
        <v>0</v>
      </c>
      <c r="N111" s="140">
        <f>'Value-of-fuel-used-under-CT'!X26</f>
        <v>0</v>
      </c>
    </row>
    <row r="112" spans="1:20" x14ac:dyDescent="0.25">
      <c r="A112" s="13" t="s">
        <v>151</v>
      </c>
      <c r="B112" s="40">
        <v>0</v>
      </c>
      <c r="C112" s="394">
        <f t="shared" ref="C112:E112" si="119">C79</f>
        <v>0</v>
      </c>
      <c r="D112" s="394">
        <f t="shared" si="119"/>
        <v>0</v>
      </c>
      <c r="E112" s="394">
        <f t="shared" si="119"/>
        <v>0</v>
      </c>
      <c r="F112" s="25">
        <f t="shared" si="84"/>
        <v>0</v>
      </c>
      <c r="G112" s="9">
        <f t="shared" si="85"/>
        <v>0</v>
      </c>
      <c r="H112" s="9" t="e">
        <f t="shared" ref="H112" si="120">D112*$B112/(D49*$B49)</f>
        <v>#DIV/0!</v>
      </c>
      <c r="I112" s="9">
        <f t="shared" si="82"/>
        <v>0</v>
      </c>
      <c r="J112" s="9" t="e">
        <f t="shared" si="87"/>
        <v>#DIV/0!</v>
      </c>
      <c r="K112" s="9">
        <f t="shared" ref="K112:M112" si="121">($G112-G112)*(C49*$B49)</f>
        <v>0</v>
      </c>
      <c r="L112" s="9" t="e">
        <f t="shared" si="121"/>
        <v>#DIV/0!</v>
      </c>
      <c r="M112" s="9">
        <f t="shared" si="121"/>
        <v>0</v>
      </c>
      <c r="N112" s="140">
        <f>'Value-of-fuel-used-under-CT'!X27</f>
        <v>0</v>
      </c>
    </row>
    <row r="113" spans="1:14" x14ac:dyDescent="0.25">
      <c r="A113" s="13" t="s">
        <v>152</v>
      </c>
      <c r="B113" s="40">
        <v>0</v>
      </c>
      <c r="C113" s="394">
        <f t="shared" ref="C113:E113" si="122">C80</f>
        <v>0</v>
      </c>
      <c r="D113" s="394">
        <f t="shared" si="122"/>
        <v>0</v>
      </c>
      <c r="E113" s="394">
        <f t="shared" si="122"/>
        <v>0</v>
      </c>
      <c r="F113" s="25">
        <f t="shared" si="84"/>
        <v>0</v>
      </c>
      <c r="G113" s="9">
        <f t="shared" si="85"/>
        <v>0</v>
      </c>
      <c r="H113" s="9" t="e">
        <f t="shared" ref="H113" si="123">D113*$B113/(D50*$B50)</f>
        <v>#DIV/0!</v>
      </c>
      <c r="I113" s="9">
        <f t="shared" si="82"/>
        <v>0</v>
      </c>
      <c r="J113" s="9" t="e">
        <f t="shared" si="87"/>
        <v>#DIV/0!</v>
      </c>
      <c r="K113" s="9">
        <f t="shared" ref="K113:M113" si="124">($G113-G113)*(C50*$B50)</f>
        <v>0</v>
      </c>
      <c r="L113" s="9" t="e">
        <f t="shared" si="124"/>
        <v>#DIV/0!</v>
      </c>
      <c r="M113" s="9">
        <f t="shared" si="124"/>
        <v>0</v>
      </c>
      <c r="N113" s="140">
        <f>'Value-of-fuel-used-under-CT'!X28</f>
        <v>0</v>
      </c>
    </row>
    <row r="114" spans="1:14" x14ac:dyDescent="0.25">
      <c r="A114" s="13" t="s">
        <v>153</v>
      </c>
      <c r="B114" s="40">
        <v>0</v>
      </c>
      <c r="C114" s="394">
        <f t="shared" ref="C114:E114" si="125">C81</f>
        <v>0</v>
      </c>
      <c r="D114" s="394">
        <f t="shared" si="125"/>
        <v>0</v>
      </c>
      <c r="E114" s="394">
        <f t="shared" si="125"/>
        <v>0</v>
      </c>
      <c r="F114" s="25">
        <f t="shared" si="84"/>
        <v>0</v>
      </c>
      <c r="G114" s="9">
        <f t="shared" si="85"/>
        <v>0</v>
      </c>
      <c r="H114" s="9" t="e">
        <f t="shared" ref="H114" si="126">D114*$B114/(D51*$B51)</f>
        <v>#DIV/0!</v>
      </c>
      <c r="I114" s="9">
        <f t="shared" si="82"/>
        <v>0</v>
      </c>
      <c r="J114" s="9" t="e">
        <f t="shared" si="87"/>
        <v>#DIV/0!</v>
      </c>
      <c r="K114" s="9">
        <f t="shared" ref="K114:M114" si="127">($G114-G114)*(C51*$B51)</f>
        <v>0</v>
      </c>
      <c r="L114" s="9" t="e">
        <f t="shared" si="127"/>
        <v>#DIV/0!</v>
      </c>
      <c r="M114" s="9">
        <f t="shared" si="127"/>
        <v>0</v>
      </c>
      <c r="N114" s="140">
        <f>'Value-of-fuel-used-under-CT'!R29</f>
        <v>0</v>
      </c>
    </row>
    <row r="115" spans="1:14" x14ac:dyDescent="0.25">
      <c r="A115" s="13" t="s">
        <v>154</v>
      </c>
      <c r="B115" s="40">
        <v>0</v>
      </c>
      <c r="C115" s="394">
        <f t="shared" ref="C115:E115" si="128">C82</f>
        <v>0</v>
      </c>
      <c r="D115" s="394">
        <f t="shared" si="128"/>
        <v>0</v>
      </c>
      <c r="E115" s="394">
        <f t="shared" si="128"/>
        <v>0</v>
      </c>
      <c r="F115" s="25">
        <f t="shared" si="84"/>
        <v>0</v>
      </c>
      <c r="G115" s="9">
        <f t="shared" si="85"/>
        <v>0</v>
      </c>
      <c r="H115" s="9" t="e">
        <f t="shared" ref="H115" si="129">D115*$B115/(D52*$B52)</f>
        <v>#DIV/0!</v>
      </c>
      <c r="I115" s="9">
        <f t="shared" si="82"/>
        <v>0</v>
      </c>
      <c r="J115" s="9" t="e">
        <f t="shared" si="87"/>
        <v>#DIV/0!</v>
      </c>
      <c r="K115" s="9">
        <f t="shared" ref="K115:M115" si="130">($G115-G115)*(C52*$B52)</f>
        <v>0</v>
      </c>
      <c r="L115" s="9" t="e">
        <f t="shared" si="130"/>
        <v>#DIV/0!</v>
      </c>
      <c r="M115" s="9">
        <f t="shared" si="130"/>
        <v>0</v>
      </c>
      <c r="N115" s="140">
        <f>'Value-of-fuel-used-under-CT'!T30</f>
        <v>0</v>
      </c>
    </row>
    <row r="116" spans="1:14" x14ac:dyDescent="0.25">
      <c r="A116" s="13" t="s">
        <v>155</v>
      </c>
      <c r="B116" s="40">
        <v>0</v>
      </c>
      <c r="C116" s="394">
        <f t="shared" ref="C116:E116" si="131">C83</f>
        <v>0</v>
      </c>
      <c r="D116" s="394">
        <f t="shared" si="131"/>
        <v>0</v>
      </c>
      <c r="E116" s="394">
        <f t="shared" si="131"/>
        <v>0</v>
      </c>
      <c r="F116" s="25">
        <f t="shared" si="84"/>
        <v>0</v>
      </c>
      <c r="G116" s="9">
        <f t="shared" si="85"/>
        <v>0</v>
      </c>
      <c r="H116" s="9" t="e">
        <f t="shared" ref="H116" si="132">D116*$B116/(D53*$B53)</f>
        <v>#DIV/0!</v>
      </c>
      <c r="I116" s="9">
        <f t="shared" ref="I116:I123" si="133">IFERROR(E116*$B116/(E53*$B53),0)</f>
        <v>0</v>
      </c>
      <c r="J116" s="9" t="e">
        <f t="shared" si="87"/>
        <v>#DIV/0!</v>
      </c>
      <c r="K116" s="9">
        <f t="shared" ref="K116:M116" si="134">($G116-G116)*(C53*$B53)</f>
        <v>0</v>
      </c>
      <c r="L116" s="9" t="e">
        <f t="shared" si="134"/>
        <v>#DIV/0!</v>
      </c>
      <c r="M116" s="9">
        <f t="shared" si="134"/>
        <v>0</v>
      </c>
      <c r="N116" s="140">
        <f>'Value-of-fuel-used-under-CT'!T31</f>
        <v>0</v>
      </c>
    </row>
    <row r="117" spans="1:14" x14ac:dyDescent="0.25">
      <c r="A117" s="13" t="s">
        <v>156</v>
      </c>
      <c r="B117" s="40">
        <v>0</v>
      </c>
      <c r="C117" s="394">
        <f t="shared" ref="C117:E117" si="135">C84</f>
        <v>0</v>
      </c>
      <c r="D117" s="394">
        <f t="shared" si="135"/>
        <v>0</v>
      </c>
      <c r="E117" s="394">
        <f t="shared" si="135"/>
        <v>0</v>
      </c>
      <c r="F117" s="25">
        <f t="shared" si="84"/>
        <v>0</v>
      </c>
      <c r="G117" s="9">
        <f t="shared" si="85"/>
        <v>0</v>
      </c>
      <c r="H117" s="9" t="e">
        <f t="shared" ref="H117" si="136">D117*$B117/(D54*$B54)</f>
        <v>#DIV/0!</v>
      </c>
      <c r="I117" s="9">
        <f t="shared" si="133"/>
        <v>0</v>
      </c>
      <c r="J117" s="9" t="e">
        <f t="shared" si="87"/>
        <v>#DIV/0!</v>
      </c>
      <c r="K117" s="9">
        <f t="shared" ref="K117:M117" si="137">($G117-G117)*(C54*$B54)</f>
        <v>0</v>
      </c>
      <c r="L117" s="9" t="e">
        <f t="shared" si="137"/>
        <v>#DIV/0!</v>
      </c>
      <c r="M117" s="9">
        <f t="shared" si="137"/>
        <v>0</v>
      </c>
      <c r="N117" s="140">
        <f>'Value-of-fuel-used-under-CT'!T32</f>
        <v>0</v>
      </c>
    </row>
    <row r="118" spans="1:14" x14ac:dyDescent="0.25">
      <c r="A118" s="13" t="s">
        <v>157</v>
      </c>
      <c r="B118" s="40">
        <v>0</v>
      </c>
      <c r="C118" s="394">
        <f t="shared" ref="C118:E118" si="138">C85</f>
        <v>0</v>
      </c>
      <c r="D118" s="394">
        <f t="shared" si="138"/>
        <v>0</v>
      </c>
      <c r="E118" s="394">
        <f t="shared" si="138"/>
        <v>0</v>
      </c>
      <c r="F118" s="25">
        <f t="shared" si="84"/>
        <v>0</v>
      </c>
      <c r="G118" s="9">
        <f t="shared" si="85"/>
        <v>0</v>
      </c>
      <c r="H118" s="9" t="e">
        <f t="shared" ref="H118" si="139">D118*$B118/(D55*$B55)</f>
        <v>#DIV/0!</v>
      </c>
      <c r="I118" s="9">
        <f t="shared" si="133"/>
        <v>0</v>
      </c>
      <c r="J118" s="9" t="e">
        <f t="shared" si="87"/>
        <v>#DIV/0!</v>
      </c>
      <c r="K118" s="9">
        <f t="shared" ref="K118:M118" si="140">($G118-G118)*(C55*$B55)</f>
        <v>0</v>
      </c>
      <c r="L118" s="9" t="e">
        <f t="shared" si="140"/>
        <v>#DIV/0!</v>
      </c>
      <c r="M118" s="9">
        <f t="shared" si="140"/>
        <v>0</v>
      </c>
      <c r="N118" s="140">
        <f>'Value-of-fuel-used-under-CT'!T33</f>
        <v>0</v>
      </c>
    </row>
    <row r="119" spans="1:14" x14ac:dyDescent="0.25">
      <c r="A119" s="13" t="s">
        <v>158</v>
      </c>
      <c r="B119" s="40">
        <v>0</v>
      </c>
      <c r="C119" s="394">
        <f t="shared" ref="C119:E119" si="141">C86</f>
        <v>0</v>
      </c>
      <c r="D119" s="394">
        <f t="shared" si="141"/>
        <v>0</v>
      </c>
      <c r="E119" s="394">
        <f t="shared" si="141"/>
        <v>0</v>
      </c>
      <c r="F119" s="25">
        <f t="shared" si="84"/>
        <v>0</v>
      </c>
      <c r="G119" s="9">
        <f t="shared" si="85"/>
        <v>0</v>
      </c>
      <c r="H119" s="9" t="e">
        <f t="shared" ref="H119" si="142">D119*$B119/(D56*$B56)</f>
        <v>#DIV/0!</v>
      </c>
      <c r="I119" s="9">
        <f t="shared" si="133"/>
        <v>0</v>
      </c>
      <c r="J119" s="9" t="e">
        <f t="shared" si="87"/>
        <v>#DIV/0!</v>
      </c>
      <c r="K119" s="9">
        <f t="shared" ref="K119:M119" si="143">($G119-G119)*(C56*$B56)</f>
        <v>0</v>
      </c>
      <c r="L119" s="9" t="e">
        <f t="shared" si="143"/>
        <v>#DIV/0!</v>
      </c>
      <c r="M119" s="9">
        <f t="shared" si="143"/>
        <v>0</v>
      </c>
      <c r="N119" s="140">
        <f>'Value-of-fuel-used-under-CT'!T34</f>
        <v>0</v>
      </c>
    </row>
    <row r="120" spans="1:14" x14ac:dyDescent="0.25">
      <c r="A120" s="13" t="s">
        <v>159</v>
      </c>
      <c r="B120" s="40">
        <v>0</v>
      </c>
      <c r="C120" s="394">
        <f t="shared" ref="C120:E120" si="144">C87</f>
        <v>0</v>
      </c>
      <c r="D120" s="394">
        <f t="shared" si="144"/>
        <v>0</v>
      </c>
      <c r="E120" s="394">
        <f t="shared" si="144"/>
        <v>0</v>
      </c>
      <c r="F120" s="25">
        <f t="shared" si="84"/>
        <v>0</v>
      </c>
      <c r="G120" s="9">
        <f t="shared" si="85"/>
        <v>0</v>
      </c>
      <c r="H120" s="9" t="e">
        <f t="shared" ref="H120" si="145">D120*$B120/(D57*$B57)</f>
        <v>#DIV/0!</v>
      </c>
      <c r="I120" s="9">
        <f t="shared" si="133"/>
        <v>0</v>
      </c>
      <c r="J120" s="9" t="e">
        <f t="shared" si="87"/>
        <v>#DIV/0!</v>
      </c>
      <c r="K120" s="9">
        <f t="shared" ref="K120:M120" si="146">($G120-G120)*(C57*$B57)</f>
        <v>0</v>
      </c>
      <c r="L120" s="9" t="e">
        <f t="shared" si="146"/>
        <v>#DIV/0!</v>
      </c>
      <c r="M120" s="9">
        <f t="shared" si="146"/>
        <v>0</v>
      </c>
      <c r="N120" s="140">
        <f>'Value-of-fuel-used-under-CT'!T35</f>
        <v>0</v>
      </c>
    </row>
    <row r="121" spans="1:14" x14ac:dyDescent="0.25">
      <c r="A121" s="13" t="s">
        <v>160</v>
      </c>
      <c r="B121" s="40">
        <v>0</v>
      </c>
      <c r="C121" s="394">
        <f t="shared" ref="C121:E121" si="147">C88</f>
        <v>0</v>
      </c>
      <c r="D121" s="394">
        <f t="shared" si="147"/>
        <v>0</v>
      </c>
      <c r="E121" s="394">
        <f t="shared" si="147"/>
        <v>0</v>
      </c>
      <c r="F121" s="25">
        <f t="shared" si="84"/>
        <v>0</v>
      </c>
      <c r="G121" s="9">
        <f t="shared" si="85"/>
        <v>0</v>
      </c>
      <c r="H121" s="9" t="e">
        <f t="shared" ref="H121" si="148">D121*$B121/(D58*$B58)</f>
        <v>#DIV/0!</v>
      </c>
      <c r="I121" s="9">
        <f t="shared" si="133"/>
        <v>0</v>
      </c>
      <c r="J121" s="9" t="e">
        <f t="shared" si="87"/>
        <v>#DIV/0!</v>
      </c>
      <c r="K121" s="9">
        <f t="shared" ref="K121:M121" si="149">($G121-G121)*(C58*$B58)</f>
        <v>0</v>
      </c>
      <c r="L121" s="9" t="e">
        <f t="shared" si="149"/>
        <v>#DIV/0!</v>
      </c>
      <c r="M121" s="9">
        <f t="shared" si="149"/>
        <v>0</v>
      </c>
      <c r="N121" s="140">
        <f>'Value-of-fuel-used-under-CT'!T36</f>
        <v>0</v>
      </c>
    </row>
    <row r="122" spans="1:14" x14ac:dyDescent="0.25">
      <c r="A122" s="13" t="s">
        <v>161</v>
      </c>
      <c r="B122" s="40">
        <v>0</v>
      </c>
      <c r="C122" s="394">
        <f t="shared" ref="C122:E122" si="150">C89</f>
        <v>0</v>
      </c>
      <c r="D122" s="394">
        <f t="shared" si="150"/>
        <v>0</v>
      </c>
      <c r="E122" s="394">
        <f t="shared" si="150"/>
        <v>0</v>
      </c>
      <c r="F122" s="25">
        <f t="shared" si="84"/>
        <v>0</v>
      </c>
      <c r="G122" s="9">
        <f t="shared" si="85"/>
        <v>0</v>
      </c>
      <c r="H122" s="9" t="e">
        <f t="shared" ref="H122" si="151">D122*$B122/(D59*$B59)</f>
        <v>#DIV/0!</v>
      </c>
      <c r="I122" s="9">
        <f t="shared" si="133"/>
        <v>0</v>
      </c>
      <c r="J122" s="9" t="e">
        <f t="shared" si="87"/>
        <v>#DIV/0!</v>
      </c>
      <c r="K122" s="9">
        <f t="shared" ref="K122:M122" si="152">($G122-G122)*(C59*$B59)</f>
        <v>0</v>
      </c>
      <c r="L122" s="9" t="e">
        <f t="shared" si="152"/>
        <v>#DIV/0!</v>
      </c>
      <c r="M122" s="9">
        <f t="shared" si="152"/>
        <v>0</v>
      </c>
      <c r="N122" s="140">
        <f>'Value-of-fuel-used-under-CT'!T37</f>
        <v>0</v>
      </c>
    </row>
    <row r="123" spans="1:14" x14ac:dyDescent="0.25">
      <c r="A123" s="13" t="s">
        <v>162</v>
      </c>
      <c r="B123" s="40">
        <v>0</v>
      </c>
      <c r="C123" s="394">
        <f t="shared" ref="C123:E123" si="153">C90</f>
        <v>0</v>
      </c>
      <c r="D123" s="394">
        <f t="shared" si="153"/>
        <v>0</v>
      </c>
      <c r="E123" s="394">
        <f t="shared" si="153"/>
        <v>0</v>
      </c>
      <c r="F123" s="25">
        <f t="shared" si="84"/>
        <v>0</v>
      </c>
      <c r="G123" s="9">
        <f t="shared" si="85"/>
        <v>0</v>
      </c>
      <c r="H123" s="9" t="e">
        <f t="shared" ref="H123" si="154">D123*$B123/(D60*$B60)</f>
        <v>#DIV/0!</v>
      </c>
      <c r="I123" s="9">
        <f t="shared" si="133"/>
        <v>0</v>
      </c>
      <c r="J123" s="9" t="e">
        <f t="shared" si="87"/>
        <v>#DIV/0!</v>
      </c>
      <c r="K123" s="9">
        <f t="shared" ref="K123:M123" si="155">($G123-G123)*(C60*$B60)</f>
        <v>0</v>
      </c>
      <c r="L123" s="9" t="e">
        <f t="shared" si="155"/>
        <v>#DIV/0!</v>
      </c>
      <c r="M123" s="9">
        <f t="shared" si="155"/>
        <v>0</v>
      </c>
      <c r="N123" s="140">
        <f>'Value-of-fuel-used-under-CT'!T38</f>
        <v>0</v>
      </c>
    </row>
    <row r="124" spans="1:14" s="1" customFormat="1" x14ac:dyDescent="0.25">
      <c r="A124" s="1" t="s">
        <v>163</v>
      </c>
      <c r="B124" s="10">
        <f>SUM(B100:B123)</f>
        <v>0</v>
      </c>
      <c r="C124" s="10">
        <f>IFERROR(SUMPRODUCT($B$100:$B$123,C100:C123)/$B$124,0)</f>
        <v>0</v>
      </c>
      <c r="D124" s="10">
        <f t="shared" ref="D124:E124" si="156">IFERROR(SUMPRODUCT($B$100:$B$123,D100:D123)/$B$124,0)</f>
        <v>0</v>
      </c>
      <c r="E124" s="10">
        <f t="shared" si="156"/>
        <v>0</v>
      </c>
      <c r="F124" s="10">
        <f>SUM(C124:E124)</f>
        <v>0</v>
      </c>
      <c r="G124" s="10">
        <f>IFERROR(SUMPRODUCT($B$100:$B$123,G100:G123)/$B$124,0)</f>
        <v>0</v>
      </c>
      <c r="H124" s="10">
        <f t="shared" ref="H124:I124" si="157">IFERROR(SUMPRODUCT($B$100:$B$123,H100:H123)/$B$124,0)</f>
        <v>0</v>
      </c>
      <c r="I124" s="10">
        <f t="shared" si="157"/>
        <v>0</v>
      </c>
      <c r="J124" s="10">
        <f>IFERROR(SUMPRODUCT($B$100:$B$123,J100:J123)/$B$124,0)</f>
        <v>0</v>
      </c>
      <c r="K124" s="10">
        <f>SUM(K100:K123)</f>
        <v>0</v>
      </c>
      <c r="L124" s="10" t="e">
        <f t="shared" ref="L124:N124" si="158">SUM(L100:L123)</f>
        <v>#DIV/0!</v>
      </c>
      <c r="M124" s="10">
        <f t="shared" si="158"/>
        <v>0</v>
      </c>
      <c r="N124" s="26">
        <f t="shared" si="158"/>
        <v>0</v>
      </c>
    </row>
    <row r="126" spans="1:14" x14ac:dyDescent="0.25">
      <c r="A126" s="1" t="s">
        <v>332</v>
      </c>
      <c r="D126" s="2"/>
      <c r="E126" s="2"/>
      <c r="H126" s="20" t="s">
        <v>333</v>
      </c>
    </row>
    <row r="127" spans="1:14" ht="18" x14ac:dyDescent="0.35">
      <c r="A127" s="1"/>
      <c r="B127" s="1" t="s">
        <v>334</v>
      </c>
      <c r="D127" s="124">
        <f>44*F127/12</f>
        <v>187</v>
      </c>
      <c r="E127" s="73" t="s">
        <v>335</v>
      </c>
      <c r="F127" s="62">
        <v>51</v>
      </c>
      <c r="G127" t="s">
        <v>96</v>
      </c>
      <c r="H127" s="20" t="s">
        <v>336</v>
      </c>
    </row>
    <row r="128" spans="1:14" x14ac:dyDescent="0.25">
      <c r="A128" s="1"/>
      <c r="B128" s="1" t="s">
        <v>426</v>
      </c>
      <c r="D128" s="703">
        <v>5.7999999999999996E-3</v>
      </c>
      <c r="E128" s="1"/>
      <c r="F128" s="74" t="s">
        <v>338</v>
      </c>
      <c r="H128" s="20" t="s">
        <v>339</v>
      </c>
    </row>
    <row r="129" spans="1:27" x14ac:dyDescent="0.25">
      <c r="A129" s="1"/>
      <c r="B129" s="1" t="s">
        <v>427</v>
      </c>
      <c r="C129" s="1"/>
      <c r="D129" s="5">
        <v>10</v>
      </c>
      <c r="E129" s="1"/>
      <c r="F129" s="63" t="s">
        <v>239</v>
      </c>
      <c r="G129" s="69">
        <f>10000*(D129/100)*D131</f>
        <v>1400</v>
      </c>
      <c r="H129" s="77"/>
      <c r="R129" s="29" t="s">
        <v>342</v>
      </c>
      <c r="S129" s="29"/>
      <c r="T129" s="343">
        <v>0.10482673846153846</v>
      </c>
      <c r="U129" s="29" t="s">
        <v>343</v>
      </c>
    </row>
    <row r="130" spans="1:27" x14ac:dyDescent="0.25">
      <c r="A130" s="1"/>
      <c r="B130" s="1" t="s">
        <v>428</v>
      </c>
      <c r="C130" s="1"/>
      <c r="D130" s="123" t="e">
        <f>G130/G129</f>
        <v>#DIV/0!</v>
      </c>
      <c r="E130" s="1"/>
      <c r="F130" s="63" t="s">
        <v>429</v>
      </c>
      <c r="G130" s="95" t="e">
        <f>'Soil-errosion2'!AQ28</f>
        <v>#DIV/0!</v>
      </c>
      <c r="H130" t="s">
        <v>345</v>
      </c>
      <c r="I130" t="s">
        <v>346</v>
      </c>
      <c r="R130" s="29" t="s">
        <v>347</v>
      </c>
      <c r="S130" s="29"/>
      <c r="T130" s="344">
        <v>719.77</v>
      </c>
      <c r="U130" s="29" t="s">
        <v>348</v>
      </c>
    </row>
    <row r="131" spans="1:27" ht="17.25" x14ac:dyDescent="0.25">
      <c r="A131" s="1"/>
      <c r="B131" s="1" t="s">
        <v>430</v>
      </c>
      <c r="C131" s="1"/>
      <c r="D131" s="5">
        <v>1.4</v>
      </c>
      <c r="E131" s="1"/>
      <c r="F131" t="s">
        <v>350</v>
      </c>
      <c r="G131" s="140" t="e">
        <f>D129*G130/G129</f>
        <v>#DIV/0!</v>
      </c>
      <c r="I131" s="20" t="s">
        <v>351</v>
      </c>
    </row>
    <row r="132" spans="1:27" ht="36" customHeight="1" x14ac:dyDescent="0.25">
      <c r="A132" s="838" t="s">
        <v>101</v>
      </c>
      <c r="B132" s="814" t="s">
        <v>540</v>
      </c>
      <c r="C132" s="814"/>
      <c r="D132" s="814"/>
      <c r="E132" s="814"/>
      <c r="F132" s="814"/>
      <c r="H132" s="76"/>
    </row>
    <row r="133" spans="1:27" ht="57.95" customHeight="1" x14ac:dyDescent="0.25">
      <c r="A133" s="838"/>
      <c r="B133" s="11" t="s">
        <v>353</v>
      </c>
      <c r="C133" s="839" t="s">
        <v>354</v>
      </c>
      <c r="D133" s="839"/>
      <c r="E133" s="839"/>
      <c r="F133" s="839" t="s">
        <v>355</v>
      </c>
      <c r="G133" s="839"/>
      <c r="H133" s="839"/>
      <c r="I133" s="839"/>
      <c r="J133" s="839" t="s">
        <v>356</v>
      </c>
      <c r="K133" s="839"/>
      <c r="L133" s="839"/>
      <c r="M133" s="839"/>
      <c r="N133" s="839" t="s">
        <v>357</v>
      </c>
      <c r="O133" s="839"/>
      <c r="P133" s="839"/>
      <c r="Q133" s="839"/>
      <c r="R133" s="839" t="s">
        <v>358</v>
      </c>
      <c r="S133" s="839" t="s">
        <v>359</v>
      </c>
      <c r="T133" s="839" t="s">
        <v>360</v>
      </c>
      <c r="U133" s="839" t="s">
        <v>361</v>
      </c>
      <c r="V133" s="839" t="s">
        <v>362</v>
      </c>
      <c r="W133" s="839" t="s">
        <v>363</v>
      </c>
      <c r="X133" s="11" t="s">
        <v>364</v>
      </c>
      <c r="Y133" s="11" t="s">
        <v>365</v>
      </c>
      <c r="Z133" s="839" t="s">
        <v>366</v>
      </c>
      <c r="AA133" s="11" t="s">
        <v>367</v>
      </c>
    </row>
    <row r="134" spans="1:27" x14ac:dyDescent="0.25">
      <c r="A134" s="17"/>
      <c r="B134" s="11"/>
      <c r="C134" s="11" t="s">
        <v>234</v>
      </c>
      <c r="D134" s="11" t="s">
        <v>368</v>
      </c>
      <c r="E134" s="11" t="s">
        <v>238</v>
      </c>
      <c r="F134" s="11" t="s">
        <v>234</v>
      </c>
      <c r="G134" s="11" t="s">
        <v>368</v>
      </c>
      <c r="H134" s="11" t="s">
        <v>238</v>
      </c>
      <c r="I134" s="11" t="s">
        <v>120</v>
      </c>
      <c r="J134" s="11" t="s">
        <v>234</v>
      </c>
      <c r="K134" s="11" t="s">
        <v>368</v>
      </c>
      <c r="L134" s="11" t="s">
        <v>238</v>
      </c>
      <c r="M134" s="11" t="s">
        <v>120</v>
      </c>
      <c r="N134" s="11" t="s">
        <v>234</v>
      </c>
      <c r="O134" s="11" t="s">
        <v>368</v>
      </c>
      <c r="P134" s="11" t="s">
        <v>238</v>
      </c>
      <c r="Q134" s="11" t="s">
        <v>120</v>
      </c>
      <c r="R134" s="839"/>
      <c r="S134" s="839"/>
      <c r="T134" s="839"/>
      <c r="U134" s="839"/>
      <c r="V134" s="839"/>
      <c r="W134" s="839"/>
      <c r="X134" s="11"/>
      <c r="Y134" s="11"/>
      <c r="Z134" s="839"/>
    </row>
    <row r="135" spans="1:27" x14ac:dyDescent="0.25">
      <c r="A135" s="13" t="s">
        <v>139</v>
      </c>
      <c r="B135" s="4"/>
      <c r="C135" s="64"/>
      <c r="D135" s="64"/>
      <c r="E135" s="64"/>
      <c r="F135" s="185">
        <f>'Percent-Soil-Carbon-Content'!G4*'Soil-errosion2'!G4</f>
        <v>0</v>
      </c>
      <c r="G135" s="185">
        <f>'Percent-Soil-Carbon-Content'!R4*'Soil-errosion2'!S4</f>
        <v>0</v>
      </c>
      <c r="H135" s="185">
        <f>'Percent-Soil-Carbon-Content'!AC4*'Soil-errosion2'!AE4</f>
        <v>0</v>
      </c>
      <c r="I135" s="95">
        <f>SUMPRODUCT(F135:H135,C37:E37)</f>
        <v>0</v>
      </c>
      <c r="J135" s="185">
        <f>F135</f>
        <v>0</v>
      </c>
      <c r="K135" s="185">
        <f t="shared" ref="K135:L135" si="159">G135</f>
        <v>0</v>
      </c>
      <c r="L135" s="185">
        <f t="shared" si="159"/>
        <v>0</v>
      </c>
      <c r="M135" s="185">
        <f>SUMPRODUCT(J135:L135,C67:E67)</f>
        <v>0</v>
      </c>
      <c r="N135" s="67">
        <f>J135*C37*$B37</f>
        <v>0</v>
      </c>
      <c r="O135" s="67">
        <f>K135*D37*$B37</f>
        <v>0</v>
      </c>
      <c r="P135" s="67">
        <f>L135*E37*$B37</f>
        <v>0</v>
      </c>
      <c r="Q135" s="24">
        <f>SUM(N135:P135)</f>
        <v>0</v>
      </c>
      <c r="R135" s="349">
        <f>'Value-of-fuel-used-under-CT'!G4</f>
        <v>0</v>
      </c>
      <c r="S135" s="350">
        <f>1000*R135*$T$130/1000000</f>
        <v>0</v>
      </c>
      <c r="T135" s="24">
        <f>Q135+S135</f>
        <v>0</v>
      </c>
      <c r="U135" s="24">
        <f>S135*$D$127</f>
        <v>0</v>
      </c>
      <c r="V135" s="24">
        <f>Q135*$D$127</f>
        <v>0</v>
      </c>
      <c r="W135" s="38">
        <f>T135*$D$127</f>
        <v>0</v>
      </c>
      <c r="X135" s="9">
        <v>0</v>
      </c>
      <c r="Y135" s="9">
        <v>0</v>
      </c>
      <c r="Z135" s="38">
        <f t="shared" ref="Z135" si="160">B135+W135+X135+Y135</f>
        <v>0</v>
      </c>
    </row>
    <row r="136" spans="1:27" x14ac:dyDescent="0.25">
      <c r="A136" s="13" t="s">
        <v>140</v>
      </c>
      <c r="B136" s="4"/>
      <c r="C136" s="64"/>
      <c r="D136" s="64"/>
      <c r="E136" s="64"/>
      <c r="F136" s="185">
        <f>'Percent-Soil-Carbon-Content'!G5*'Soil-errosion2'!G5</f>
        <v>0</v>
      </c>
      <c r="G136" s="185">
        <f>'Percent-Soil-Carbon-Content'!R5*'Soil-errosion2'!S5</f>
        <v>0</v>
      </c>
      <c r="H136" s="185">
        <f>'Percent-Soil-Carbon-Content'!AC5*'Soil-errosion2'!AE5</f>
        <v>0</v>
      </c>
      <c r="I136" s="95">
        <f t="shared" ref="I136:I158" si="161">SUMPRODUCT(F136:H136,C38:E38)</f>
        <v>0</v>
      </c>
      <c r="J136" s="185">
        <f t="shared" ref="J136:J158" si="162">F136</f>
        <v>0</v>
      </c>
      <c r="K136" s="185">
        <f t="shared" ref="K136:K158" si="163">G136</f>
        <v>0</v>
      </c>
      <c r="L136" s="185">
        <f t="shared" ref="L136:L158" si="164">H136</f>
        <v>0</v>
      </c>
      <c r="M136" s="185">
        <f t="shared" ref="M136:M158" si="165">SUMPRODUCT(J136:L136,C68:E68)</f>
        <v>0</v>
      </c>
      <c r="N136" s="67">
        <f t="shared" ref="N136:P136" si="166">J136*C38*$B38</f>
        <v>0</v>
      </c>
      <c r="O136" s="67">
        <f t="shared" si="166"/>
        <v>0</v>
      </c>
      <c r="P136" s="67">
        <f t="shared" si="166"/>
        <v>0</v>
      </c>
      <c r="Q136" s="24">
        <f t="shared" ref="Q136:Q158" si="167">SUM(N136:P136)</f>
        <v>0</v>
      </c>
      <c r="R136" s="349">
        <f>'Value-of-fuel-used-under-CT'!G5</f>
        <v>0</v>
      </c>
      <c r="S136" s="350">
        <f t="shared" ref="S136:S158" si="168">1000*R136*$T$130/1000000</f>
        <v>0</v>
      </c>
      <c r="T136" s="24">
        <f t="shared" ref="T136:T158" si="169">Q136+S136</f>
        <v>0</v>
      </c>
      <c r="U136" s="24">
        <f t="shared" ref="U136:U158" si="170">S136*$D$127</f>
        <v>0</v>
      </c>
      <c r="V136" s="24">
        <f t="shared" ref="V136:V158" si="171">Q136*$D$127</f>
        <v>0</v>
      </c>
      <c r="W136" s="38">
        <f t="shared" ref="W136:W158" si="172">T136*$D$127</f>
        <v>0</v>
      </c>
      <c r="X136" s="9">
        <v>0</v>
      </c>
      <c r="Y136" s="9">
        <v>0</v>
      </c>
      <c r="Z136" s="38">
        <f t="shared" ref="Z136:Z158" si="173">B136+W136+X136+Y136</f>
        <v>0</v>
      </c>
    </row>
    <row r="137" spans="1:27" x14ac:dyDescent="0.25">
      <c r="A137" s="13" t="s">
        <v>141</v>
      </c>
      <c r="B137" s="4"/>
      <c r="C137" s="64"/>
      <c r="D137" s="64"/>
      <c r="E137" s="64"/>
      <c r="F137" s="185">
        <f>'Percent-Soil-Carbon-Content'!G6*'Soil-errosion2'!G6</f>
        <v>0</v>
      </c>
      <c r="G137" s="185">
        <f>'Percent-Soil-Carbon-Content'!R6*'Soil-errosion2'!S6</f>
        <v>0</v>
      </c>
      <c r="H137" s="185">
        <f>'Percent-Soil-Carbon-Content'!AC6*'Soil-errosion2'!AE6</f>
        <v>0</v>
      </c>
      <c r="I137" s="95">
        <f t="shared" si="161"/>
        <v>0</v>
      </c>
      <c r="J137" s="185">
        <f t="shared" si="162"/>
        <v>0</v>
      </c>
      <c r="K137" s="185">
        <f t="shared" si="163"/>
        <v>0</v>
      </c>
      <c r="L137" s="185">
        <f t="shared" si="164"/>
        <v>0</v>
      </c>
      <c r="M137" s="185">
        <f t="shared" si="165"/>
        <v>0</v>
      </c>
      <c r="N137" s="67">
        <f t="shared" ref="N137:P137" si="174">J137*C39*$B39</f>
        <v>0</v>
      </c>
      <c r="O137" s="67">
        <f t="shared" si="174"/>
        <v>0</v>
      </c>
      <c r="P137" s="67">
        <f t="shared" si="174"/>
        <v>0</v>
      </c>
      <c r="Q137" s="24">
        <f t="shared" si="167"/>
        <v>0</v>
      </c>
      <c r="R137" s="349">
        <f>'Value-of-fuel-used-under-CT'!G6</f>
        <v>0</v>
      </c>
      <c r="S137" s="350">
        <f t="shared" si="168"/>
        <v>0</v>
      </c>
      <c r="T137" s="24">
        <f t="shared" si="169"/>
        <v>0</v>
      </c>
      <c r="U137" s="24">
        <f t="shared" si="170"/>
        <v>0</v>
      </c>
      <c r="V137" s="24">
        <f t="shared" si="171"/>
        <v>0</v>
      </c>
      <c r="W137" s="38">
        <f t="shared" si="172"/>
        <v>0</v>
      </c>
      <c r="X137" s="9">
        <v>0</v>
      </c>
      <c r="Y137" s="9">
        <v>0</v>
      </c>
      <c r="Z137" s="38">
        <f t="shared" si="173"/>
        <v>0</v>
      </c>
    </row>
    <row r="138" spans="1:27" x14ac:dyDescent="0.25">
      <c r="A138" s="13" t="s">
        <v>142</v>
      </c>
      <c r="B138" s="4"/>
      <c r="C138" s="64"/>
      <c r="D138" s="64"/>
      <c r="E138" s="64"/>
      <c r="F138" s="185">
        <f>'Percent-Soil-Carbon-Content'!G7*'Soil-errosion2'!G7</f>
        <v>0</v>
      </c>
      <c r="G138" s="185">
        <f>'Percent-Soil-Carbon-Content'!R7*'Soil-errosion2'!S7</f>
        <v>0</v>
      </c>
      <c r="H138" s="185">
        <f>'Percent-Soil-Carbon-Content'!AC7*'Soil-errosion2'!AE7</f>
        <v>0</v>
      </c>
      <c r="I138" s="95">
        <f t="shared" si="161"/>
        <v>0</v>
      </c>
      <c r="J138" s="185">
        <f t="shared" si="162"/>
        <v>0</v>
      </c>
      <c r="K138" s="185">
        <f t="shared" si="163"/>
        <v>0</v>
      </c>
      <c r="L138" s="185">
        <f t="shared" si="164"/>
        <v>0</v>
      </c>
      <c r="M138" s="185">
        <f t="shared" si="165"/>
        <v>0</v>
      </c>
      <c r="N138" s="67">
        <f t="shared" ref="N138:P138" si="175">J138*C40*$B40</f>
        <v>0</v>
      </c>
      <c r="O138" s="67">
        <f t="shared" si="175"/>
        <v>0</v>
      </c>
      <c r="P138" s="67">
        <f t="shared" si="175"/>
        <v>0</v>
      </c>
      <c r="Q138" s="24">
        <f t="shared" si="167"/>
        <v>0</v>
      </c>
      <c r="R138" s="349">
        <f>'Value-of-fuel-used-under-CT'!G7</f>
        <v>0</v>
      </c>
      <c r="S138" s="350">
        <f t="shared" si="168"/>
        <v>0</v>
      </c>
      <c r="T138" s="24">
        <f t="shared" si="169"/>
        <v>0</v>
      </c>
      <c r="U138" s="24">
        <f t="shared" si="170"/>
        <v>0</v>
      </c>
      <c r="V138" s="24">
        <f t="shared" si="171"/>
        <v>0</v>
      </c>
      <c r="W138" s="38">
        <f t="shared" si="172"/>
        <v>0</v>
      </c>
      <c r="X138" s="9">
        <v>0</v>
      </c>
      <c r="Y138" s="9">
        <v>0</v>
      </c>
      <c r="Z138" s="38">
        <f t="shared" si="173"/>
        <v>0</v>
      </c>
    </row>
    <row r="139" spans="1:27" x14ac:dyDescent="0.25">
      <c r="A139" s="13" t="s">
        <v>143</v>
      </c>
      <c r="B139" s="4"/>
      <c r="C139" s="64"/>
      <c r="D139" s="64"/>
      <c r="E139" s="64"/>
      <c r="F139" s="185">
        <f>'Percent-Soil-Carbon-Content'!G8*'Soil-errosion2'!G8</f>
        <v>0</v>
      </c>
      <c r="G139" s="185">
        <f>'Percent-Soil-Carbon-Content'!R8*'Soil-errosion2'!S8</f>
        <v>0</v>
      </c>
      <c r="H139" s="185">
        <f>'Percent-Soil-Carbon-Content'!AC8*'Soil-errosion2'!AE8</f>
        <v>0</v>
      </c>
      <c r="I139" s="95">
        <f t="shared" si="161"/>
        <v>0</v>
      </c>
      <c r="J139" s="185">
        <f t="shared" si="162"/>
        <v>0</v>
      </c>
      <c r="K139" s="185">
        <f t="shared" si="163"/>
        <v>0</v>
      </c>
      <c r="L139" s="185">
        <f t="shared" si="164"/>
        <v>0</v>
      </c>
      <c r="M139" s="185">
        <f t="shared" si="165"/>
        <v>0</v>
      </c>
      <c r="N139" s="67">
        <f t="shared" ref="N139:P139" si="176">J139*C41*$B41</f>
        <v>0</v>
      </c>
      <c r="O139" s="67">
        <f t="shared" si="176"/>
        <v>0</v>
      </c>
      <c r="P139" s="67">
        <f t="shared" si="176"/>
        <v>0</v>
      </c>
      <c r="Q139" s="24">
        <f t="shared" si="167"/>
        <v>0</v>
      </c>
      <c r="R139" s="349">
        <f>'Value-of-fuel-used-under-CT'!G8</f>
        <v>0</v>
      </c>
      <c r="S139" s="350">
        <f t="shared" si="168"/>
        <v>0</v>
      </c>
      <c r="T139" s="24">
        <f t="shared" si="169"/>
        <v>0</v>
      </c>
      <c r="U139" s="24">
        <f t="shared" si="170"/>
        <v>0</v>
      </c>
      <c r="V139" s="24">
        <f t="shared" si="171"/>
        <v>0</v>
      </c>
      <c r="W139" s="38">
        <f t="shared" si="172"/>
        <v>0</v>
      </c>
      <c r="X139" s="9">
        <v>0</v>
      </c>
      <c r="Y139" s="9">
        <v>0</v>
      </c>
      <c r="Z139" s="38">
        <f t="shared" si="173"/>
        <v>0</v>
      </c>
    </row>
    <row r="140" spans="1:27" x14ac:dyDescent="0.25">
      <c r="A140" s="13" t="s">
        <v>144</v>
      </c>
      <c r="B140" s="4"/>
      <c r="C140" s="64"/>
      <c r="D140" s="64"/>
      <c r="E140" s="64"/>
      <c r="F140" s="185">
        <f>'Percent-Soil-Carbon-Content'!G9*'Soil-errosion2'!G9</f>
        <v>0</v>
      </c>
      <c r="G140" s="185">
        <f>'Percent-Soil-Carbon-Content'!R9*'Soil-errosion2'!S9</f>
        <v>0</v>
      </c>
      <c r="H140" s="185">
        <f>'Percent-Soil-Carbon-Content'!AC9*'Soil-errosion2'!AE9</f>
        <v>0</v>
      </c>
      <c r="I140" s="95">
        <f t="shared" si="161"/>
        <v>0</v>
      </c>
      <c r="J140" s="185">
        <f t="shared" si="162"/>
        <v>0</v>
      </c>
      <c r="K140" s="185">
        <f t="shared" si="163"/>
        <v>0</v>
      </c>
      <c r="L140" s="185">
        <f t="shared" si="164"/>
        <v>0</v>
      </c>
      <c r="M140" s="185">
        <f t="shared" si="165"/>
        <v>0</v>
      </c>
      <c r="N140" s="67">
        <f t="shared" ref="N140:P140" si="177">J140*C42*$B42</f>
        <v>0</v>
      </c>
      <c r="O140" s="67">
        <f t="shared" si="177"/>
        <v>0</v>
      </c>
      <c r="P140" s="67">
        <f t="shared" si="177"/>
        <v>0</v>
      </c>
      <c r="Q140" s="24">
        <f t="shared" si="167"/>
        <v>0</v>
      </c>
      <c r="R140" s="349">
        <f>'Value-of-fuel-used-under-CT'!G9</f>
        <v>0</v>
      </c>
      <c r="S140" s="350">
        <f t="shared" si="168"/>
        <v>0</v>
      </c>
      <c r="T140" s="24">
        <f t="shared" si="169"/>
        <v>0</v>
      </c>
      <c r="U140" s="24">
        <f t="shared" si="170"/>
        <v>0</v>
      </c>
      <c r="V140" s="24">
        <f t="shared" si="171"/>
        <v>0</v>
      </c>
      <c r="W140" s="38">
        <f t="shared" si="172"/>
        <v>0</v>
      </c>
      <c r="X140" s="9">
        <v>0</v>
      </c>
      <c r="Y140" s="9">
        <v>0</v>
      </c>
      <c r="Z140" s="38">
        <f t="shared" si="173"/>
        <v>0</v>
      </c>
    </row>
    <row r="141" spans="1:27" x14ac:dyDescent="0.25">
      <c r="A141" s="13" t="s">
        <v>145</v>
      </c>
      <c r="B141" s="4"/>
      <c r="C141" s="64"/>
      <c r="D141" s="64"/>
      <c r="E141" s="64"/>
      <c r="F141" s="185">
        <f>'Percent-Soil-Carbon-Content'!G10*'Soil-errosion2'!G10</f>
        <v>0</v>
      </c>
      <c r="G141" s="185">
        <f>'Percent-Soil-Carbon-Content'!R10*'Soil-errosion2'!S10</f>
        <v>0</v>
      </c>
      <c r="H141" s="185">
        <f>'Percent-Soil-Carbon-Content'!AC10*'Soil-errosion2'!AE10</f>
        <v>0</v>
      </c>
      <c r="I141" s="95">
        <f t="shared" si="161"/>
        <v>0</v>
      </c>
      <c r="J141" s="185">
        <f t="shared" si="162"/>
        <v>0</v>
      </c>
      <c r="K141" s="185">
        <f t="shared" si="163"/>
        <v>0</v>
      </c>
      <c r="L141" s="185">
        <f t="shared" si="164"/>
        <v>0</v>
      </c>
      <c r="M141" s="185">
        <f t="shared" si="165"/>
        <v>0</v>
      </c>
      <c r="N141" s="67">
        <f t="shared" ref="N141:P141" si="178">J141*C43*$B43</f>
        <v>0</v>
      </c>
      <c r="O141" s="67">
        <f t="shared" si="178"/>
        <v>0</v>
      </c>
      <c r="P141" s="67">
        <f t="shared" si="178"/>
        <v>0</v>
      </c>
      <c r="Q141" s="24">
        <f t="shared" si="167"/>
        <v>0</v>
      </c>
      <c r="R141" s="349">
        <f>'Value-of-fuel-used-under-CT'!G10</f>
        <v>0</v>
      </c>
      <c r="S141" s="350">
        <f t="shared" si="168"/>
        <v>0</v>
      </c>
      <c r="T141" s="24">
        <f t="shared" si="169"/>
        <v>0</v>
      </c>
      <c r="U141" s="24">
        <f t="shared" si="170"/>
        <v>0</v>
      </c>
      <c r="V141" s="24">
        <f t="shared" si="171"/>
        <v>0</v>
      </c>
      <c r="W141" s="38">
        <f t="shared" si="172"/>
        <v>0</v>
      </c>
      <c r="X141" s="9">
        <v>0</v>
      </c>
      <c r="Y141" s="9">
        <v>0</v>
      </c>
      <c r="Z141" s="38">
        <f t="shared" si="173"/>
        <v>0</v>
      </c>
    </row>
    <row r="142" spans="1:27" x14ac:dyDescent="0.25">
      <c r="A142" s="13" t="s">
        <v>146</v>
      </c>
      <c r="B142" s="4"/>
      <c r="C142" s="64"/>
      <c r="D142" s="64"/>
      <c r="E142" s="64"/>
      <c r="F142" s="185">
        <f>'Percent-Soil-Carbon-Content'!G11*'Soil-errosion2'!G11</f>
        <v>0</v>
      </c>
      <c r="G142" s="185">
        <f>'Percent-Soil-Carbon-Content'!R11*'Soil-errosion2'!S11</f>
        <v>0</v>
      </c>
      <c r="H142" s="185">
        <f>'Percent-Soil-Carbon-Content'!AC11*'Soil-errosion2'!AE11</f>
        <v>0</v>
      </c>
      <c r="I142" s="95">
        <f t="shared" si="161"/>
        <v>0</v>
      </c>
      <c r="J142" s="185">
        <f t="shared" si="162"/>
        <v>0</v>
      </c>
      <c r="K142" s="185">
        <f t="shared" si="163"/>
        <v>0</v>
      </c>
      <c r="L142" s="185">
        <f t="shared" si="164"/>
        <v>0</v>
      </c>
      <c r="M142" s="185">
        <f t="shared" si="165"/>
        <v>0</v>
      </c>
      <c r="N142" s="67">
        <f t="shared" ref="N142:P142" si="179">J142*C44*$B44</f>
        <v>0</v>
      </c>
      <c r="O142" s="67">
        <f t="shared" si="179"/>
        <v>0</v>
      </c>
      <c r="P142" s="67">
        <f t="shared" si="179"/>
        <v>0</v>
      </c>
      <c r="Q142" s="24">
        <f t="shared" si="167"/>
        <v>0</v>
      </c>
      <c r="R142" s="349">
        <f>'Value-of-fuel-used-under-CT'!G11</f>
        <v>0</v>
      </c>
      <c r="S142" s="350">
        <f t="shared" si="168"/>
        <v>0</v>
      </c>
      <c r="T142" s="24">
        <f t="shared" si="169"/>
        <v>0</v>
      </c>
      <c r="U142" s="24">
        <f t="shared" si="170"/>
        <v>0</v>
      </c>
      <c r="V142" s="24">
        <f t="shared" si="171"/>
        <v>0</v>
      </c>
      <c r="W142" s="38">
        <f t="shared" si="172"/>
        <v>0</v>
      </c>
      <c r="X142" s="9">
        <v>0</v>
      </c>
      <c r="Y142" s="9">
        <v>0</v>
      </c>
      <c r="Z142" s="38">
        <f t="shared" si="173"/>
        <v>0</v>
      </c>
    </row>
    <row r="143" spans="1:27" x14ac:dyDescent="0.25">
      <c r="A143" s="13" t="s">
        <v>147</v>
      </c>
      <c r="B143" s="4"/>
      <c r="C143" s="64"/>
      <c r="D143" s="64"/>
      <c r="E143" s="64"/>
      <c r="F143" s="185">
        <f>'Percent-Soil-Carbon-Content'!G12*'Soil-errosion2'!G12</f>
        <v>0</v>
      </c>
      <c r="G143" s="185">
        <f>'Percent-Soil-Carbon-Content'!R12*'Soil-errosion2'!S12</f>
        <v>0</v>
      </c>
      <c r="H143" s="185">
        <f>'Percent-Soil-Carbon-Content'!AC12*'Soil-errosion2'!AE12</f>
        <v>0</v>
      </c>
      <c r="I143" s="95">
        <f t="shared" si="161"/>
        <v>0</v>
      </c>
      <c r="J143" s="185">
        <f t="shared" si="162"/>
        <v>0</v>
      </c>
      <c r="K143" s="185">
        <f t="shared" si="163"/>
        <v>0</v>
      </c>
      <c r="L143" s="185">
        <f t="shared" si="164"/>
        <v>0</v>
      </c>
      <c r="M143" s="185">
        <f t="shared" si="165"/>
        <v>0</v>
      </c>
      <c r="N143" s="67">
        <f t="shared" ref="N143:P143" si="180">J143*C45*$B45</f>
        <v>0</v>
      </c>
      <c r="O143" s="67">
        <f t="shared" si="180"/>
        <v>0</v>
      </c>
      <c r="P143" s="67">
        <f t="shared" si="180"/>
        <v>0</v>
      </c>
      <c r="Q143" s="24">
        <f t="shared" si="167"/>
        <v>0</v>
      </c>
      <c r="R143" s="349">
        <f>'Value-of-fuel-used-under-CT'!G12</f>
        <v>0</v>
      </c>
      <c r="S143" s="350">
        <f t="shared" si="168"/>
        <v>0</v>
      </c>
      <c r="T143" s="24">
        <f t="shared" si="169"/>
        <v>0</v>
      </c>
      <c r="U143" s="24">
        <f t="shared" si="170"/>
        <v>0</v>
      </c>
      <c r="V143" s="24">
        <f t="shared" si="171"/>
        <v>0</v>
      </c>
      <c r="W143" s="38">
        <f t="shared" si="172"/>
        <v>0</v>
      </c>
      <c r="X143" s="9">
        <v>0</v>
      </c>
      <c r="Y143" s="9">
        <v>0</v>
      </c>
      <c r="Z143" s="38">
        <f t="shared" si="173"/>
        <v>0</v>
      </c>
    </row>
    <row r="144" spans="1:27" x14ac:dyDescent="0.25">
      <c r="A144" s="13" t="s">
        <v>148</v>
      </c>
      <c r="B144" s="4"/>
      <c r="C144" s="64"/>
      <c r="D144" s="64"/>
      <c r="E144" s="64"/>
      <c r="F144" s="185">
        <f>'Percent-Soil-Carbon-Content'!G13*'Soil-errosion2'!G13</f>
        <v>0</v>
      </c>
      <c r="G144" s="185">
        <f>'Percent-Soil-Carbon-Content'!R13*'Soil-errosion2'!S13</f>
        <v>0</v>
      </c>
      <c r="H144" s="185">
        <f>'Percent-Soil-Carbon-Content'!AC13*'Soil-errosion2'!AE13</f>
        <v>0</v>
      </c>
      <c r="I144" s="95">
        <f t="shared" si="161"/>
        <v>0</v>
      </c>
      <c r="J144" s="185">
        <f t="shared" si="162"/>
        <v>0</v>
      </c>
      <c r="K144" s="185">
        <f t="shared" si="163"/>
        <v>0</v>
      </c>
      <c r="L144" s="185">
        <f t="shared" si="164"/>
        <v>0</v>
      </c>
      <c r="M144" s="185">
        <f t="shared" si="165"/>
        <v>0</v>
      </c>
      <c r="N144" s="67">
        <f t="shared" ref="N144:P144" si="181">J144*C46*$B46</f>
        <v>0</v>
      </c>
      <c r="O144" s="67">
        <f t="shared" si="181"/>
        <v>0</v>
      </c>
      <c r="P144" s="67">
        <f t="shared" si="181"/>
        <v>0</v>
      </c>
      <c r="Q144" s="24">
        <f t="shared" si="167"/>
        <v>0</v>
      </c>
      <c r="R144" s="349">
        <f>'Value-of-fuel-used-under-CT'!G13</f>
        <v>0</v>
      </c>
      <c r="S144" s="350">
        <f t="shared" si="168"/>
        <v>0</v>
      </c>
      <c r="T144" s="24">
        <f t="shared" si="169"/>
        <v>0</v>
      </c>
      <c r="U144" s="24">
        <f t="shared" si="170"/>
        <v>0</v>
      </c>
      <c r="V144" s="24">
        <f t="shared" si="171"/>
        <v>0</v>
      </c>
      <c r="W144" s="38">
        <f t="shared" si="172"/>
        <v>0</v>
      </c>
      <c r="X144" s="9">
        <v>0</v>
      </c>
      <c r="Y144" s="9">
        <v>0</v>
      </c>
      <c r="Z144" s="38">
        <f t="shared" si="173"/>
        <v>0</v>
      </c>
    </row>
    <row r="145" spans="1:27" x14ac:dyDescent="0.25">
      <c r="A145" s="13" t="s">
        <v>149</v>
      </c>
      <c r="B145" s="4"/>
      <c r="C145" s="64"/>
      <c r="D145" s="64"/>
      <c r="E145" s="64"/>
      <c r="F145" s="185">
        <f>'Percent-Soil-Carbon-Content'!G14*'Soil-errosion2'!G14</f>
        <v>0</v>
      </c>
      <c r="G145" s="185">
        <f>'Percent-Soil-Carbon-Content'!R14*'Soil-errosion2'!S14</f>
        <v>0</v>
      </c>
      <c r="H145" s="185">
        <f>'Percent-Soil-Carbon-Content'!AC14*'Soil-errosion2'!AE14</f>
        <v>0</v>
      </c>
      <c r="I145" s="95">
        <f t="shared" si="161"/>
        <v>0</v>
      </c>
      <c r="J145" s="185">
        <f t="shared" si="162"/>
        <v>0</v>
      </c>
      <c r="K145" s="185">
        <f t="shared" si="163"/>
        <v>0</v>
      </c>
      <c r="L145" s="185">
        <f t="shared" si="164"/>
        <v>0</v>
      </c>
      <c r="M145" s="185">
        <f t="shared" si="165"/>
        <v>0</v>
      </c>
      <c r="N145" s="67">
        <f t="shared" ref="N145:P145" si="182">J145*C47*$B47</f>
        <v>0</v>
      </c>
      <c r="O145" s="67">
        <f t="shared" si="182"/>
        <v>0</v>
      </c>
      <c r="P145" s="67">
        <f t="shared" si="182"/>
        <v>0</v>
      </c>
      <c r="Q145" s="24">
        <f t="shared" si="167"/>
        <v>0</v>
      </c>
      <c r="R145" s="349">
        <f>'Value-of-fuel-used-under-CT'!G14</f>
        <v>0</v>
      </c>
      <c r="S145" s="350">
        <f t="shared" si="168"/>
        <v>0</v>
      </c>
      <c r="T145" s="24">
        <f t="shared" si="169"/>
        <v>0</v>
      </c>
      <c r="U145" s="24">
        <f t="shared" si="170"/>
        <v>0</v>
      </c>
      <c r="V145" s="24">
        <f t="shared" si="171"/>
        <v>0</v>
      </c>
      <c r="W145" s="38">
        <f t="shared" si="172"/>
        <v>0</v>
      </c>
      <c r="X145" s="9">
        <v>0</v>
      </c>
      <c r="Y145" s="9">
        <v>0</v>
      </c>
      <c r="Z145" s="38">
        <f t="shared" si="173"/>
        <v>0</v>
      </c>
    </row>
    <row r="146" spans="1:27" x14ac:dyDescent="0.25">
      <c r="A146" s="13" t="s">
        <v>150</v>
      </c>
      <c r="B146" s="4"/>
      <c r="C146" s="64"/>
      <c r="D146" s="64"/>
      <c r="E146" s="64"/>
      <c r="F146" s="185">
        <f>'Percent-Soil-Carbon-Content'!G15*'Soil-errosion2'!G15</f>
        <v>0</v>
      </c>
      <c r="G146" s="185">
        <f>'Percent-Soil-Carbon-Content'!R15*'Soil-errosion2'!S15</f>
        <v>0</v>
      </c>
      <c r="H146" s="185">
        <f>'Percent-Soil-Carbon-Content'!AC15*'Soil-errosion2'!AE15</f>
        <v>0</v>
      </c>
      <c r="I146" s="95">
        <f t="shared" si="161"/>
        <v>0</v>
      </c>
      <c r="J146" s="185">
        <f t="shared" si="162"/>
        <v>0</v>
      </c>
      <c r="K146" s="185">
        <f t="shared" si="163"/>
        <v>0</v>
      </c>
      <c r="L146" s="185">
        <f t="shared" si="164"/>
        <v>0</v>
      </c>
      <c r="M146" s="185">
        <f t="shared" si="165"/>
        <v>0</v>
      </c>
      <c r="N146" s="67">
        <f t="shared" ref="N146:P146" si="183">J146*C48*$B48</f>
        <v>0</v>
      </c>
      <c r="O146" s="67">
        <f t="shared" si="183"/>
        <v>0</v>
      </c>
      <c r="P146" s="67">
        <f t="shared" si="183"/>
        <v>0</v>
      </c>
      <c r="Q146" s="24">
        <f t="shared" si="167"/>
        <v>0</v>
      </c>
      <c r="R146" s="349">
        <f>'Value-of-fuel-used-under-CT'!G15</f>
        <v>0</v>
      </c>
      <c r="S146" s="350">
        <f t="shared" si="168"/>
        <v>0</v>
      </c>
      <c r="T146" s="24">
        <f t="shared" si="169"/>
        <v>0</v>
      </c>
      <c r="U146" s="24">
        <f t="shared" si="170"/>
        <v>0</v>
      </c>
      <c r="V146" s="24">
        <f t="shared" si="171"/>
        <v>0</v>
      </c>
      <c r="W146" s="38">
        <f t="shared" si="172"/>
        <v>0</v>
      </c>
      <c r="X146" s="9">
        <v>0</v>
      </c>
      <c r="Y146" s="9">
        <v>0</v>
      </c>
      <c r="Z146" s="38">
        <f t="shared" si="173"/>
        <v>0</v>
      </c>
    </row>
    <row r="147" spans="1:27" x14ac:dyDescent="0.25">
      <c r="A147" s="13" t="s">
        <v>151</v>
      </c>
      <c r="B147" s="4"/>
      <c r="C147" s="64"/>
      <c r="D147" s="64"/>
      <c r="E147" s="64"/>
      <c r="F147" s="185">
        <f>'Percent-Soil-Carbon-Content'!G16*'Soil-errosion2'!G16</f>
        <v>0</v>
      </c>
      <c r="G147" s="185">
        <f>'Percent-Soil-Carbon-Content'!R16*'Soil-errosion2'!S16</f>
        <v>0</v>
      </c>
      <c r="H147" s="185">
        <f>'Percent-Soil-Carbon-Content'!AC16*'Soil-errosion2'!AE16</f>
        <v>0</v>
      </c>
      <c r="I147" s="95">
        <f t="shared" si="161"/>
        <v>0</v>
      </c>
      <c r="J147" s="185">
        <f t="shared" si="162"/>
        <v>0</v>
      </c>
      <c r="K147" s="185">
        <f t="shared" si="163"/>
        <v>0</v>
      </c>
      <c r="L147" s="185">
        <f t="shared" si="164"/>
        <v>0</v>
      </c>
      <c r="M147" s="185">
        <f t="shared" si="165"/>
        <v>0</v>
      </c>
      <c r="N147" s="67">
        <f t="shared" ref="N147:P147" si="184">J147*C49*$B49</f>
        <v>0</v>
      </c>
      <c r="O147" s="67">
        <f t="shared" si="184"/>
        <v>0</v>
      </c>
      <c r="P147" s="67">
        <f t="shared" si="184"/>
        <v>0</v>
      </c>
      <c r="Q147" s="24">
        <f t="shared" si="167"/>
        <v>0</v>
      </c>
      <c r="R147" s="349">
        <f>'Value-of-fuel-used-under-CT'!G16</f>
        <v>0</v>
      </c>
      <c r="S147" s="350">
        <f t="shared" si="168"/>
        <v>0</v>
      </c>
      <c r="T147" s="24">
        <f t="shared" si="169"/>
        <v>0</v>
      </c>
      <c r="U147" s="24">
        <f t="shared" si="170"/>
        <v>0</v>
      </c>
      <c r="V147" s="24">
        <f t="shared" si="171"/>
        <v>0</v>
      </c>
      <c r="W147" s="38">
        <f t="shared" si="172"/>
        <v>0</v>
      </c>
      <c r="X147" s="9">
        <v>0</v>
      </c>
      <c r="Y147" s="9">
        <v>0</v>
      </c>
      <c r="Z147" s="38">
        <f t="shared" si="173"/>
        <v>0</v>
      </c>
    </row>
    <row r="148" spans="1:27" x14ac:dyDescent="0.25">
      <c r="A148" s="13" t="s">
        <v>152</v>
      </c>
      <c r="B148" s="4"/>
      <c r="C148" s="64"/>
      <c r="D148" s="64"/>
      <c r="E148" s="64"/>
      <c r="F148" s="185">
        <f>'Percent-Soil-Carbon-Content'!G17*'Soil-errosion2'!G17</f>
        <v>0</v>
      </c>
      <c r="G148" s="185">
        <f>'Percent-Soil-Carbon-Content'!R17*'Soil-errosion2'!S17</f>
        <v>0</v>
      </c>
      <c r="H148" s="185">
        <f>'Percent-Soil-Carbon-Content'!AC17*'Soil-errosion2'!AE17</f>
        <v>0</v>
      </c>
      <c r="I148" s="95">
        <f t="shared" si="161"/>
        <v>0</v>
      </c>
      <c r="J148" s="185">
        <f t="shared" si="162"/>
        <v>0</v>
      </c>
      <c r="K148" s="185">
        <f t="shared" si="163"/>
        <v>0</v>
      </c>
      <c r="L148" s="185">
        <f t="shared" si="164"/>
        <v>0</v>
      </c>
      <c r="M148" s="185">
        <f t="shared" si="165"/>
        <v>0</v>
      </c>
      <c r="N148" s="67">
        <f t="shared" ref="N148:P148" si="185">J148*C50*$B50</f>
        <v>0</v>
      </c>
      <c r="O148" s="67">
        <f t="shared" si="185"/>
        <v>0</v>
      </c>
      <c r="P148" s="67">
        <f t="shared" si="185"/>
        <v>0</v>
      </c>
      <c r="Q148" s="24">
        <f t="shared" si="167"/>
        <v>0</v>
      </c>
      <c r="R148" s="349">
        <f>'Value-of-fuel-used-under-CT'!G17</f>
        <v>0</v>
      </c>
      <c r="S148" s="350">
        <f t="shared" si="168"/>
        <v>0</v>
      </c>
      <c r="T148" s="24">
        <f t="shared" si="169"/>
        <v>0</v>
      </c>
      <c r="U148" s="24">
        <f t="shared" si="170"/>
        <v>0</v>
      </c>
      <c r="V148" s="24">
        <f t="shared" si="171"/>
        <v>0</v>
      </c>
      <c r="W148" s="38">
        <f t="shared" si="172"/>
        <v>0</v>
      </c>
      <c r="X148" s="9">
        <v>0</v>
      </c>
      <c r="Y148" s="9">
        <v>0</v>
      </c>
      <c r="Z148" s="38">
        <f t="shared" si="173"/>
        <v>0</v>
      </c>
    </row>
    <row r="149" spans="1:27" x14ac:dyDescent="0.25">
      <c r="A149" s="13" t="s">
        <v>153</v>
      </c>
      <c r="B149" s="4"/>
      <c r="C149" s="64"/>
      <c r="D149" s="64"/>
      <c r="E149" s="64"/>
      <c r="F149" s="185">
        <f>'Percent-Soil-Carbon-Content'!G18*'Soil-errosion2'!G18</f>
        <v>0</v>
      </c>
      <c r="G149" s="185">
        <f>'Percent-Soil-Carbon-Content'!R18*'Soil-errosion2'!S18</f>
        <v>0</v>
      </c>
      <c r="H149" s="185">
        <f>'Percent-Soil-Carbon-Content'!AC18*'Soil-errosion2'!AE18</f>
        <v>0</v>
      </c>
      <c r="I149" s="95">
        <f t="shared" si="161"/>
        <v>0</v>
      </c>
      <c r="J149" s="185">
        <f t="shared" si="162"/>
        <v>0</v>
      </c>
      <c r="K149" s="185">
        <f t="shared" si="163"/>
        <v>0</v>
      </c>
      <c r="L149" s="185">
        <f t="shared" si="164"/>
        <v>0</v>
      </c>
      <c r="M149" s="185">
        <f t="shared" si="165"/>
        <v>0</v>
      </c>
      <c r="N149" s="67">
        <f t="shared" ref="N149:P149" si="186">J149*C51*$B51</f>
        <v>0</v>
      </c>
      <c r="O149" s="67">
        <f t="shared" si="186"/>
        <v>0</v>
      </c>
      <c r="P149" s="67">
        <f t="shared" si="186"/>
        <v>0</v>
      </c>
      <c r="Q149" s="24">
        <f t="shared" si="167"/>
        <v>0</v>
      </c>
      <c r="R149" s="349">
        <f>'Value-of-fuel-used-under-CT'!G18</f>
        <v>0</v>
      </c>
      <c r="S149" s="350">
        <f t="shared" si="168"/>
        <v>0</v>
      </c>
      <c r="T149" s="24">
        <f t="shared" si="169"/>
        <v>0</v>
      </c>
      <c r="U149" s="24">
        <f t="shared" si="170"/>
        <v>0</v>
      </c>
      <c r="V149" s="24">
        <f t="shared" si="171"/>
        <v>0</v>
      </c>
      <c r="W149" s="38">
        <f t="shared" si="172"/>
        <v>0</v>
      </c>
      <c r="X149" s="9">
        <v>0</v>
      </c>
      <c r="Y149" s="9">
        <v>0</v>
      </c>
      <c r="Z149" s="38">
        <f t="shared" si="173"/>
        <v>0</v>
      </c>
    </row>
    <row r="150" spans="1:27" x14ac:dyDescent="0.25">
      <c r="A150" s="13" t="s">
        <v>154</v>
      </c>
      <c r="B150" s="4"/>
      <c r="C150" s="64"/>
      <c r="D150" s="64"/>
      <c r="E150" s="64"/>
      <c r="F150" s="185">
        <f>'Percent-Soil-Carbon-Content'!G19*'Soil-errosion2'!G19</f>
        <v>0</v>
      </c>
      <c r="G150" s="185">
        <f>'Percent-Soil-Carbon-Content'!R19*'Soil-errosion2'!S19</f>
        <v>0</v>
      </c>
      <c r="H150" s="185">
        <f>'Percent-Soil-Carbon-Content'!AC19*'Soil-errosion2'!AE19</f>
        <v>0</v>
      </c>
      <c r="I150" s="95">
        <f t="shared" si="161"/>
        <v>0</v>
      </c>
      <c r="J150" s="185">
        <f t="shared" si="162"/>
        <v>0</v>
      </c>
      <c r="K150" s="185">
        <f t="shared" si="163"/>
        <v>0</v>
      </c>
      <c r="L150" s="185">
        <f t="shared" si="164"/>
        <v>0</v>
      </c>
      <c r="M150" s="185">
        <f t="shared" si="165"/>
        <v>0</v>
      </c>
      <c r="N150" s="67">
        <f t="shared" ref="N150:P150" si="187">J150*C52*$B52</f>
        <v>0</v>
      </c>
      <c r="O150" s="67">
        <f t="shared" si="187"/>
        <v>0</v>
      </c>
      <c r="P150" s="67">
        <f t="shared" si="187"/>
        <v>0</v>
      </c>
      <c r="Q150" s="24">
        <f t="shared" si="167"/>
        <v>0</v>
      </c>
      <c r="R150" s="349">
        <f>'Value-of-fuel-used-under-CT'!G19</f>
        <v>0</v>
      </c>
      <c r="S150" s="350">
        <f t="shared" si="168"/>
        <v>0</v>
      </c>
      <c r="T150" s="24">
        <f t="shared" si="169"/>
        <v>0</v>
      </c>
      <c r="U150" s="24">
        <f t="shared" si="170"/>
        <v>0</v>
      </c>
      <c r="V150" s="24">
        <f t="shared" si="171"/>
        <v>0</v>
      </c>
      <c r="W150" s="38">
        <f t="shared" si="172"/>
        <v>0</v>
      </c>
      <c r="X150" s="9">
        <v>0</v>
      </c>
      <c r="Y150" s="9">
        <v>0</v>
      </c>
      <c r="Z150" s="38">
        <f t="shared" si="173"/>
        <v>0</v>
      </c>
    </row>
    <row r="151" spans="1:27" x14ac:dyDescent="0.25">
      <c r="A151" s="13" t="s">
        <v>155</v>
      </c>
      <c r="B151" s="4"/>
      <c r="C151" s="64"/>
      <c r="D151" s="64"/>
      <c r="E151" s="64"/>
      <c r="F151" s="185">
        <f>'Percent-Soil-Carbon-Content'!G20*'Soil-errosion2'!G20</f>
        <v>0</v>
      </c>
      <c r="G151" s="185">
        <f>'Percent-Soil-Carbon-Content'!R20*'Soil-errosion2'!S20</f>
        <v>0</v>
      </c>
      <c r="H151" s="185">
        <f>'Percent-Soil-Carbon-Content'!AC20*'Soil-errosion2'!AE20</f>
        <v>0</v>
      </c>
      <c r="I151" s="95">
        <f t="shared" si="161"/>
        <v>0</v>
      </c>
      <c r="J151" s="185">
        <f t="shared" si="162"/>
        <v>0</v>
      </c>
      <c r="K151" s="185">
        <f t="shared" si="163"/>
        <v>0</v>
      </c>
      <c r="L151" s="185">
        <f t="shared" si="164"/>
        <v>0</v>
      </c>
      <c r="M151" s="185">
        <f t="shared" si="165"/>
        <v>0</v>
      </c>
      <c r="N151" s="67">
        <f t="shared" ref="N151:P151" si="188">J151*C53*$B53</f>
        <v>0</v>
      </c>
      <c r="O151" s="67">
        <f t="shared" si="188"/>
        <v>0</v>
      </c>
      <c r="P151" s="67">
        <f t="shared" si="188"/>
        <v>0</v>
      </c>
      <c r="Q151" s="24">
        <f t="shared" si="167"/>
        <v>0</v>
      </c>
      <c r="R151" s="349">
        <f>'Value-of-fuel-used-under-CT'!G20</f>
        <v>0</v>
      </c>
      <c r="S151" s="350">
        <f t="shared" si="168"/>
        <v>0</v>
      </c>
      <c r="T151" s="24">
        <f t="shared" si="169"/>
        <v>0</v>
      </c>
      <c r="U151" s="24">
        <f t="shared" si="170"/>
        <v>0</v>
      </c>
      <c r="V151" s="24">
        <f t="shared" si="171"/>
        <v>0</v>
      </c>
      <c r="W151" s="38">
        <f t="shared" si="172"/>
        <v>0</v>
      </c>
      <c r="X151" s="9">
        <v>0</v>
      </c>
      <c r="Y151" s="9">
        <v>0</v>
      </c>
      <c r="Z151" s="38">
        <f t="shared" si="173"/>
        <v>0</v>
      </c>
    </row>
    <row r="152" spans="1:27" x14ac:dyDescent="0.25">
      <c r="A152" s="13" t="s">
        <v>156</v>
      </c>
      <c r="B152" s="4"/>
      <c r="C152" s="64"/>
      <c r="D152" s="64"/>
      <c r="E152" s="64"/>
      <c r="F152" s="185">
        <f>'Percent-Soil-Carbon-Content'!G21*'Soil-errosion2'!G21</f>
        <v>0</v>
      </c>
      <c r="G152" s="185">
        <f>'Percent-Soil-Carbon-Content'!R21*'Soil-errosion2'!S21</f>
        <v>0</v>
      </c>
      <c r="H152" s="185">
        <f>'Percent-Soil-Carbon-Content'!AC21*'Soil-errosion2'!AE21</f>
        <v>0</v>
      </c>
      <c r="I152" s="95">
        <f t="shared" si="161"/>
        <v>0</v>
      </c>
      <c r="J152" s="185">
        <f t="shared" si="162"/>
        <v>0</v>
      </c>
      <c r="K152" s="185">
        <f t="shared" si="163"/>
        <v>0</v>
      </c>
      <c r="L152" s="185">
        <f t="shared" si="164"/>
        <v>0</v>
      </c>
      <c r="M152" s="185">
        <f t="shared" si="165"/>
        <v>0</v>
      </c>
      <c r="N152" s="67">
        <f t="shared" ref="N152:P152" si="189">J152*C54*$B54</f>
        <v>0</v>
      </c>
      <c r="O152" s="67">
        <f t="shared" si="189"/>
        <v>0</v>
      </c>
      <c r="P152" s="67">
        <f t="shared" si="189"/>
        <v>0</v>
      </c>
      <c r="Q152" s="24">
        <f t="shared" si="167"/>
        <v>0</v>
      </c>
      <c r="R152" s="349">
        <f>'Value-of-fuel-used-under-CT'!G21</f>
        <v>0</v>
      </c>
      <c r="S152" s="350">
        <f t="shared" si="168"/>
        <v>0</v>
      </c>
      <c r="T152" s="24">
        <f t="shared" si="169"/>
        <v>0</v>
      </c>
      <c r="U152" s="24">
        <f t="shared" si="170"/>
        <v>0</v>
      </c>
      <c r="V152" s="24">
        <f t="shared" si="171"/>
        <v>0</v>
      </c>
      <c r="W152" s="38">
        <f t="shared" si="172"/>
        <v>0</v>
      </c>
      <c r="X152" s="9">
        <v>0</v>
      </c>
      <c r="Y152" s="9">
        <v>0</v>
      </c>
      <c r="Z152" s="38">
        <f t="shared" si="173"/>
        <v>0</v>
      </c>
    </row>
    <row r="153" spans="1:27" x14ac:dyDescent="0.25">
      <c r="A153" s="13" t="s">
        <v>157</v>
      </c>
      <c r="B153" s="4"/>
      <c r="C153" s="64"/>
      <c r="D153" s="64"/>
      <c r="E153" s="64"/>
      <c r="F153" s="185">
        <f>'Percent-Soil-Carbon-Content'!G22*'Soil-errosion2'!G22</f>
        <v>0</v>
      </c>
      <c r="G153" s="185">
        <f>'Percent-Soil-Carbon-Content'!R22*'Soil-errosion2'!S22</f>
        <v>0</v>
      </c>
      <c r="H153" s="185">
        <f>'Percent-Soil-Carbon-Content'!AC22*'Soil-errosion2'!AE22</f>
        <v>0</v>
      </c>
      <c r="I153" s="95">
        <f t="shared" si="161"/>
        <v>0</v>
      </c>
      <c r="J153" s="185">
        <f t="shared" si="162"/>
        <v>0</v>
      </c>
      <c r="K153" s="185">
        <f t="shared" si="163"/>
        <v>0</v>
      </c>
      <c r="L153" s="185">
        <f t="shared" si="164"/>
        <v>0</v>
      </c>
      <c r="M153" s="185">
        <f t="shared" si="165"/>
        <v>0</v>
      </c>
      <c r="N153" s="67">
        <f t="shared" ref="N153:P153" si="190">J153*C55*$B55</f>
        <v>0</v>
      </c>
      <c r="O153" s="67">
        <f t="shared" si="190"/>
        <v>0</v>
      </c>
      <c r="P153" s="67">
        <f t="shared" si="190"/>
        <v>0</v>
      </c>
      <c r="Q153" s="24">
        <f t="shared" si="167"/>
        <v>0</v>
      </c>
      <c r="R153" s="349">
        <f>'Value-of-fuel-used-under-CT'!G22</f>
        <v>0</v>
      </c>
      <c r="S153" s="350">
        <f t="shared" si="168"/>
        <v>0</v>
      </c>
      <c r="T153" s="24">
        <f t="shared" si="169"/>
        <v>0</v>
      </c>
      <c r="U153" s="24">
        <f t="shared" si="170"/>
        <v>0</v>
      </c>
      <c r="V153" s="24">
        <f t="shared" si="171"/>
        <v>0</v>
      </c>
      <c r="W153" s="38">
        <f t="shared" si="172"/>
        <v>0</v>
      </c>
      <c r="X153" s="9">
        <v>0</v>
      </c>
      <c r="Y153" s="9">
        <v>0</v>
      </c>
      <c r="Z153" s="38">
        <f t="shared" si="173"/>
        <v>0</v>
      </c>
    </row>
    <row r="154" spans="1:27" x14ac:dyDescent="0.25">
      <c r="A154" s="13" t="s">
        <v>158</v>
      </c>
      <c r="B154" s="4"/>
      <c r="C154" s="64"/>
      <c r="D154" s="64"/>
      <c r="E154" s="64"/>
      <c r="F154" s="185">
        <f>'Percent-Soil-Carbon-Content'!G23*'Soil-errosion2'!G23</f>
        <v>0</v>
      </c>
      <c r="G154" s="185">
        <f>'Percent-Soil-Carbon-Content'!R23*'Soil-errosion2'!S23</f>
        <v>0</v>
      </c>
      <c r="H154" s="185">
        <f>'Percent-Soil-Carbon-Content'!AC23*'Soil-errosion2'!AE23</f>
        <v>0</v>
      </c>
      <c r="I154" s="95">
        <f t="shared" si="161"/>
        <v>0</v>
      </c>
      <c r="J154" s="185">
        <f t="shared" si="162"/>
        <v>0</v>
      </c>
      <c r="K154" s="185">
        <f t="shared" si="163"/>
        <v>0</v>
      </c>
      <c r="L154" s="185">
        <f t="shared" si="164"/>
        <v>0</v>
      </c>
      <c r="M154" s="185">
        <f t="shared" si="165"/>
        <v>0</v>
      </c>
      <c r="N154" s="67">
        <f t="shared" ref="N154:P154" si="191">J154*C56*$B56</f>
        <v>0</v>
      </c>
      <c r="O154" s="67">
        <f t="shared" si="191"/>
        <v>0</v>
      </c>
      <c r="P154" s="67">
        <f t="shared" si="191"/>
        <v>0</v>
      </c>
      <c r="Q154" s="24">
        <f t="shared" si="167"/>
        <v>0</v>
      </c>
      <c r="R154" s="349">
        <f>'Value-of-fuel-used-under-CT'!G23</f>
        <v>0</v>
      </c>
      <c r="S154" s="350">
        <f t="shared" si="168"/>
        <v>0</v>
      </c>
      <c r="T154" s="24">
        <f t="shared" si="169"/>
        <v>0</v>
      </c>
      <c r="U154" s="24">
        <f t="shared" si="170"/>
        <v>0</v>
      </c>
      <c r="V154" s="24">
        <f t="shared" si="171"/>
        <v>0</v>
      </c>
      <c r="W154" s="38">
        <f t="shared" si="172"/>
        <v>0</v>
      </c>
      <c r="X154" s="9">
        <v>0</v>
      </c>
      <c r="Y154" s="9">
        <v>0</v>
      </c>
      <c r="Z154" s="38">
        <f t="shared" si="173"/>
        <v>0</v>
      </c>
    </row>
    <row r="155" spans="1:27" x14ac:dyDescent="0.25">
      <c r="A155" s="13" t="s">
        <v>159</v>
      </c>
      <c r="B155" s="4"/>
      <c r="C155" s="64"/>
      <c r="D155" s="64"/>
      <c r="E155" s="64"/>
      <c r="F155" s="185">
        <f>'Percent-Soil-Carbon-Content'!G24*'Soil-errosion2'!G24</f>
        <v>0</v>
      </c>
      <c r="G155" s="185">
        <f>'Percent-Soil-Carbon-Content'!R24*'Soil-errosion2'!S24</f>
        <v>0</v>
      </c>
      <c r="H155" s="185">
        <f>'Percent-Soil-Carbon-Content'!AC24*'Soil-errosion2'!AE24</f>
        <v>0</v>
      </c>
      <c r="I155" s="95">
        <f t="shared" si="161"/>
        <v>0</v>
      </c>
      <c r="J155" s="185">
        <f t="shared" si="162"/>
        <v>0</v>
      </c>
      <c r="K155" s="185">
        <f t="shared" si="163"/>
        <v>0</v>
      </c>
      <c r="L155" s="185">
        <f t="shared" si="164"/>
        <v>0</v>
      </c>
      <c r="M155" s="185">
        <f t="shared" si="165"/>
        <v>0</v>
      </c>
      <c r="N155" s="67">
        <f t="shared" ref="N155:P155" si="192">J155*C57*$B57</f>
        <v>0</v>
      </c>
      <c r="O155" s="67">
        <f t="shared" si="192"/>
        <v>0</v>
      </c>
      <c r="P155" s="67">
        <f t="shared" si="192"/>
        <v>0</v>
      </c>
      <c r="Q155" s="24">
        <f t="shared" si="167"/>
        <v>0</v>
      </c>
      <c r="R155" s="349">
        <f>'Value-of-fuel-used-under-CT'!G24</f>
        <v>0</v>
      </c>
      <c r="S155" s="350">
        <f t="shared" si="168"/>
        <v>0</v>
      </c>
      <c r="T155" s="24">
        <f t="shared" si="169"/>
        <v>0</v>
      </c>
      <c r="U155" s="24">
        <f t="shared" si="170"/>
        <v>0</v>
      </c>
      <c r="V155" s="24">
        <f t="shared" si="171"/>
        <v>0</v>
      </c>
      <c r="W155" s="38">
        <f t="shared" si="172"/>
        <v>0</v>
      </c>
      <c r="X155" s="9">
        <v>0</v>
      </c>
      <c r="Y155" s="9">
        <v>0</v>
      </c>
      <c r="Z155" s="38">
        <f t="shared" si="173"/>
        <v>0</v>
      </c>
    </row>
    <row r="156" spans="1:27" x14ac:dyDescent="0.25">
      <c r="A156" s="13" t="s">
        <v>160</v>
      </c>
      <c r="B156" s="4"/>
      <c r="C156" s="64"/>
      <c r="D156" s="64"/>
      <c r="E156" s="64"/>
      <c r="F156" s="185">
        <f>'Percent-Soil-Carbon-Content'!G25*'Soil-errosion2'!G25</f>
        <v>0</v>
      </c>
      <c r="G156" s="185">
        <f>'Percent-Soil-Carbon-Content'!R25*'Soil-errosion2'!S25</f>
        <v>0</v>
      </c>
      <c r="H156" s="185">
        <f>'Percent-Soil-Carbon-Content'!AC25*'Soil-errosion2'!AE25</f>
        <v>0</v>
      </c>
      <c r="I156" s="95">
        <f t="shared" si="161"/>
        <v>0</v>
      </c>
      <c r="J156" s="185">
        <f t="shared" si="162"/>
        <v>0</v>
      </c>
      <c r="K156" s="185">
        <f t="shared" si="163"/>
        <v>0</v>
      </c>
      <c r="L156" s="185">
        <f t="shared" si="164"/>
        <v>0</v>
      </c>
      <c r="M156" s="185">
        <f t="shared" si="165"/>
        <v>0</v>
      </c>
      <c r="N156" s="67">
        <f t="shared" ref="N156:P156" si="193">J156*C58*$B58</f>
        <v>0</v>
      </c>
      <c r="O156" s="67">
        <f t="shared" si="193"/>
        <v>0</v>
      </c>
      <c r="P156" s="67">
        <f t="shared" si="193"/>
        <v>0</v>
      </c>
      <c r="Q156" s="24">
        <f t="shared" si="167"/>
        <v>0</v>
      </c>
      <c r="R156" s="349">
        <f>'Value-of-fuel-used-under-CT'!G25</f>
        <v>0</v>
      </c>
      <c r="S156" s="350">
        <f t="shared" si="168"/>
        <v>0</v>
      </c>
      <c r="T156" s="24">
        <f t="shared" si="169"/>
        <v>0</v>
      </c>
      <c r="U156" s="24">
        <f t="shared" si="170"/>
        <v>0</v>
      </c>
      <c r="V156" s="24">
        <f t="shared" si="171"/>
        <v>0</v>
      </c>
      <c r="W156" s="38">
        <f t="shared" si="172"/>
        <v>0</v>
      </c>
      <c r="X156" s="9">
        <v>0</v>
      </c>
      <c r="Y156" s="9">
        <v>0</v>
      </c>
      <c r="Z156" s="38">
        <f t="shared" si="173"/>
        <v>0</v>
      </c>
    </row>
    <row r="157" spans="1:27" x14ac:dyDescent="0.25">
      <c r="A157" s="13" t="s">
        <v>161</v>
      </c>
      <c r="B157" s="4"/>
      <c r="C157" s="64"/>
      <c r="D157" s="64"/>
      <c r="E157" s="64"/>
      <c r="F157" s="185">
        <f>'Percent-Soil-Carbon-Content'!G26*'Soil-errosion2'!G26</f>
        <v>0</v>
      </c>
      <c r="G157" s="185">
        <f>'Percent-Soil-Carbon-Content'!R26*'Soil-errosion2'!S26</f>
        <v>0</v>
      </c>
      <c r="H157" s="185">
        <f>'Percent-Soil-Carbon-Content'!AC26*'Soil-errosion2'!AE26</f>
        <v>0</v>
      </c>
      <c r="I157" s="95">
        <f t="shared" si="161"/>
        <v>0</v>
      </c>
      <c r="J157" s="185">
        <f t="shared" si="162"/>
        <v>0</v>
      </c>
      <c r="K157" s="185">
        <f t="shared" si="163"/>
        <v>0</v>
      </c>
      <c r="L157" s="185">
        <f t="shared" si="164"/>
        <v>0</v>
      </c>
      <c r="M157" s="185">
        <f t="shared" si="165"/>
        <v>0</v>
      </c>
      <c r="N157" s="67">
        <f t="shared" ref="N157:P157" si="194">J157*C59*$B59</f>
        <v>0</v>
      </c>
      <c r="O157" s="67">
        <f t="shared" si="194"/>
        <v>0</v>
      </c>
      <c r="P157" s="67">
        <f t="shared" si="194"/>
        <v>0</v>
      </c>
      <c r="Q157" s="24">
        <f t="shared" si="167"/>
        <v>0</v>
      </c>
      <c r="R157" s="349">
        <f>'Value-of-fuel-used-under-CT'!G26</f>
        <v>0</v>
      </c>
      <c r="S157" s="350">
        <f t="shared" si="168"/>
        <v>0</v>
      </c>
      <c r="T157" s="24">
        <f t="shared" si="169"/>
        <v>0</v>
      </c>
      <c r="U157" s="24">
        <f t="shared" si="170"/>
        <v>0</v>
      </c>
      <c r="V157" s="24">
        <f t="shared" si="171"/>
        <v>0</v>
      </c>
      <c r="W157" s="38">
        <f t="shared" si="172"/>
        <v>0</v>
      </c>
      <c r="X157" s="9">
        <v>0</v>
      </c>
      <c r="Y157" s="9">
        <v>0</v>
      </c>
      <c r="Z157" s="38">
        <f t="shared" si="173"/>
        <v>0</v>
      </c>
    </row>
    <row r="158" spans="1:27" x14ac:dyDescent="0.25">
      <c r="A158" s="13" t="s">
        <v>162</v>
      </c>
      <c r="B158" s="4"/>
      <c r="C158" s="64"/>
      <c r="D158" s="64"/>
      <c r="E158" s="64"/>
      <c r="F158" s="185">
        <f>'Percent-Soil-Carbon-Content'!G27*'Soil-errosion2'!G27</f>
        <v>0</v>
      </c>
      <c r="G158" s="185">
        <f>'Percent-Soil-Carbon-Content'!R27*'Soil-errosion2'!S27</f>
        <v>0</v>
      </c>
      <c r="H158" s="185">
        <f>'Percent-Soil-Carbon-Content'!AC27*'Soil-errosion2'!AE27</f>
        <v>0</v>
      </c>
      <c r="I158" s="95">
        <f t="shared" si="161"/>
        <v>0</v>
      </c>
      <c r="J158" s="185">
        <f t="shared" si="162"/>
        <v>0</v>
      </c>
      <c r="K158" s="185">
        <f t="shared" si="163"/>
        <v>0</v>
      </c>
      <c r="L158" s="185">
        <f t="shared" si="164"/>
        <v>0</v>
      </c>
      <c r="M158" s="185">
        <f t="shared" si="165"/>
        <v>0</v>
      </c>
      <c r="N158" s="67">
        <f t="shared" ref="N158:P158" si="195">J158*C60*$B60</f>
        <v>0</v>
      </c>
      <c r="O158" s="67">
        <f t="shared" si="195"/>
        <v>0</v>
      </c>
      <c r="P158" s="67">
        <f t="shared" si="195"/>
        <v>0</v>
      </c>
      <c r="Q158" s="24">
        <f t="shared" si="167"/>
        <v>0</v>
      </c>
      <c r="R158" s="349">
        <f>'Value-of-fuel-used-under-CT'!G27</f>
        <v>0</v>
      </c>
      <c r="S158" s="350">
        <f t="shared" si="168"/>
        <v>0</v>
      </c>
      <c r="T158" s="24">
        <f t="shared" si="169"/>
        <v>0</v>
      </c>
      <c r="U158" s="24">
        <f t="shared" si="170"/>
        <v>0</v>
      </c>
      <c r="V158" s="24">
        <f t="shared" si="171"/>
        <v>0</v>
      </c>
      <c r="W158" s="38">
        <f t="shared" si="172"/>
        <v>0</v>
      </c>
      <c r="X158" s="9">
        <v>0</v>
      </c>
      <c r="Y158" s="9">
        <v>0</v>
      </c>
      <c r="Z158" s="38">
        <f t="shared" si="173"/>
        <v>0</v>
      </c>
    </row>
    <row r="159" spans="1:27" s="1" customFormat="1" x14ac:dyDescent="0.25">
      <c r="A159" s="1" t="s">
        <v>163</v>
      </c>
      <c r="B159" s="10">
        <f>SUM(B135:B158)</f>
        <v>0</v>
      </c>
      <c r="C159" s="71" t="e">
        <f>SUMPRODUCT(C135:C158,$B$67:$B$90)/$B$91</f>
        <v>#DIV/0!</v>
      </c>
      <c r="D159" s="71" t="e">
        <f t="shared" ref="D159:L159" si="196">SUMPRODUCT(D135:D158,$B$67:$B$90)/$B$91</f>
        <v>#DIV/0!</v>
      </c>
      <c r="E159" s="71" t="e">
        <f t="shared" si="196"/>
        <v>#DIV/0!</v>
      </c>
      <c r="F159" s="590" t="e">
        <f t="shared" si="196"/>
        <v>#DIV/0!</v>
      </c>
      <c r="G159" s="590" t="e">
        <f>SUMPRODUCT(G135:G158,$B$67:$B$90)/$B$91</f>
        <v>#DIV/0!</v>
      </c>
      <c r="H159" s="590" t="e">
        <f t="shared" si="196"/>
        <v>#DIV/0!</v>
      </c>
      <c r="I159" s="71" t="e">
        <f t="shared" si="196"/>
        <v>#DIV/0!</v>
      </c>
      <c r="J159" s="71" t="e">
        <f t="shared" si="196"/>
        <v>#DIV/0!</v>
      </c>
      <c r="K159" s="71" t="e">
        <f t="shared" si="196"/>
        <v>#DIV/0!</v>
      </c>
      <c r="L159" s="71" t="e">
        <f t="shared" si="196"/>
        <v>#DIV/0!</v>
      </c>
      <c r="M159" s="71" t="e">
        <f>SUMPRODUCT(M135:M158,$B$67:$B$90)/$B$91</f>
        <v>#DIV/0!</v>
      </c>
      <c r="N159" s="23">
        <f>SUM(N135:N158)</f>
        <v>0</v>
      </c>
      <c r="O159" s="24">
        <f>SUM(O135:O158)</f>
        <v>0</v>
      </c>
      <c r="P159" s="24">
        <f>SUM(P135:P158)</f>
        <v>0</v>
      </c>
      <c r="Q159" s="24">
        <f>SUM(N159:P159)</f>
        <v>0</v>
      </c>
      <c r="R159" s="351">
        <f t="shared" ref="R159:S159" si="197">SUM(R135:R158)</f>
        <v>0</v>
      </c>
      <c r="S159" s="351">
        <f t="shared" si="197"/>
        <v>0</v>
      </c>
      <c r="T159" s="24">
        <f>Q159+S159</f>
        <v>0</v>
      </c>
      <c r="U159" s="24">
        <f>SUM(U135:U158)</f>
        <v>0</v>
      </c>
      <c r="V159" s="24">
        <f>SUM(V135:V158)</f>
        <v>0</v>
      </c>
      <c r="W159" s="38">
        <f t="shared" ref="W159" si="198">T159*$D$127</f>
        <v>0</v>
      </c>
      <c r="X159" s="10">
        <f t="shared" ref="X159:Y159" si="199">SUM(X135:X158)</f>
        <v>0</v>
      </c>
      <c r="Y159" s="10">
        <f t="shared" si="199"/>
        <v>0</v>
      </c>
      <c r="Z159" s="38">
        <f>B159+W159+X159+Y159</f>
        <v>0</v>
      </c>
      <c r="AA159" s="68">
        <f>Z159/'Summary-all-crops'!C3</f>
        <v>0</v>
      </c>
    </row>
    <row r="160" spans="1:27" x14ac:dyDescent="0.25">
      <c r="A160" s="1"/>
      <c r="Q160" s="24" t="b">
        <f>SUM(Q135:Q158)=Q159</f>
        <v>1</v>
      </c>
      <c r="R160" s="70"/>
      <c r="V160" s="314" t="b">
        <f>U159+V159-W159&lt;0.1</f>
        <v>1</v>
      </c>
    </row>
    <row r="161" spans="1:6" x14ac:dyDescent="0.25">
      <c r="A161" s="1"/>
      <c r="F161" s="2"/>
    </row>
    <row r="162" spans="1:6" x14ac:dyDescent="0.25">
      <c r="A162" s="1" t="s">
        <v>369</v>
      </c>
    </row>
    <row r="164" spans="1:6" ht="42.6" customHeight="1" x14ac:dyDescent="0.25">
      <c r="A164" s="838" t="s">
        <v>101</v>
      </c>
      <c r="B164" s="839" t="s">
        <v>370</v>
      </c>
      <c r="C164" s="839"/>
      <c r="D164" s="839"/>
      <c r="E164" s="839"/>
    </row>
    <row r="165" spans="1:6" x14ac:dyDescent="0.25">
      <c r="A165" s="838"/>
      <c r="F165" s="11"/>
    </row>
    <row r="166" spans="1:6" x14ac:dyDescent="0.25">
      <c r="A166" s="838"/>
      <c r="B166" s="1" t="s">
        <v>136</v>
      </c>
      <c r="C166" s="1" t="s">
        <v>137</v>
      </c>
      <c r="D166" s="1" t="s">
        <v>289</v>
      </c>
      <c r="E166" s="1" t="s">
        <v>120</v>
      </c>
      <c r="F166" s="11"/>
    </row>
    <row r="167" spans="1:6" x14ac:dyDescent="0.25">
      <c r="A167" s="13" t="s">
        <v>139</v>
      </c>
      <c r="B167" s="45" t="e">
        <f>$D$26*(K37)+$E$26*(K67)</f>
        <v>#DIV/0!</v>
      </c>
      <c r="C167" s="45" t="e">
        <f>$D$26*(L37)+$E$26*(L67)</f>
        <v>#DIV/0!</v>
      </c>
      <c r="D167" s="45" t="e">
        <f>$D$26*(M37)+$E$26*(M67)</f>
        <v>#DIV/0!</v>
      </c>
      <c r="E167" s="23" t="e">
        <f>SUM(B167:D167)</f>
        <v>#DIV/0!</v>
      </c>
    </row>
    <row r="168" spans="1:6" x14ac:dyDescent="0.25">
      <c r="A168" s="13" t="s">
        <v>140</v>
      </c>
      <c r="B168" s="45" t="e">
        <f t="shared" ref="B168:D168" si="200">$D$26*(K38)+$E$26*(K68)</f>
        <v>#DIV/0!</v>
      </c>
      <c r="C168" s="45" t="e">
        <f t="shared" si="200"/>
        <v>#DIV/0!</v>
      </c>
      <c r="D168" s="45" t="e">
        <f t="shared" si="200"/>
        <v>#DIV/0!</v>
      </c>
      <c r="E168" s="23" t="e">
        <f t="shared" ref="E168:E190" si="201">SUM(B168:D168)</f>
        <v>#DIV/0!</v>
      </c>
    </row>
    <row r="169" spans="1:6" x14ac:dyDescent="0.25">
      <c r="A169" s="13" t="s">
        <v>141</v>
      </c>
      <c r="B169" s="45" t="e">
        <f t="shared" ref="B169:D169" si="202">$D$26*(K39)+$E$26*(K69)</f>
        <v>#DIV/0!</v>
      </c>
      <c r="C169" s="45" t="e">
        <f t="shared" si="202"/>
        <v>#DIV/0!</v>
      </c>
      <c r="D169" s="45" t="e">
        <f t="shared" si="202"/>
        <v>#DIV/0!</v>
      </c>
      <c r="E169" s="23" t="e">
        <f t="shared" si="201"/>
        <v>#DIV/0!</v>
      </c>
    </row>
    <row r="170" spans="1:6" x14ac:dyDescent="0.25">
      <c r="A170" s="13" t="s">
        <v>142</v>
      </c>
      <c r="B170" s="45" t="e">
        <f t="shared" ref="B170:D170" si="203">$D$26*(K40)+$E$26*(K70)</f>
        <v>#DIV/0!</v>
      </c>
      <c r="C170" s="45" t="e">
        <f t="shared" si="203"/>
        <v>#DIV/0!</v>
      </c>
      <c r="D170" s="45" t="e">
        <f t="shared" si="203"/>
        <v>#DIV/0!</v>
      </c>
      <c r="E170" s="23" t="e">
        <f t="shared" si="201"/>
        <v>#DIV/0!</v>
      </c>
    </row>
    <row r="171" spans="1:6" x14ac:dyDescent="0.25">
      <c r="A171" s="13" t="s">
        <v>143</v>
      </c>
      <c r="B171" s="45" t="e">
        <f t="shared" ref="B171:D171" si="204">$D$26*(K41)+$E$26*(K71)</f>
        <v>#DIV/0!</v>
      </c>
      <c r="C171" s="45" t="e">
        <f t="shared" si="204"/>
        <v>#DIV/0!</v>
      </c>
      <c r="D171" s="45" t="e">
        <f t="shared" si="204"/>
        <v>#DIV/0!</v>
      </c>
      <c r="E171" s="23" t="e">
        <f t="shared" si="201"/>
        <v>#DIV/0!</v>
      </c>
    </row>
    <row r="172" spans="1:6" x14ac:dyDescent="0.25">
      <c r="A172" s="13" t="s">
        <v>144</v>
      </c>
      <c r="B172" s="45" t="e">
        <f t="shared" ref="B172:D172" si="205">$D$26*(K42)+$E$26*(K72)</f>
        <v>#DIV/0!</v>
      </c>
      <c r="C172" s="45" t="e">
        <f t="shared" si="205"/>
        <v>#DIV/0!</v>
      </c>
      <c r="D172" s="45" t="e">
        <f t="shared" si="205"/>
        <v>#DIV/0!</v>
      </c>
      <c r="E172" s="23" t="e">
        <f t="shared" si="201"/>
        <v>#DIV/0!</v>
      </c>
    </row>
    <row r="173" spans="1:6" x14ac:dyDescent="0.25">
      <c r="A173" s="13" t="s">
        <v>145</v>
      </c>
      <c r="B173" s="45" t="e">
        <f t="shared" ref="B173:D173" si="206">$D$26*(K43)+$E$26*(K73)</f>
        <v>#DIV/0!</v>
      </c>
      <c r="C173" s="45" t="e">
        <f t="shared" si="206"/>
        <v>#DIV/0!</v>
      </c>
      <c r="D173" s="45" t="e">
        <f t="shared" si="206"/>
        <v>#DIV/0!</v>
      </c>
      <c r="E173" s="23" t="e">
        <f t="shared" si="201"/>
        <v>#DIV/0!</v>
      </c>
    </row>
    <row r="174" spans="1:6" x14ac:dyDescent="0.25">
      <c r="A174" s="13" t="s">
        <v>146</v>
      </c>
      <c r="B174" s="45" t="e">
        <f t="shared" ref="B174:D174" si="207">$D$26*(K44)+$E$26*(K74)</f>
        <v>#DIV/0!</v>
      </c>
      <c r="C174" s="45" t="e">
        <f t="shared" si="207"/>
        <v>#DIV/0!</v>
      </c>
      <c r="D174" s="45" t="e">
        <f t="shared" si="207"/>
        <v>#DIV/0!</v>
      </c>
      <c r="E174" s="23" t="e">
        <f t="shared" si="201"/>
        <v>#DIV/0!</v>
      </c>
    </row>
    <row r="175" spans="1:6" x14ac:dyDescent="0.25">
      <c r="A175" s="13" t="s">
        <v>147</v>
      </c>
      <c r="B175" s="45" t="e">
        <f t="shared" ref="B175:D175" si="208">$D$26*(K45)+$E$26*(K75)</f>
        <v>#DIV/0!</v>
      </c>
      <c r="C175" s="45" t="e">
        <f t="shared" si="208"/>
        <v>#DIV/0!</v>
      </c>
      <c r="D175" s="45" t="e">
        <f t="shared" si="208"/>
        <v>#DIV/0!</v>
      </c>
      <c r="E175" s="23" t="e">
        <f t="shared" si="201"/>
        <v>#DIV/0!</v>
      </c>
    </row>
    <row r="176" spans="1:6" x14ac:dyDescent="0.25">
      <c r="A176" s="13" t="s">
        <v>148</v>
      </c>
      <c r="B176" s="45" t="e">
        <f t="shared" ref="B176:D176" si="209">$D$26*(K46)+$E$26*(K76)</f>
        <v>#DIV/0!</v>
      </c>
      <c r="C176" s="45" t="e">
        <f t="shared" si="209"/>
        <v>#DIV/0!</v>
      </c>
      <c r="D176" s="45" t="e">
        <f t="shared" si="209"/>
        <v>#DIV/0!</v>
      </c>
      <c r="E176" s="23" t="e">
        <f t="shared" si="201"/>
        <v>#DIV/0!</v>
      </c>
    </row>
    <row r="177" spans="1:8" x14ac:dyDescent="0.25">
      <c r="A177" s="13" t="s">
        <v>149</v>
      </c>
      <c r="B177" s="45" t="e">
        <f t="shared" ref="B177:D177" si="210">$D$26*(K47)+$E$26*(K77)</f>
        <v>#DIV/0!</v>
      </c>
      <c r="C177" s="45" t="e">
        <f t="shared" si="210"/>
        <v>#DIV/0!</v>
      </c>
      <c r="D177" s="45" t="e">
        <f t="shared" si="210"/>
        <v>#DIV/0!</v>
      </c>
      <c r="E177" s="23" t="e">
        <f t="shared" si="201"/>
        <v>#DIV/0!</v>
      </c>
    </row>
    <row r="178" spans="1:8" x14ac:dyDescent="0.25">
      <c r="A178" s="13" t="s">
        <v>150</v>
      </c>
      <c r="B178" s="45" t="e">
        <f t="shared" ref="B178:D178" si="211">$D$26*(K48)+$E$26*(K78)</f>
        <v>#DIV/0!</v>
      </c>
      <c r="C178" s="45" t="e">
        <f t="shared" si="211"/>
        <v>#DIV/0!</v>
      </c>
      <c r="D178" s="45" t="e">
        <f t="shared" si="211"/>
        <v>#DIV/0!</v>
      </c>
      <c r="E178" s="23" t="e">
        <f t="shared" si="201"/>
        <v>#DIV/0!</v>
      </c>
    </row>
    <row r="179" spans="1:8" x14ac:dyDescent="0.25">
      <c r="A179" s="13" t="s">
        <v>151</v>
      </c>
      <c r="B179" s="45" t="e">
        <f t="shared" ref="B179:D179" si="212">$D$26*(K49)+$E$26*(K79)</f>
        <v>#DIV/0!</v>
      </c>
      <c r="C179" s="45" t="e">
        <f t="shared" si="212"/>
        <v>#DIV/0!</v>
      </c>
      <c r="D179" s="45" t="e">
        <f t="shared" si="212"/>
        <v>#DIV/0!</v>
      </c>
      <c r="E179" s="23" t="e">
        <f t="shared" si="201"/>
        <v>#DIV/0!</v>
      </c>
    </row>
    <row r="180" spans="1:8" x14ac:dyDescent="0.25">
      <c r="A180" s="13" t="s">
        <v>152</v>
      </c>
      <c r="B180" s="45" t="e">
        <f t="shared" ref="B180:D180" si="213">$D$26*(K50)+$E$26*(K80)</f>
        <v>#DIV/0!</v>
      </c>
      <c r="C180" s="45" t="e">
        <f t="shared" si="213"/>
        <v>#DIV/0!</v>
      </c>
      <c r="D180" s="45" t="e">
        <f t="shared" si="213"/>
        <v>#DIV/0!</v>
      </c>
      <c r="E180" s="23" t="e">
        <f t="shared" si="201"/>
        <v>#DIV/0!</v>
      </c>
    </row>
    <row r="181" spans="1:8" x14ac:dyDescent="0.25">
      <c r="A181" s="13" t="s">
        <v>153</v>
      </c>
      <c r="B181" s="45" t="e">
        <f t="shared" ref="B181:D181" si="214">$D$26*(K51)+$E$26*(K81)</f>
        <v>#DIV/0!</v>
      </c>
      <c r="C181" s="45" t="e">
        <f t="shared" si="214"/>
        <v>#DIV/0!</v>
      </c>
      <c r="D181" s="45" t="e">
        <f t="shared" si="214"/>
        <v>#DIV/0!</v>
      </c>
      <c r="E181" s="23" t="e">
        <f t="shared" si="201"/>
        <v>#DIV/0!</v>
      </c>
    </row>
    <row r="182" spans="1:8" x14ac:dyDescent="0.25">
      <c r="A182" s="13" t="s">
        <v>154</v>
      </c>
      <c r="B182" s="45" t="e">
        <f t="shared" ref="B182:D182" si="215">$D$26*(K52)+$E$26*(K82)</f>
        <v>#DIV/0!</v>
      </c>
      <c r="C182" s="45" t="e">
        <f t="shared" si="215"/>
        <v>#DIV/0!</v>
      </c>
      <c r="D182" s="45" t="e">
        <f t="shared" si="215"/>
        <v>#DIV/0!</v>
      </c>
      <c r="E182" s="23" t="e">
        <f t="shared" si="201"/>
        <v>#DIV/0!</v>
      </c>
    </row>
    <row r="183" spans="1:8" x14ac:dyDescent="0.25">
      <c r="A183" s="13" t="s">
        <v>155</v>
      </c>
      <c r="B183" s="45" t="e">
        <f t="shared" ref="B183:D183" si="216">$D$26*(K53)+$E$26*(K83)</f>
        <v>#DIV/0!</v>
      </c>
      <c r="C183" s="45" t="e">
        <f t="shared" si="216"/>
        <v>#DIV/0!</v>
      </c>
      <c r="D183" s="45" t="e">
        <f t="shared" si="216"/>
        <v>#DIV/0!</v>
      </c>
      <c r="E183" s="23" t="e">
        <f t="shared" si="201"/>
        <v>#DIV/0!</v>
      </c>
    </row>
    <row r="184" spans="1:8" x14ac:dyDescent="0.25">
      <c r="A184" s="13" t="s">
        <v>156</v>
      </c>
      <c r="B184" s="45" t="e">
        <f t="shared" ref="B184:D184" si="217">$D$26*(K54)+$E$26*(K84)</f>
        <v>#DIV/0!</v>
      </c>
      <c r="C184" s="45" t="e">
        <f t="shared" si="217"/>
        <v>#DIV/0!</v>
      </c>
      <c r="D184" s="45" t="e">
        <f t="shared" si="217"/>
        <v>#DIV/0!</v>
      </c>
      <c r="E184" s="23" t="e">
        <f t="shared" si="201"/>
        <v>#DIV/0!</v>
      </c>
    </row>
    <row r="185" spans="1:8" x14ac:dyDescent="0.25">
      <c r="A185" s="13" t="s">
        <v>157</v>
      </c>
      <c r="B185" s="45" t="e">
        <f t="shared" ref="B185:D185" si="218">$D$26*(K55)+$E$26*(K85)</f>
        <v>#DIV/0!</v>
      </c>
      <c r="C185" s="45" t="e">
        <f t="shared" si="218"/>
        <v>#DIV/0!</v>
      </c>
      <c r="D185" s="45" t="e">
        <f t="shared" si="218"/>
        <v>#DIV/0!</v>
      </c>
      <c r="E185" s="23" t="e">
        <f t="shared" si="201"/>
        <v>#DIV/0!</v>
      </c>
    </row>
    <row r="186" spans="1:8" x14ac:dyDescent="0.25">
      <c r="A186" s="13" t="s">
        <v>158</v>
      </c>
      <c r="B186" s="45" t="e">
        <f t="shared" ref="B186:D186" si="219">$D$26*(K56)+$E$26*(K86)</f>
        <v>#DIV/0!</v>
      </c>
      <c r="C186" s="45" t="e">
        <f t="shared" si="219"/>
        <v>#DIV/0!</v>
      </c>
      <c r="D186" s="45" t="e">
        <f t="shared" si="219"/>
        <v>#DIV/0!</v>
      </c>
      <c r="E186" s="23" t="e">
        <f t="shared" si="201"/>
        <v>#DIV/0!</v>
      </c>
    </row>
    <row r="187" spans="1:8" x14ac:dyDescent="0.25">
      <c r="A187" s="13" t="s">
        <v>159</v>
      </c>
      <c r="B187" s="45" t="e">
        <f t="shared" ref="B187:D187" si="220">$D$26*(K57)+$E$26*(K87)</f>
        <v>#DIV/0!</v>
      </c>
      <c r="C187" s="45" t="e">
        <f t="shared" si="220"/>
        <v>#DIV/0!</v>
      </c>
      <c r="D187" s="45" t="e">
        <f t="shared" si="220"/>
        <v>#DIV/0!</v>
      </c>
      <c r="E187" s="23" t="e">
        <f t="shared" si="201"/>
        <v>#DIV/0!</v>
      </c>
    </row>
    <row r="188" spans="1:8" x14ac:dyDescent="0.25">
      <c r="A188" s="13" t="s">
        <v>160</v>
      </c>
      <c r="B188" s="45" t="e">
        <f t="shared" ref="B188:D188" si="221">$D$26*(K58)+$E$26*(K88)</f>
        <v>#DIV/0!</v>
      </c>
      <c r="C188" s="45" t="e">
        <f t="shared" si="221"/>
        <v>#DIV/0!</v>
      </c>
      <c r="D188" s="45" t="e">
        <f t="shared" si="221"/>
        <v>#DIV/0!</v>
      </c>
      <c r="E188" s="23" t="e">
        <f t="shared" si="201"/>
        <v>#DIV/0!</v>
      </c>
    </row>
    <row r="189" spans="1:8" x14ac:dyDescent="0.25">
      <c r="A189" s="13" t="s">
        <v>161</v>
      </c>
      <c r="B189" s="45" t="e">
        <f t="shared" ref="B189:D189" si="222">$D$26*(K59)+$E$26*(K89)</f>
        <v>#DIV/0!</v>
      </c>
      <c r="C189" s="45" t="e">
        <f t="shared" si="222"/>
        <v>#DIV/0!</v>
      </c>
      <c r="D189" s="45" t="e">
        <f t="shared" si="222"/>
        <v>#DIV/0!</v>
      </c>
      <c r="E189" s="23" t="e">
        <f t="shared" si="201"/>
        <v>#DIV/0!</v>
      </c>
    </row>
    <row r="190" spans="1:8" x14ac:dyDescent="0.25">
      <c r="A190" s="13" t="s">
        <v>162</v>
      </c>
      <c r="B190" s="45" t="e">
        <f t="shared" ref="B190:D190" si="223">$D$26*(K60)+$E$26*(K90)</f>
        <v>#DIV/0!</v>
      </c>
      <c r="C190" s="45" t="e">
        <f t="shared" si="223"/>
        <v>#DIV/0!</v>
      </c>
      <c r="D190" s="45" t="e">
        <f t="shared" si="223"/>
        <v>#DIV/0!</v>
      </c>
      <c r="E190" s="23" t="e">
        <f t="shared" si="201"/>
        <v>#DIV/0!</v>
      </c>
    </row>
    <row r="191" spans="1:8" x14ac:dyDescent="0.25">
      <c r="A191" s="1" t="s">
        <v>163</v>
      </c>
      <c r="B191" s="23" t="e">
        <f>SUM(B167:B190)</f>
        <v>#DIV/0!</v>
      </c>
      <c r="C191" s="23" t="e">
        <f t="shared" ref="C191:E191" si="224">SUM(C167:C190)</f>
        <v>#DIV/0!</v>
      </c>
      <c r="D191" s="23" t="e">
        <f t="shared" si="224"/>
        <v>#DIV/0!</v>
      </c>
      <c r="E191" s="23" t="e">
        <f t="shared" si="224"/>
        <v>#DIV/0!</v>
      </c>
      <c r="G191" s="1"/>
      <c r="H191" s="1"/>
    </row>
    <row r="192" spans="1:8" x14ac:dyDescent="0.25">
      <c r="G192" s="1"/>
      <c r="H192" s="1"/>
    </row>
    <row r="193" spans="1:8" ht="18.75" x14ac:dyDescent="0.3">
      <c r="A193" s="12" t="s">
        <v>432</v>
      </c>
    </row>
    <row r="194" spans="1:8" x14ac:dyDescent="0.25">
      <c r="A194" t="s">
        <v>372</v>
      </c>
      <c r="C194" s="24">
        <f>'Cereals-all-year'!K2</f>
        <v>134280440000</v>
      </c>
    </row>
    <row r="195" spans="1:8" ht="15.75" thickBot="1" x14ac:dyDescent="0.3">
      <c r="A195" t="s">
        <v>373</v>
      </c>
      <c r="C195" s="24">
        <f>'Cereals-all-year'!K3</f>
        <v>46690000000</v>
      </c>
    </row>
    <row r="196" spans="1:8" x14ac:dyDescent="0.25">
      <c r="A196" s="853"/>
      <c r="B196" s="798" t="s">
        <v>374</v>
      </c>
      <c r="C196" s="848"/>
      <c r="D196" s="848"/>
      <c r="E196" s="848"/>
      <c r="F196" s="849"/>
      <c r="G196" s="855" t="s">
        <v>367</v>
      </c>
      <c r="H196" s="22"/>
    </row>
    <row r="197" spans="1:8" x14ac:dyDescent="0.25">
      <c r="A197" s="854"/>
      <c r="B197" s="15" t="s">
        <v>375</v>
      </c>
      <c r="C197" s="16" t="s">
        <v>376</v>
      </c>
      <c r="D197" s="16" t="s">
        <v>377</v>
      </c>
      <c r="E197" s="16" t="s">
        <v>378</v>
      </c>
      <c r="F197" s="16" t="s">
        <v>379</v>
      </c>
      <c r="G197" s="856"/>
      <c r="H197" s="22"/>
    </row>
    <row r="198" spans="1:8" x14ac:dyDescent="0.25">
      <c r="A198" s="13" t="s">
        <v>139</v>
      </c>
      <c r="B198" s="43" t="e">
        <f>R37+R67</f>
        <v>#DIV/0!</v>
      </c>
      <c r="C198" s="14">
        <f>N100</f>
        <v>0</v>
      </c>
      <c r="D198" s="14">
        <f>Z135</f>
        <v>0</v>
      </c>
      <c r="E198" s="14" t="e">
        <f>E167</f>
        <v>#DIV/0!</v>
      </c>
      <c r="F198" s="48" t="e">
        <f>SUM(B198:E198)</f>
        <v>#DIV/0!</v>
      </c>
      <c r="G198" s="150" t="e">
        <f>F198/$C$195</f>
        <v>#DIV/0!</v>
      </c>
      <c r="H198" s="61"/>
    </row>
    <row r="199" spans="1:8" x14ac:dyDescent="0.25">
      <c r="A199" s="13" t="s">
        <v>140</v>
      </c>
      <c r="B199" s="43" t="e">
        <f t="shared" ref="B199:B221" si="225">R38+R68</f>
        <v>#DIV/0!</v>
      </c>
      <c r="C199" s="14">
        <f t="shared" ref="C199:C221" si="226">N101</f>
        <v>0</v>
      </c>
      <c r="D199" s="14">
        <f t="shared" ref="D199:D221" si="227">Z136</f>
        <v>0</v>
      </c>
      <c r="E199" s="14" t="e">
        <f t="shared" ref="E199:E221" si="228">E168</f>
        <v>#DIV/0!</v>
      </c>
      <c r="F199" s="48" t="e">
        <f t="shared" ref="F199:F221" si="229">SUM(B199:E199)</f>
        <v>#DIV/0!</v>
      </c>
      <c r="G199" s="150" t="e">
        <f t="shared" ref="G199:G221" si="230">F199/$C$195</f>
        <v>#DIV/0!</v>
      </c>
      <c r="H199" s="61"/>
    </row>
    <row r="200" spans="1:8" x14ac:dyDescent="0.25">
      <c r="A200" s="13" t="s">
        <v>141</v>
      </c>
      <c r="B200" s="43" t="e">
        <f t="shared" si="225"/>
        <v>#DIV/0!</v>
      </c>
      <c r="C200" s="14">
        <f t="shared" si="226"/>
        <v>0</v>
      </c>
      <c r="D200" s="14">
        <f t="shared" si="227"/>
        <v>0</v>
      </c>
      <c r="E200" s="14" t="e">
        <f t="shared" si="228"/>
        <v>#DIV/0!</v>
      </c>
      <c r="F200" s="48" t="e">
        <f t="shared" si="229"/>
        <v>#DIV/0!</v>
      </c>
      <c r="G200" s="150" t="e">
        <f t="shared" si="230"/>
        <v>#DIV/0!</v>
      </c>
      <c r="H200" s="61"/>
    </row>
    <row r="201" spans="1:8" x14ac:dyDescent="0.25">
      <c r="A201" s="13" t="s">
        <v>142</v>
      </c>
      <c r="B201" s="43" t="e">
        <f t="shared" si="225"/>
        <v>#DIV/0!</v>
      </c>
      <c r="C201" s="14">
        <f t="shared" si="226"/>
        <v>0</v>
      </c>
      <c r="D201" s="14">
        <f t="shared" si="227"/>
        <v>0</v>
      </c>
      <c r="E201" s="14" t="e">
        <f t="shared" si="228"/>
        <v>#DIV/0!</v>
      </c>
      <c r="F201" s="48" t="e">
        <f t="shared" si="229"/>
        <v>#DIV/0!</v>
      </c>
      <c r="G201" s="150" t="e">
        <f t="shared" si="230"/>
        <v>#DIV/0!</v>
      </c>
      <c r="H201" s="61"/>
    </row>
    <row r="202" spans="1:8" x14ac:dyDescent="0.25">
      <c r="A202" s="13" t="s">
        <v>143</v>
      </c>
      <c r="B202" s="43" t="e">
        <f t="shared" si="225"/>
        <v>#DIV/0!</v>
      </c>
      <c r="C202" s="14">
        <f t="shared" si="226"/>
        <v>0</v>
      </c>
      <c r="D202" s="14">
        <f t="shared" si="227"/>
        <v>0</v>
      </c>
      <c r="E202" s="14" t="e">
        <f t="shared" si="228"/>
        <v>#DIV/0!</v>
      </c>
      <c r="F202" s="48" t="e">
        <f t="shared" si="229"/>
        <v>#DIV/0!</v>
      </c>
      <c r="G202" s="150" t="e">
        <f t="shared" si="230"/>
        <v>#DIV/0!</v>
      </c>
      <c r="H202" s="61"/>
    </row>
    <row r="203" spans="1:8" x14ac:dyDescent="0.25">
      <c r="A203" s="13" t="s">
        <v>144</v>
      </c>
      <c r="B203" s="43" t="e">
        <f t="shared" si="225"/>
        <v>#DIV/0!</v>
      </c>
      <c r="C203" s="14">
        <f t="shared" si="226"/>
        <v>0</v>
      </c>
      <c r="D203" s="14">
        <f t="shared" si="227"/>
        <v>0</v>
      </c>
      <c r="E203" s="14" t="e">
        <f t="shared" si="228"/>
        <v>#DIV/0!</v>
      </c>
      <c r="F203" s="48" t="e">
        <f t="shared" si="229"/>
        <v>#DIV/0!</v>
      </c>
      <c r="G203" s="150" t="e">
        <f t="shared" si="230"/>
        <v>#DIV/0!</v>
      </c>
      <c r="H203" s="61"/>
    </row>
    <row r="204" spans="1:8" x14ac:dyDescent="0.25">
      <c r="A204" s="13" t="s">
        <v>145</v>
      </c>
      <c r="B204" s="43" t="e">
        <f t="shared" si="225"/>
        <v>#DIV/0!</v>
      </c>
      <c r="C204" s="14">
        <f t="shared" si="226"/>
        <v>0</v>
      </c>
      <c r="D204" s="14">
        <f t="shared" si="227"/>
        <v>0</v>
      </c>
      <c r="E204" s="14" t="e">
        <f t="shared" si="228"/>
        <v>#DIV/0!</v>
      </c>
      <c r="F204" s="48" t="e">
        <f t="shared" si="229"/>
        <v>#DIV/0!</v>
      </c>
      <c r="G204" s="150" t="e">
        <f t="shared" si="230"/>
        <v>#DIV/0!</v>
      </c>
      <c r="H204" s="61"/>
    </row>
    <row r="205" spans="1:8" x14ac:dyDescent="0.25">
      <c r="A205" s="13" t="s">
        <v>146</v>
      </c>
      <c r="B205" s="43" t="e">
        <f t="shared" si="225"/>
        <v>#DIV/0!</v>
      </c>
      <c r="C205" s="14">
        <f t="shared" si="226"/>
        <v>0</v>
      </c>
      <c r="D205" s="14">
        <f t="shared" si="227"/>
        <v>0</v>
      </c>
      <c r="E205" s="14" t="e">
        <f t="shared" si="228"/>
        <v>#DIV/0!</v>
      </c>
      <c r="F205" s="48" t="e">
        <f t="shared" si="229"/>
        <v>#DIV/0!</v>
      </c>
      <c r="G205" s="150" t="e">
        <f t="shared" si="230"/>
        <v>#DIV/0!</v>
      </c>
      <c r="H205" s="61"/>
    </row>
    <row r="206" spans="1:8" x14ac:dyDescent="0.25">
      <c r="A206" s="13" t="s">
        <v>147</v>
      </c>
      <c r="B206" s="43" t="e">
        <f t="shared" si="225"/>
        <v>#DIV/0!</v>
      </c>
      <c r="C206" s="14">
        <f t="shared" si="226"/>
        <v>0</v>
      </c>
      <c r="D206" s="14">
        <f t="shared" si="227"/>
        <v>0</v>
      </c>
      <c r="E206" s="14" t="e">
        <f t="shared" si="228"/>
        <v>#DIV/0!</v>
      </c>
      <c r="F206" s="48" t="e">
        <f t="shared" si="229"/>
        <v>#DIV/0!</v>
      </c>
      <c r="G206" s="150" t="e">
        <f t="shared" si="230"/>
        <v>#DIV/0!</v>
      </c>
      <c r="H206" s="61"/>
    </row>
    <row r="207" spans="1:8" x14ac:dyDescent="0.25">
      <c r="A207" s="13" t="s">
        <v>148</v>
      </c>
      <c r="B207" s="43" t="e">
        <f t="shared" si="225"/>
        <v>#DIV/0!</v>
      </c>
      <c r="C207" s="14">
        <f t="shared" si="226"/>
        <v>0</v>
      </c>
      <c r="D207" s="14">
        <f t="shared" si="227"/>
        <v>0</v>
      </c>
      <c r="E207" s="14" t="e">
        <f t="shared" si="228"/>
        <v>#DIV/0!</v>
      </c>
      <c r="F207" s="48" t="e">
        <f t="shared" si="229"/>
        <v>#DIV/0!</v>
      </c>
      <c r="G207" s="150" t="e">
        <f t="shared" si="230"/>
        <v>#DIV/0!</v>
      </c>
      <c r="H207" s="61"/>
    </row>
    <row r="208" spans="1:8" x14ac:dyDescent="0.25">
      <c r="A208" s="13" t="s">
        <v>149</v>
      </c>
      <c r="B208" s="43" t="e">
        <f t="shared" si="225"/>
        <v>#DIV/0!</v>
      </c>
      <c r="C208" s="14">
        <f t="shared" si="226"/>
        <v>0</v>
      </c>
      <c r="D208" s="14">
        <f t="shared" si="227"/>
        <v>0</v>
      </c>
      <c r="E208" s="14" t="e">
        <f t="shared" si="228"/>
        <v>#DIV/0!</v>
      </c>
      <c r="F208" s="48" t="e">
        <f t="shared" si="229"/>
        <v>#DIV/0!</v>
      </c>
      <c r="G208" s="150" t="e">
        <f t="shared" si="230"/>
        <v>#DIV/0!</v>
      </c>
      <c r="H208" s="61"/>
    </row>
    <row r="209" spans="1:17" x14ac:dyDescent="0.25">
      <c r="A209" s="13" t="s">
        <v>150</v>
      </c>
      <c r="B209" s="43" t="e">
        <f t="shared" si="225"/>
        <v>#DIV/0!</v>
      </c>
      <c r="C209" s="14">
        <f t="shared" si="226"/>
        <v>0</v>
      </c>
      <c r="D209" s="14">
        <f t="shared" si="227"/>
        <v>0</v>
      </c>
      <c r="E209" s="14" t="e">
        <f t="shared" si="228"/>
        <v>#DIV/0!</v>
      </c>
      <c r="F209" s="48" t="e">
        <f t="shared" si="229"/>
        <v>#DIV/0!</v>
      </c>
      <c r="G209" s="150" t="e">
        <f t="shared" si="230"/>
        <v>#DIV/0!</v>
      </c>
      <c r="H209" s="61"/>
    </row>
    <row r="210" spans="1:17" x14ac:dyDescent="0.25">
      <c r="A210" s="13" t="s">
        <v>151</v>
      </c>
      <c r="B210" s="43" t="e">
        <f t="shared" si="225"/>
        <v>#DIV/0!</v>
      </c>
      <c r="C210" s="14">
        <f t="shared" si="226"/>
        <v>0</v>
      </c>
      <c r="D210" s="14">
        <f t="shared" si="227"/>
        <v>0</v>
      </c>
      <c r="E210" s="14" t="e">
        <f t="shared" si="228"/>
        <v>#DIV/0!</v>
      </c>
      <c r="F210" s="48" t="e">
        <f t="shared" si="229"/>
        <v>#DIV/0!</v>
      </c>
      <c r="G210" s="150" t="e">
        <f t="shared" si="230"/>
        <v>#DIV/0!</v>
      </c>
      <c r="H210" s="61"/>
    </row>
    <row r="211" spans="1:17" x14ac:dyDescent="0.25">
      <c r="A211" s="13" t="s">
        <v>152</v>
      </c>
      <c r="B211" s="43" t="e">
        <f t="shared" si="225"/>
        <v>#DIV/0!</v>
      </c>
      <c r="C211" s="14">
        <f t="shared" si="226"/>
        <v>0</v>
      </c>
      <c r="D211" s="14">
        <f t="shared" si="227"/>
        <v>0</v>
      </c>
      <c r="E211" s="14" t="e">
        <f t="shared" si="228"/>
        <v>#DIV/0!</v>
      </c>
      <c r="F211" s="48" t="e">
        <f t="shared" si="229"/>
        <v>#DIV/0!</v>
      </c>
      <c r="G211" s="150" t="e">
        <f t="shared" si="230"/>
        <v>#DIV/0!</v>
      </c>
      <c r="H211" s="61"/>
    </row>
    <row r="212" spans="1:17" x14ac:dyDescent="0.25">
      <c r="A212" s="13" t="s">
        <v>153</v>
      </c>
      <c r="B212" s="43" t="e">
        <f t="shared" si="225"/>
        <v>#DIV/0!</v>
      </c>
      <c r="C212" s="14">
        <f t="shared" si="226"/>
        <v>0</v>
      </c>
      <c r="D212" s="14">
        <f t="shared" si="227"/>
        <v>0</v>
      </c>
      <c r="E212" s="14" t="e">
        <f t="shared" si="228"/>
        <v>#DIV/0!</v>
      </c>
      <c r="F212" s="48" t="e">
        <f t="shared" si="229"/>
        <v>#DIV/0!</v>
      </c>
      <c r="G212" s="150" t="e">
        <f t="shared" si="230"/>
        <v>#DIV/0!</v>
      </c>
      <c r="H212" s="61"/>
    </row>
    <row r="213" spans="1:17" x14ac:dyDescent="0.25">
      <c r="A213" s="13" t="s">
        <v>154</v>
      </c>
      <c r="B213" s="43" t="e">
        <f t="shared" si="225"/>
        <v>#DIV/0!</v>
      </c>
      <c r="C213" s="14">
        <f t="shared" si="226"/>
        <v>0</v>
      </c>
      <c r="D213" s="14">
        <f t="shared" si="227"/>
        <v>0</v>
      </c>
      <c r="E213" s="14" t="e">
        <f t="shared" si="228"/>
        <v>#DIV/0!</v>
      </c>
      <c r="F213" s="48" t="e">
        <f t="shared" si="229"/>
        <v>#DIV/0!</v>
      </c>
      <c r="G213" s="150" t="e">
        <f t="shared" si="230"/>
        <v>#DIV/0!</v>
      </c>
      <c r="H213" s="61"/>
      <c r="K213" s="1" t="s">
        <v>380</v>
      </c>
    </row>
    <row r="214" spans="1:17" x14ac:dyDescent="0.25">
      <c r="A214" s="13" t="s">
        <v>155</v>
      </c>
      <c r="B214" s="43" t="e">
        <f t="shared" si="225"/>
        <v>#DIV/0!</v>
      </c>
      <c r="C214" s="14">
        <f t="shared" si="226"/>
        <v>0</v>
      </c>
      <c r="D214" s="14">
        <f t="shared" si="227"/>
        <v>0</v>
      </c>
      <c r="E214" s="14" t="e">
        <f t="shared" si="228"/>
        <v>#DIV/0!</v>
      </c>
      <c r="F214" s="48" t="e">
        <f t="shared" si="229"/>
        <v>#DIV/0!</v>
      </c>
      <c r="G214" s="150" t="e">
        <f t="shared" si="230"/>
        <v>#DIV/0!</v>
      </c>
      <c r="H214" s="61"/>
      <c r="K214" t="s">
        <v>381</v>
      </c>
      <c r="L214" t="s">
        <v>382</v>
      </c>
      <c r="M214" t="s">
        <v>383</v>
      </c>
      <c r="N214" t="s">
        <v>384</v>
      </c>
      <c r="O214" t="s">
        <v>385</v>
      </c>
      <c r="P214" t="s">
        <v>386</v>
      </c>
      <c r="Q214" t="s">
        <v>213</v>
      </c>
    </row>
    <row r="215" spans="1:17" x14ac:dyDescent="0.25">
      <c r="A215" s="13" t="s">
        <v>156</v>
      </c>
      <c r="B215" s="43" t="e">
        <f t="shared" si="225"/>
        <v>#DIV/0!</v>
      </c>
      <c r="C215" s="14">
        <f t="shared" si="226"/>
        <v>0</v>
      </c>
      <c r="D215" s="14">
        <f t="shared" si="227"/>
        <v>0</v>
      </c>
      <c r="E215" s="14" t="e">
        <f t="shared" si="228"/>
        <v>#DIV/0!</v>
      </c>
      <c r="F215" s="48" t="e">
        <f t="shared" si="229"/>
        <v>#DIV/0!</v>
      </c>
      <c r="G215" s="150" t="e">
        <f t="shared" si="230"/>
        <v>#DIV/0!</v>
      </c>
      <c r="H215" s="61"/>
      <c r="J215" t="s">
        <v>387</v>
      </c>
      <c r="K215" s="186">
        <v>425</v>
      </c>
      <c r="L215" s="186">
        <v>395</v>
      </c>
      <c r="M215" s="186">
        <v>478</v>
      </c>
      <c r="N215" s="186">
        <v>460</v>
      </c>
      <c r="O215" s="186">
        <v>405</v>
      </c>
      <c r="P215" s="186">
        <v>539</v>
      </c>
      <c r="Q215" s="187">
        <f>SUMPRODUCT(K215:P215,K216:P216)/Q216</f>
        <v>450.92541087231353</v>
      </c>
    </row>
    <row r="216" spans="1:17" x14ac:dyDescent="0.25">
      <c r="A216" s="13" t="s">
        <v>157</v>
      </c>
      <c r="B216" s="43" t="e">
        <f t="shared" si="225"/>
        <v>#DIV/0!</v>
      </c>
      <c r="C216" s="14">
        <f t="shared" si="226"/>
        <v>0</v>
      </c>
      <c r="D216" s="14">
        <f t="shared" si="227"/>
        <v>0</v>
      </c>
      <c r="E216" s="14" t="e">
        <f t="shared" si="228"/>
        <v>#DIV/0!</v>
      </c>
      <c r="F216" s="48" t="e">
        <f t="shared" si="229"/>
        <v>#DIV/0!</v>
      </c>
      <c r="G216" s="150" t="e">
        <f t="shared" si="230"/>
        <v>#DIV/0!</v>
      </c>
      <c r="H216" s="61"/>
      <c r="J216" t="s">
        <v>388</v>
      </c>
      <c r="K216">
        <v>11.7</v>
      </c>
      <c r="L216">
        <v>12.3</v>
      </c>
      <c r="M216">
        <v>22.8</v>
      </c>
      <c r="N216">
        <v>45</v>
      </c>
      <c r="O216">
        <v>43.9</v>
      </c>
      <c r="P216">
        <v>22.5</v>
      </c>
      <c r="Q216" s="9">
        <f>SUM(K216:P216)</f>
        <v>158.19999999999999</v>
      </c>
    </row>
    <row r="217" spans="1:17" x14ac:dyDescent="0.25">
      <c r="A217" s="13" t="s">
        <v>158</v>
      </c>
      <c r="B217" s="43" t="e">
        <f t="shared" si="225"/>
        <v>#DIV/0!</v>
      </c>
      <c r="C217" s="14">
        <f t="shared" si="226"/>
        <v>0</v>
      </c>
      <c r="D217" s="14">
        <f t="shared" si="227"/>
        <v>0</v>
      </c>
      <c r="E217" s="14" t="e">
        <f t="shared" si="228"/>
        <v>#DIV/0!</v>
      </c>
      <c r="F217" s="48" t="e">
        <f t="shared" si="229"/>
        <v>#DIV/0!</v>
      </c>
      <c r="G217" s="150" t="e">
        <f t="shared" si="230"/>
        <v>#DIV/0!</v>
      </c>
      <c r="H217" s="61"/>
    </row>
    <row r="218" spans="1:17" x14ac:dyDescent="0.25">
      <c r="A218" s="13" t="s">
        <v>159</v>
      </c>
      <c r="B218" s="43" t="e">
        <f t="shared" si="225"/>
        <v>#DIV/0!</v>
      </c>
      <c r="C218" s="14">
        <f t="shared" si="226"/>
        <v>0</v>
      </c>
      <c r="D218" s="14">
        <f t="shared" si="227"/>
        <v>0</v>
      </c>
      <c r="E218" s="14" t="e">
        <f t="shared" si="228"/>
        <v>#DIV/0!</v>
      </c>
      <c r="F218" s="48" t="e">
        <f t="shared" si="229"/>
        <v>#DIV/0!</v>
      </c>
      <c r="G218" s="150" t="e">
        <f t="shared" si="230"/>
        <v>#DIV/0!</v>
      </c>
      <c r="H218" s="61"/>
      <c r="J218" t="s">
        <v>82</v>
      </c>
      <c r="K218" s="20" t="s">
        <v>541</v>
      </c>
      <c r="O218" s="20" t="s">
        <v>390</v>
      </c>
    </row>
    <row r="219" spans="1:17" x14ac:dyDescent="0.25">
      <c r="A219" s="13" t="s">
        <v>160</v>
      </c>
      <c r="B219" s="43" t="e">
        <f t="shared" si="225"/>
        <v>#DIV/0!</v>
      </c>
      <c r="C219" s="14">
        <f t="shared" si="226"/>
        <v>0</v>
      </c>
      <c r="D219" s="14">
        <f t="shared" si="227"/>
        <v>0</v>
      </c>
      <c r="E219" s="14" t="e">
        <f t="shared" si="228"/>
        <v>#DIV/0!</v>
      </c>
      <c r="F219" s="48" t="e">
        <f t="shared" si="229"/>
        <v>#DIV/0!</v>
      </c>
      <c r="G219" s="150" t="e">
        <f t="shared" si="230"/>
        <v>#DIV/0!</v>
      </c>
      <c r="H219" s="61"/>
      <c r="J219" s="838" t="s">
        <v>391</v>
      </c>
      <c r="K219" s="838"/>
      <c r="L219" s="838"/>
    </row>
    <row r="220" spans="1:17" x14ac:dyDescent="0.25">
      <c r="A220" s="13" t="s">
        <v>161</v>
      </c>
      <c r="B220" s="43" t="e">
        <f t="shared" si="225"/>
        <v>#DIV/0!</v>
      </c>
      <c r="C220" s="14">
        <f t="shared" si="226"/>
        <v>0</v>
      </c>
      <c r="D220" s="14">
        <f t="shared" si="227"/>
        <v>0</v>
      </c>
      <c r="E220" s="14" t="e">
        <f t="shared" si="228"/>
        <v>#DIV/0!</v>
      </c>
      <c r="F220" s="48" t="e">
        <f t="shared" si="229"/>
        <v>#DIV/0!</v>
      </c>
      <c r="G220" s="150" t="e">
        <f t="shared" si="230"/>
        <v>#DIV/0!</v>
      </c>
      <c r="H220" s="61"/>
      <c r="L220" t="s">
        <v>392</v>
      </c>
    </row>
    <row r="221" spans="1:17" x14ac:dyDescent="0.25">
      <c r="A221" s="13" t="s">
        <v>162</v>
      </c>
      <c r="B221" s="43" t="e">
        <f t="shared" si="225"/>
        <v>#DIV/0!</v>
      </c>
      <c r="C221" s="14">
        <f t="shared" si="226"/>
        <v>0</v>
      </c>
      <c r="D221" s="14">
        <f t="shared" si="227"/>
        <v>0</v>
      </c>
      <c r="E221" s="14" t="e">
        <f t="shared" si="228"/>
        <v>#DIV/0!</v>
      </c>
      <c r="F221" s="48" t="e">
        <f t="shared" si="229"/>
        <v>#DIV/0!</v>
      </c>
      <c r="G221" s="150" t="e">
        <f t="shared" si="230"/>
        <v>#DIV/0!</v>
      </c>
      <c r="H221" s="61"/>
      <c r="L221" s="188">
        <f>Q215</f>
        <v>450.92541087231353</v>
      </c>
    </row>
    <row r="222" spans="1:17" x14ac:dyDescent="0.25">
      <c r="A222" s="144" t="s">
        <v>163</v>
      </c>
      <c r="B222" s="46" t="e">
        <f>SUM(B198:B221)</f>
        <v>#DIV/0!</v>
      </c>
      <c r="C222" s="46">
        <f t="shared" ref="C222:E222" si="231">SUM(C198:C221)</f>
        <v>0</v>
      </c>
      <c r="D222" s="46">
        <f t="shared" si="231"/>
        <v>0</v>
      </c>
      <c r="E222" s="46" t="e">
        <f t="shared" si="231"/>
        <v>#DIV/0!</v>
      </c>
      <c r="F222" s="48" t="e">
        <f>SUM(B222:E222)</f>
        <v>#DIV/0!</v>
      </c>
      <c r="G222" s="150" t="e">
        <f t="shared" ref="G222" si="232">F222/$C$195</f>
        <v>#DIV/0!</v>
      </c>
      <c r="H222" s="61"/>
    </row>
    <row r="223" spans="1:17" ht="15.75" thickBot="1" x14ac:dyDescent="0.3">
      <c r="A223" s="145" t="s">
        <v>393</v>
      </c>
      <c r="B223" s="165" t="e">
        <f>B222/'Summary-all-crops'!$C$3</f>
        <v>#DIV/0!</v>
      </c>
      <c r="C223" s="165">
        <f>C222/'Summary-all-crops'!$C$3</f>
        <v>0</v>
      </c>
      <c r="D223" s="165">
        <f>D222/'Summary-all-crops'!$C$3</f>
        <v>0</v>
      </c>
      <c r="E223" s="165" t="e">
        <f>E222/'Summary-all-crops'!$C$3</f>
        <v>#DIV/0!</v>
      </c>
      <c r="F223" s="165" t="e">
        <f>F222/'Summary-all-crops'!$C$3</f>
        <v>#DIV/0!</v>
      </c>
      <c r="G223" s="166"/>
    </row>
    <row r="224" spans="1:17" x14ac:dyDescent="0.25">
      <c r="F224" s="92" t="e">
        <f>F222*K1</f>
        <v>#DIV/0!</v>
      </c>
      <c r="G224" s="147" t="e">
        <f>SUM(F198:F221)-F222</f>
        <v>#DIV/0!</v>
      </c>
    </row>
    <row r="226" spans="1:17" ht="43.35" customHeight="1" x14ac:dyDescent="0.25">
      <c r="A226" s="845" t="s">
        <v>542</v>
      </c>
      <c r="B226" s="845"/>
      <c r="C226" s="845"/>
      <c r="D226" s="845"/>
      <c r="E226" s="845"/>
      <c r="F226" s="845"/>
      <c r="G226" s="845"/>
      <c r="H226" s="845"/>
      <c r="I226" s="845"/>
      <c r="J226" s="845"/>
      <c r="K226" s="845"/>
      <c r="L226" s="845"/>
      <c r="M226" s="845"/>
      <c r="N226" s="845"/>
      <c r="O226" s="845"/>
      <c r="P226" s="845"/>
      <c r="Q226" s="845"/>
    </row>
    <row r="227" spans="1:17" x14ac:dyDescent="0.25">
      <c r="A227" s="24">
        <f>N61</f>
        <v>0</v>
      </c>
      <c r="B227" s="62" t="s">
        <v>543</v>
      </c>
      <c r="C227" s="6"/>
      <c r="D227" s="6"/>
      <c r="E227" s="6"/>
      <c r="F227" s="6"/>
      <c r="G227" s="6"/>
      <c r="H227" s="6"/>
      <c r="I227" s="6"/>
      <c r="J227" s="6"/>
      <c r="K227" s="6"/>
      <c r="L227" s="6"/>
      <c r="M227" s="6"/>
      <c r="N227" s="6"/>
      <c r="O227" s="6"/>
      <c r="P227" s="6"/>
      <c r="Q227" s="6"/>
    </row>
    <row r="228" spans="1:17" x14ac:dyDescent="0.25">
      <c r="A228" s="24">
        <f>N91</f>
        <v>0</v>
      </c>
      <c r="B228" s="62" t="s">
        <v>544</v>
      </c>
      <c r="C228" s="6"/>
      <c r="D228" s="6"/>
      <c r="E228" s="6"/>
      <c r="F228" s="6"/>
      <c r="G228" s="6"/>
      <c r="H228" s="6"/>
      <c r="I228" s="6"/>
      <c r="J228" s="6"/>
      <c r="K228" s="6"/>
      <c r="L228" s="6"/>
      <c r="M228" s="6"/>
      <c r="N228" s="6"/>
      <c r="O228" s="6"/>
      <c r="P228" s="6"/>
      <c r="Q228" s="6"/>
    </row>
    <row r="229" spans="1:17" x14ac:dyDescent="0.25">
      <c r="A229" s="24" t="e">
        <f>F222</f>
        <v>#DIV/0!</v>
      </c>
      <c r="B229" s="6" t="s">
        <v>397</v>
      </c>
      <c r="C229" s="24" t="e">
        <f>A229*K1</f>
        <v>#DIV/0!</v>
      </c>
      <c r="D229" s="6" t="s">
        <v>398</v>
      </c>
      <c r="E229" s="6"/>
      <c r="F229" s="176" t="e">
        <f>G222</f>
        <v>#DIV/0!</v>
      </c>
      <c r="G229" s="6" t="s">
        <v>399</v>
      </c>
      <c r="H229" s="6"/>
      <c r="I229" s="6"/>
      <c r="J229" s="6"/>
      <c r="K229" s="6"/>
      <c r="L229" s="6"/>
      <c r="M229" s="6"/>
      <c r="N229" s="6"/>
      <c r="O229" s="6"/>
      <c r="P229" s="6"/>
      <c r="Q229" s="6"/>
    </row>
  </sheetData>
  <mergeCells count="44">
    <mergeCell ref="AC16:AH19"/>
    <mergeCell ref="A196:A197"/>
    <mergeCell ref="B196:F196"/>
    <mergeCell ref="G196:G197"/>
    <mergeCell ref="J219:L219"/>
    <mergeCell ref="O65:R65"/>
    <mergeCell ref="U65:W65"/>
    <mergeCell ref="C92:E92"/>
    <mergeCell ref="A98:A99"/>
    <mergeCell ref="B98:B99"/>
    <mergeCell ref="C98:F98"/>
    <mergeCell ref="G98:J98"/>
    <mergeCell ref="K98:N98"/>
    <mergeCell ref="C62:E62"/>
    <mergeCell ref="B65:B66"/>
    <mergeCell ref="C65:F65"/>
    <mergeCell ref="A226:Q226"/>
    <mergeCell ref="N133:Q133"/>
    <mergeCell ref="W133:W134"/>
    <mergeCell ref="Z133:Z134"/>
    <mergeCell ref="A164:A166"/>
    <mergeCell ref="B164:E164"/>
    <mergeCell ref="A132:A133"/>
    <mergeCell ref="B132:F132"/>
    <mergeCell ref="C133:E133"/>
    <mergeCell ref="F133:I133"/>
    <mergeCell ref="J133:M133"/>
    <mergeCell ref="R133:R134"/>
    <mergeCell ref="S133:S134"/>
    <mergeCell ref="T133:T134"/>
    <mergeCell ref="U133:U134"/>
    <mergeCell ref="V133:V134"/>
    <mergeCell ref="G65:J65"/>
    <mergeCell ref="K65:N65"/>
    <mergeCell ref="G35:J35"/>
    <mergeCell ref="K35:N35"/>
    <mergeCell ref="O35:R35"/>
    <mergeCell ref="B35:B36"/>
    <mergeCell ref="C35:F35"/>
    <mergeCell ref="A1:E1"/>
    <mergeCell ref="D20:E20"/>
    <mergeCell ref="A21:B21"/>
    <mergeCell ref="A29:D29"/>
    <mergeCell ref="A30:B30"/>
  </mergeCells>
  <hyperlinks>
    <hyperlink ref="O64" r:id="rId1" display="https://www.semanticscholar.org/paper/Differences-in-grain%2Fstraw-ratio%2C-protein-content-Konvalina-Stehno/c8920241b02879926ffb06363c1fe2306dde4d96/figure/4" xr:uid="{B0B92AB7-9357-4722-8193-64EBB9253734}"/>
    <hyperlink ref="X64" r:id="rId2" display="https://www.researchgate.net/publication/317051989_A_Spatially_Explicit_Optimization_Model_for_Agricultural_Straw-Based_Power_Plant_Site_Selection_A_Case_Study_in_Hubei_Province_China/figures?lo=1" xr:uid="{6B1FA66C-4342-477C-8D1E-6F04398868FD}"/>
    <hyperlink ref="K218" r:id="rId3" display="https://apps.fas.usda.gov/psdonline/circulars/grain.pdf " xr:uid="{93BEDE88-C7A1-4284-BDA3-F14D0FDC3281}"/>
    <hyperlink ref="O218" r:id="rId4" xr:uid="{1560B272-481A-4DC0-B537-25EE72BA6A8C}"/>
    <hyperlink ref="H64" r:id="rId5" xr:uid="{5CDFCC43-E14D-4600-9408-978CC2DDE08B}"/>
    <hyperlink ref="I131" r:id="rId6" xr:uid="{3B61680D-CF8D-4F19-989F-F007030CEDBC}"/>
    <hyperlink ref="H126" r:id="rId7" xr:uid="{1B37EC15-1A23-40B5-8C64-5FF239DBDEAB}"/>
    <hyperlink ref="H128" r:id="rId8" location=":~:text=The%20study%2C%20published%20today%20in,estimate%20of%20%2451%20per%20ton. " xr:uid="{6DC55F9C-8452-4987-AC8C-92CB71D63B75}"/>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11D34-0498-4867-8C22-E4E72FCCF440}">
  <dimension ref="A1:AO229"/>
  <sheetViews>
    <sheetView topLeftCell="AA1" zoomScale="132" zoomScaleNormal="132" workbookViewId="0">
      <selection activeCell="AC3" sqref="AC3:AH6"/>
    </sheetView>
  </sheetViews>
  <sheetFormatPr defaultRowHeight="15" x14ac:dyDescent="0.25"/>
  <cols>
    <col min="1" max="1" width="14.5703125" bestFit="1" customWidth="1"/>
    <col min="2" max="2" width="25.5703125" customWidth="1"/>
    <col min="3" max="3" width="25.85546875" customWidth="1"/>
    <col min="4" max="4" width="18.85546875" customWidth="1"/>
    <col min="5" max="5" width="23.140625" customWidth="1"/>
    <col min="6" max="6" width="22" customWidth="1"/>
    <col min="7" max="7" width="19" customWidth="1"/>
    <col min="8" max="8" width="13.5703125" customWidth="1"/>
    <col min="9" max="9" width="12.140625" customWidth="1"/>
    <col min="10" max="10" width="20.140625" customWidth="1"/>
    <col min="11" max="11" width="16.425781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13.5703125" customWidth="1"/>
    <col min="23" max="23" width="14.140625" bestFit="1" customWidth="1"/>
    <col min="24" max="24" width="22.42578125" customWidth="1"/>
    <col min="25" max="25" width="25.42578125" bestFit="1" customWidth="1"/>
    <col min="26" max="26" width="13.85546875" customWidth="1"/>
    <col min="27" max="28" width="16.5703125" bestFit="1" customWidth="1"/>
    <col min="29" max="29" width="17.85546875" bestFit="1" customWidth="1"/>
    <col min="30" max="30" width="15.85546875" bestFit="1" customWidth="1"/>
    <col min="32" max="32" width="19.140625" customWidth="1"/>
    <col min="33" max="33" width="21.85546875" customWidth="1"/>
    <col min="36" max="36" width="13.5703125" customWidth="1"/>
    <col min="37" max="37" width="10.5703125" customWidth="1"/>
    <col min="38" max="38" width="10.5703125" bestFit="1" customWidth="1"/>
  </cols>
  <sheetData>
    <row r="1" spans="1:34" ht="18.75" x14ac:dyDescent="0.3">
      <c r="A1" s="841" t="s">
        <v>255</v>
      </c>
      <c r="B1" s="841"/>
      <c r="C1" s="841"/>
      <c r="D1" s="841"/>
      <c r="E1" s="841"/>
      <c r="F1" s="12"/>
      <c r="G1" s="12"/>
      <c r="H1" s="58"/>
      <c r="J1" s="1" t="s">
        <v>400</v>
      </c>
      <c r="K1" s="197">
        <f>'Prices,exch.rates,harvest index'!M2</f>
        <v>2.8759999999999999</v>
      </c>
      <c r="L1" s="1" t="s">
        <v>257</v>
      </c>
      <c r="M1" s="1"/>
      <c r="N1" s="1"/>
      <c r="O1" s="1"/>
    </row>
    <row r="2" spans="1:34" x14ac:dyDescent="0.25">
      <c r="A2" s="3" t="s">
        <v>260</v>
      </c>
      <c r="B2" s="8" t="s">
        <v>261</v>
      </c>
      <c r="C2" s="8"/>
      <c r="D2" s="8"/>
      <c r="E2" s="4"/>
      <c r="G2" s="3"/>
      <c r="H2" s="3"/>
    </row>
    <row r="3" spans="1:34" x14ac:dyDescent="0.25">
      <c r="A3" s="3"/>
      <c r="B3" s="10" t="s">
        <v>263</v>
      </c>
      <c r="C3" s="10"/>
      <c r="D3" s="10"/>
      <c r="E3" s="10"/>
      <c r="F3" s="1"/>
      <c r="G3" s="1"/>
      <c r="H3" s="1"/>
      <c r="I3" s="1"/>
      <c r="J3" s="1"/>
      <c r="K3" s="1"/>
      <c r="L3" s="1"/>
      <c r="M3" s="1"/>
      <c r="N3" s="1"/>
      <c r="O3" s="1"/>
      <c r="P3" s="1"/>
      <c r="Q3" s="1"/>
      <c r="AC3" s="852" t="s">
        <v>1258</v>
      </c>
      <c r="AD3" s="852"/>
      <c r="AE3" s="852"/>
      <c r="AF3" s="852"/>
      <c r="AG3" s="852"/>
      <c r="AH3" s="852"/>
    </row>
    <row r="4" spans="1:34" x14ac:dyDescent="0.25">
      <c r="A4" s="3"/>
      <c r="B4" s="7" t="s">
        <v>265</v>
      </c>
      <c r="C4" s="62"/>
      <c r="D4" s="62"/>
      <c r="E4" s="62"/>
      <c r="F4" s="1"/>
      <c r="G4" s="1"/>
      <c r="H4" s="1"/>
      <c r="I4" s="1"/>
      <c r="J4" s="1"/>
      <c r="K4" s="1"/>
      <c r="L4" s="1"/>
      <c r="M4" s="1"/>
      <c r="N4" s="1"/>
      <c r="O4" s="1"/>
      <c r="P4" s="1"/>
      <c r="Q4" s="1"/>
      <c r="V4" s="3"/>
      <c r="AC4" s="852"/>
      <c r="AD4" s="852"/>
      <c r="AE4" s="852"/>
      <c r="AF4" s="852"/>
      <c r="AG4" s="852"/>
      <c r="AH4" s="852"/>
    </row>
    <row r="5" spans="1:34" x14ac:dyDescent="0.25">
      <c r="A5" s="3"/>
      <c r="B5" s="183" t="s">
        <v>266</v>
      </c>
      <c r="C5" s="136"/>
      <c r="D5" s="136"/>
      <c r="E5" s="136"/>
      <c r="F5" s="1"/>
      <c r="G5" s="1"/>
      <c r="H5" s="1"/>
      <c r="I5" s="1"/>
      <c r="J5" s="1" t="s">
        <v>267</v>
      </c>
      <c r="K5" s="197">
        <f>'Prices,exch.rates,harvest index'!N2</f>
        <v>1.43</v>
      </c>
      <c r="L5" s="1" t="s">
        <v>257</v>
      </c>
      <c r="M5" s="1"/>
      <c r="N5" s="1"/>
      <c r="O5" s="1"/>
      <c r="P5" s="1"/>
      <c r="Q5" s="1"/>
      <c r="V5" s="3"/>
      <c r="Z5" s="271"/>
      <c r="AC5" s="852"/>
      <c r="AD5" s="852"/>
      <c r="AE5" s="852"/>
      <c r="AF5" s="852"/>
      <c r="AG5" s="852"/>
      <c r="AH5" s="852"/>
    </row>
    <row r="6" spans="1:34" x14ac:dyDescent="0.25">
      <c r="A6" s="3"/>
      <c r="B6" s="293" t="s">
        <v>268</v>
      </c>
      <c r="C6" s="294"/>
      <c r="D6" s="294"/>
      <c r="E6" s="294"/>
      <c r="F6" s="1"/>
      <c r="G6" s="1"/>
      <c r="H6" s="1"/>
      <c r="I6" s="1"/>
      <c r="J6" s="1"/>
      <c r="K6" s="1"/>
      <c r="L6" s="1"/>
      <c r="M6" s="1"/>
      <c r="N6" s="1"/>
      <c r="O6" s="1"/>
      <c r="P6" s="1"/>
      <c r="Q6" s="1"/>
      <c r="V6" s="3"/>
      <c r="Z6" s="430"/>
      <c r="AC6" s="852"/>
      <c r="AD6" s="852"/>
      <c r="AE6" s="852"/>
      <c r="AF6" s="852"/>
      <c r="AG6" s="852"/>
      <c r="AH6" s="852"/>
    </row>
    <row r="7" spans="1:34" x14ac:dyDescent="0.25">
      <c r="A7" s="7" t="s">
        <v>269</v>
      </c>
      <c r="B7" s="7"/>
      <c r="C7" s="7"/>
      <c r="D7" s="7"/>
      <c r="E7" s="7"/>
      <c r="F7" s="7"/>
      <c r="G7" s="7"/>
      <c r="H7" s="7"/>
      <c r="I7" s="6"/>
      <c r="J7" s="6"/>
      <c r="K7" s="6"/>
      <c r="L7" s="6"/>
      <c r="M7" s="6"/>
      <c r="N7" s="6"/>
      <c r="O7" s="6"/>
      <c r="P7" s="6"/>
      <c r="Q7" s="6"/>
      <c r="R7" s="6"/>
      <c r="S7" s="6"/>
      <c r="T7" s="6"/>
      <c r="X7" s="1" t="s">
        <v>545</v>
      </c>
    </row>
    <row r="8" spans="1:34" ht="14.45" customHeight="1" x14ac:dyDescent="0.25">
      <c r="A8" s="7" t="s">
        <v>270</v>
      </c>
      <c r="B8" s="7"/>
      <c r="C8" s="7"/>
      <c r="D8" s="7"/>
      <c r="E8" s="7"/>
      <c r="F8" s="7"/>
      <c r="G8" s="7"/>
      <c r="H8" s="7"/>
      <c r="I8" s="7"/>
      <c r="J8" s="7"/>
      <c r="K8" s="7"/>
      <c r="L8" s="7"/>
      <c r="M8" s="7"/>
      <c r="N8" s="7"/>
      <c r="O8" s="7"/>
      <c r="P8" s="7"/>
      <c r="Q8" s="7"/>
      <c r="R8" s="7"/>
      <c r="S8" s="7"/>
      <c r="T8" s="7"/>
      <c r="W8" s="1" t="s">
        <v>136</v>
      </c>
      <c r="X8" s="1" t="s">
        <v>137</v>
      </c>
      <c r="Y8" s="1" t="s">
        <v>289</v>
      </c>
      <c r="Z8" s="22" t="s">
        <v>290</v>
      </c>
      <c r="AA8" s="1" t="s">
        <v>291</v>
      </c>
      <c r="AB8" s="15" t="s">
        <v>292</v>
      </c>
      <c r="AC8" s="15" t="s">
        <v>200</v>
      </c>
      <c r="AD8" s="1" t="s">
        <v>293</v>
      </c>
      <c r="AE8" s="1" t="s">
        <v>294</v>
      </c>
      <c r="AF8" s="1" t="s">
        <v>295</v>
      </c>
    </row>
    <row r="9" spans="1:34" ht="14.45" customHeight="1" x14ac:dyDescent="0.25">
      <c r="A9" s="7"/>
      <c r="B9" s="7"/>
      <c r="C9" s="7"/>
      <c r="D9" s="7"/>
      <c r="E9" s="7"/>
      <c r="F9" s="7"/>
      <c r="G9" s="7"/>
      <c r="H9" s="7"/>
      <c r="I9" s="7"/>
      <c r="J9" s="7"/>
      <c r="K9" s="7"/>
      <c r="L9" s="7"/>
      <c r="M9" s="7"/>
      <c r="N9" s="7"/>
      <c r="O9" s="7"/>
      <c r="P9" s="7"/>
      <c r="Q9" s="7"/>
      <c r="R9" s="7"/>
      <c r="S9" s="7"/>
      <c r="T9" s="7"/>
      <c r="U9">
        <v>1</v>
      </c>
      <c r="V9" s="13" t="s">
        <v>139</v>
      </c>
      <c r="W9" s="296">
        <v>7.3199998981711625</v>
      </c>
      <c r="X9" s="296">
        <v>6.1000000000017742</v>
      </c>
      <c r="Y9" s="296">
        <v>4.6923077577313244</v>
      </c>
      <c r="Z9" s="95">
        <f>'Yield-data'!H5</f>
        <v>0</v>
      </c>
      <c r="AA9" s="140">
        <f>Z9*B37</f>
        <v>0</v>
      </c>
      <c r="AB9" s="206">
        <f>'Yield-penalty-by-LD-class'!J4</f>
        <v>0</v>
      </c>
      <c r="AC9" s="206">
        <f>'Yield-penalty-by-LD-class'!K4</f>
        <v>0</v>
      </c>
      <c r="AD9" s="95">
        <f t="shared" ref="AD9:AE24" si="0">((W9-X9)/X9)-AB9</f>
        <v>0.19999998330639893</v>
      </c>
      <c r="AE9" s="9">
        <f t="shared" si="0"/>
        <v>0.29999998187481475</v>
      </c>
      <c r="AF9" s="95">
        <f>SUMPRODUCT(W9:Y9,C37:E37)-Z9</f>
        <v>0</v>
      </c>
    </row>
    <row r="10" spans="1:34" ht="14.45" customHeight="1" x14ac:dyDescent="0.25">
      <c r="A10" s="7"/>
      <c r="B10" s="7"/>
      <c r="C10" s="7"/>
      <c r="D10" s="7"/>
      <c r="E10" s="7"/>
      <c r="F10" s="7"/>
      <c r="G10" s="7"/>
      <c r="H10" s="7"/>
      <c r="I10" s="7"/>
      <c r="J10" s="7"/>
      <c r="K10" s="7"/>
      <c r="L10" s="7"/>
      <c r="M10" s="7"/>
      <c r="N10" s="7"/>
      <c r="O10" s="7"/>
      <c r="P10" s="7"/>
      <c r="Q10" s="7"/>
      <c r="R10" s="7"/>
      <c r="S10" s="7"/>
      <c r="T10" s="7"/>
      <c r="U10">
        <v>2</v>
      </c>
      <c r="V10" s="13" t="s">
        <v>140</v>
      </c>
      <c r="W10" s="296">
        <v>7.31995572154465</v>
      </c>
      <c r="X10" s="296">
        <v>6.0999620759999997</v>
      </c>
      <c r="Y10" s="296">
        <v>4.6922777263746784</v>
      </c>
      <c r="Z10" s="95">
        <f>'Yield-data'!H6</f>
        <v>0</v>
      </c>
      <c r="AA10" s="140">
        <f t="shared" ref="AA10:AA33" si="1">Z10*B38</f>
        <v>0</v>
      </c>
      <c r="AB10" s="206">
        <f>'Yield-penalty-by-LD-class'!J5</f>
        <v>0</v>
      </c>
      <c r="AC10" s="206">
        <f>'Yield-penalty-by-LD-class'!K5</f>
        <v>0</v>
      </c>
      <c r="AD10" s="95">
        <f t="shared" si="0"/>
        <v>0.20000020169709828</v>
      </c>
      <c r="AE10" s="9">
        <f t="shared" si="0"/>
        <v>0.30000021987464892</v>
      </c>
      <c r="AF10" s="95">
        <f t="shared" ref="AF10:AF32" si="2">SUMPRODUCT(W10:Y10,C38:E38)-Z10</f>
        <v>0</v>
      </c>
    </row>
    <row r="11" spans="1:34" ht="14.45" customHeight="1" x14ac:dyDescent="0.25">
      <c r="A11" s="3" t="s">
        <v>546</v>
      </c>
      <c r="B11" s="3"/>
      <c r="C11" s="3"/>
      <c r="D11" s="3"/>
      <c r="E11" s="3"/>
      <c r="F11" s="3"/>
      <c r="G11" s="3"/>
      <c r="H11" s="3"/>
      <c r="I11" s="3"/>
      <c r="J11" s="3"/>
      <c r="K11" s="3"/>
      <c r="L11" s="3"/>
      <c r="M11" s="3"/>
      <c r="N11" s="3"/>
      <c r="O11" s="3"/>
      <c r="P11" s="3"/>
      <c r="Q11" s="3"/>
      <c r="R11" s="3"/>
      <c r="S11" s="3"/>
      <c r="T11" s="3"/>
      <c r="U11">
        <v>3</v>
      </c>
      <c r="V11" s="13" t="s">
        <v>141</v>
      </c>
      <c r="W11" s="296">
        <v>7.3199557291035742</v>
      </c>
      <c r="X11" s="296">
        <v>6.0999620759999997</v>
      </c>
      <c r="Y11" s="296">
        <v>4.692277728716804</v>
      </c>
      <c r="Z11" s="95">
        <f>'Yield-data'!H7</f>
        <v>0</v>
      </c>
      <c r="AA11" s="140">
        <f t="shared" si="1"/>
        <v>0</v>
      </c>
      <c r="AB11" s="206">
        <f>'Yield-penalty-by-LD-class'!J6</f>
        <v>0</v>
      </c>
      <c r="AC11" s="206">
        <f>'Yield-penalty-by-LD-class'!K6</f>
        <v>0</v>
      </c>
      <c r="AD11" s="95">
        <f t="shared" si="0"/>
        <v>0.20000020293627388</v>
      </c>
      <c r="AE11" s="9">
        <f t="shared" si="0"/>
        <v>0.3000002192257607</v>
      </c>
      <c r="AF11" s="95">
        <f t="shared" si="2"/>
        <v>0</v>
      </c>
    </row>
    <row r="12" spans="1:34" ht="27" customHeight="1" x14ac:dyDescent="0.25">
      <c r="A12" s="194" t="s">
        <v>1</v>
      </c>
      <c r="B12" s="15" t="s">
        <v>103</v>
      </c>
      <c r="C12" s="15" t="s">
        <v>547</v>
      </c>
      <c r="D12" s="195" t="s">
        <v>548</v>
      </c>
      <c r="E12" s="195" t="s">
        <v>549</v>
      </c>
      <c r="F12" s="194" t="s">
        <v>550</v>
      </c>
      <c r="G12" s="194" t="s">
        <v>551</v>
      </c>
      <c r="H12" s="3"/>
      <c r="I12" s="3"/>
      <c r="J12" s="3"/>
      <c r="K12" s="3"/>
      <c r="L12" s="3"/>
      <c r="M12" s="3"/>
      <c r="N12" s="3"/>
      <c r="O12" s="3"/>
      <c r="P12" s="3"/>
      <c r="Q12" s="3"/>
      <c r="R12" s="3"/>
      <c r="S12" s="3"/>
      <c r="T12" s="3"/>
      <c r="U12">
        <v>4</v>
      </c>
      <c r="V12" s="13" t="s">
        <v>142</v>
      </c>
      <c r="W12" s="296">
        <v>7.3199998980505834</v>
      </c>
      <c r="X12" s="296">
        <v>6.0999999999996835</v>
      </c>
      <c r="Y12" s="296">
        <v>4.6923077573039311</v>
      </c>
      <c r="Z12" s="95">
        <f>'Yield-data'!H8</f>
        <v>0</v>
      </c>
      <c r="AA12" s="140">
        <f t="shared" si="1"/>
        <v>0</v>
      </c>
      <c r="AB12" s="206">
        <f>'Yield-penalty-by-LD-class'!J7</f>
        <v>0</v>
      </c>
      <c r="AC12" s="206">
        <f>'Yield-penalty-by-LD-class'!K7</f>
        <v>0</v>
      </c>
      <c r="AD12" s="95">
        <f t="shared" si="0"/>
        <v>0.19999998328704316</v>
      </c>
      <c r="AE12" s="9">
        <f t="shared" si="0"/>
        <v>0.29999998199277811</v>
      </c>
      <c r="AF12" s="95">
        <f t="shared" si="2"/>
        <v>0</v>
      </c>
    </row>
    <row r="13" spans="1:34" ht="14.45" customHeight="1" x14ac:dyDescent="0.25">
      <c r="A13" s="199" t="s">
        <v>552</v>
      </c>
      <c r="B13" s="14">
        <f>'Area&amp;production data'!K29</f>
        <v>0</v>
      </c>
      <c r="C13" s="14">
        <f>'Area&amp;production data'!AB29</f>
        <v>0</v>
      </c>
      <c r="D13" s="709">
        <f>'Prices,exch.rates,harvest index'!E38</f>
        <v>0</v>
      </c>
      <c r="E13" s="14"/>
      <c r="F13" s="709">
        <f>'Prices,exch.rates,harvest index'!F38</f>
        <v>0</v>
      </c>
      <c r="G13" s="319"/>
      <c r="H13" s="3"/>
      <c r="I13" s="3"/>
      <c r="J13" s="3"/>
      <c r="K13" s="3"/>
      <c r="L13" s="3"/>
      <c r="M13" s="3"/>
      <c r="N13" s="3"/>
      <c r="O13" s="3"/>
      <c r="P13" s="3"/>
      <c r="Q13" s="3"/>
      <c r="R13" s="3"/>
      <c r="S13" s="3"/>
      <c r="T13" s="3"/>
      <c r="U13">
        <v>5</v>
      </c>
      <c r="V13" s="13" t="s">
        <v>143</v>
      </c>
      <c r="W13" s="296">
        <v>3.4799519849380407</v>
      </c>
      <c r="X13" s="296">
        <v>2.8999588760000004</v>
      </c>
      <c r="Y13" s="296">
        <v>2.2307367425247491</v>
      </c>
      <c r="Z13" s="95">
        <f>'Yield-data'!H9</f>
        <v>0</v>
      </c>
      <c r="AA13" s="140">
        <f t="shared" si="1"/>
        <v>0</v>
      </c>
      <c r="AB13" s="206">
        <f>'Yield-penalty-by-LD-class'!J8</f>
        <v>0</v>
      </c>
      <c r="AC13" s="206">
        <f>'Yield-penalty-by-LD-class'!K8</f>
        <v>0</v>
      </c>
      <c r="AD13" s="95">
        <f t="shared" si="0"/>
        <v>0.200000459916191</v>
      </c>
      <c r="AE13" s="9">
        <f t="shared" si="0"/>
        <v>0.30000049791524269</v>
      </c>
      <c r="AF13" s="95">
        <f t="shared" si="2"/>
        <v>0</v>
      </c>
    </row>
    <row r="14" spans="1:34" ht="14.45" customHeight="1" x14ac:dyDescent="0.25">
      <c r="A14" s="1"/>
      <c r="C14" t="s">
        <v>553</v>
      </c>
      <c r="D14" s="1" t="s">
        <v>554</v>
      </c>
      <c r="H14" s="3"/>
      <c r="I14" s="3"/>
      <c r="J14" s="3"/>
      <c r="K14" s="3"/>
      <c r="L14" s="3"/>
      <c r="M14" s="3"/>
      <c r="N14" s="3"/>
      <c r="O14" s="3"/>
      <c r="P14" s="3"/>
      <c r="Q14" s="3"/>
      <c r="R14" s="3"/>
      <c r="S14" s="3"/>
      <c r="T14" s="3"/>
      <c r="U14">
        <v>6</v>
      </c>
      <c r="V14" s="13" t="s">
        <v>144</v>
      </c>
      <c r="W14" s="296">
        <v>9.3599602491458018</v>
      </c>
      <c r="X14" s="296">
        <v>7.7999637760000002</v>
      </c>
      <c r="Y14" s="296">
        <v>5.9999697059144976</v>
      </c>
      <c r="Z14" s="95">
        <f>'Yield-data'!H10</f>
        <v>0</v>
      </c>
      <c r="AA14" s="140">
        <f t="shared" si="1"/>
        <v>0</v>
      </c>
      <c r="AB14" s="206">
        <f>'Yield-penalty-by-LD-class'!J9</f>
        <v>0</v>
      </c>
      <c r="AC14" s="206">
        <f>'Yield-penalty-by-LD-class'!K9</f>
        <v>0</v>
      </c>
      <c r="AD14" s="95">
        <f t="shared" si="0"/>
        <v>0.20000047666193183</v>
      </c>
      <c r="AE14" s="9">
        <f t="shared" si="0"/>
        <v>0.30000052638784996</v>
      </c>
      <c r="AF14" s="95">
        <f t="shared" si="2"/>
        <v>0</v>
      </c>
    </row>
    <row r="15" spans="1:34" ht="14.45" customHeight="1" x14ac:dyDescent="0.25">
      <c r="A15" s="1"/>
      <c r="H15" s="3"/>
      <c r="I15" s="3"/>
      <c r="J15" s="3"/>
      <c r="K15" s="3"/>
      <c r="L15" s="3"/>
      <c r="M15" s="3"/>
      <c r="N15" s="3"/>
      <c r="O15" s="3"/>
      <c r="P15" s="3"/>
      <c r="Q15" s="3"/>
      <c r="R15" s="3"/>
      <c r="S15" s="3"/>
      <c r="T15" s="3"/>
      <c r="U15">
        <v>7</v>
      </c>
      <c r="V15" s="13" t="s">
        <v>145</v>
      </c>
      <c r="W15" s="296">
        <v>52.828798146645418</v>
      </c>
      <c r="X15" s="296">
        <v>44.024000000000335</v>
      </c>
      <c r="Y15" s="296">
        <v>33.86461660256731</v>
      </c>
      <c r="Z15" s="95">
        <f>'Yield-data'!H11</f>
        <v>0</v>
      </c>
      <c r="AA15" s="140">
        <f t="shared" si="1"/>
        <v>0</v>
      </c>
      <c r="AB15" s="206">
        <f>'Yield-penalty-by-LD-class'!J10</f>
        <v>0</v>
      </c>
      <c r="AC15" s="206">
        <f>'Yield-penalty-by-LD-class'!K10</f>
        <v>0</v>
      </c>
      <c r="AD15" s="95">
        <f t="shared" si="0"/>
        <v>0.19999995790125877</v>
      </c>
      <c r="AE15" s="9">
        <f t="shared" si="0"/>
        <v>0.29999995324508805</v>
      </c>
      <c r="AF15" s="95">
        <f t="shared" si="2"/>
        <v>0</v>
      </c>
    </row>
    <row r="16" spans="1:34" ht="14.45" customHeight="1" x14ac:dyDescent="0.25">
      <c r="A16" s="1"/>
      <c r="H16" s="3"/>
      <c r="I16" s="3"/>
      <c r="J16" s="3"/>
      <c r="K16" s="3"/>
      <c r="L16" s="3"/>
      <c r="M16" s="3"/>
      <c r="N16" s="3"/>
      <c r="O16" s="3"/>
      <c r="P16" s="3"/>
      <c r="Q16" s="3"/>
      <c r="R16" s="3"/>
      <c r="S16" s="3"/>
      <c r="T16" s="3"/>
      <c r="U16">
        <v>8</v>
      </c>
      <c r="V16" s="13" t="s">
        <v>146</v>
      </c>
      <c r="W16" s="296">
        <v>4.3199999399753839</v>
      </c>
      <c r="X16" s="296">
        <v>3.5999999999996781</v>
      </c>
      <c r="Y16" s="296">
        <v>2.7692308088801489</v>
      </c>
      <c r="Z16" s="95">
        <f>'Yield-data'!H12</f>
        <v>0</v>
      </c>
      <c r="AA16" s="140">
        <f t="shared" si="1"/>
        <v>0</v>
      </c>
      <c r="AB16" s="206">
        <f>'Yield-penalty-by-LD-class'!J11</f>
        <v>0</v>
      </c>
      <c r="AC16" s="206">
        <f>'Yield-penalty-by-LD-class'!K11</f>
        <v>0</v>
      </c>
      <c r="AD16" s="95">
        <f t="shared" si="0"/>
        <v>0.19999998332660282</v>
      </c>
      <c r="AE16" s="9">
        <f t="shared" si="0"/>
        <v>0.29999998138670303</v>
      </c>
      <c r="AF16" s="95">
        <f t="shared" si="2"/>
        <v>0</v>
      </c>
    </row>
    <row r="17" spans="1:41" ht="14.45" customHeight="1" x14ac:dyDescent="0.25">
      <c r="A17" s="1"/>
      <c r="H17" s="3"/>
      <c r="I17" s="3"/>
      <c r="J17" s="3"/>
      <c r="K17" s="3"/>
      <c r="L17" s="3"/>
      <c r="M17" s="3"/>
      <c r="N17" s="3"/>
      <c r="O17" s="3"/>
      <c r="P17" s="3"/>
      <c r="Q17" s="3"/>
      <c r="R17" s="3"/>
      <c r="S17" s="3"/>
      <c r="T17" s="3"/>
      <c r="U17">
        <v>9</v>
      </c>
      <c r="V17" s="13" t="s">
        <v>147</v>
      </c>
      <c r="W17" s="296">
        <v>52.828846676458681</v>
      </c>
      <c r="X17" s="296">
        <v>44.024041435267726</v>
      </c>
      <c r="Y17" s="296">
        <v>33.864649162017898</v>
      </c>
      <c r="Z17" s="95">
        <f>'Yield-data'!H13</f>
        <v>0</v>
      </c>
      <c r="AA17" s="140">
        <f t="shared" si="1"/>
        <v>0</v>
      </c>
      <c r="AB17" s="206">
        <f>'Yield-penalty-by-LD-class'!J12</f>
        <v>0</v>
      </c>
      <c r="AC17" s="206">
        <f>'Yield-penalty-by-LD-class'!K12</f>
        <v>0</v>
      </c>
      <c r="AD17" s="95">
        <f t="shared" si="0"/>
        <v>0.19999993081365339</v>
      </c>
      <c r="AE17" s="9">
        <f t="shared" si="0"/>
        <v>0.29999992690443866</v>
      </c>
      <c r="AF17" s="95">
        <f t="shared" si="2"/>
        <v>0</v>
      </c>
    </row>
    <row r="18" spans="1:41" ht="14.45" customHeight="1" x14ac:dyDescent="0.25">
      <c r="A18" s="1"/>
      <c r="H18" s="3"/>
      <c r="I18" s="3"/>
      <c r="J18" s="3"/>
      <c r="K18" s="3"/>
      <c r="L18" s="3"/>
      <c r="M18" s="3"/>
      <c r="N18" s="3"/>
      <c r="O18" s="3"/>
      <c r="P18" s="3"/>
      <c r="Q18" s="3"/>
      <c r="R18" s="3"/>
      <c r="S18" s="3"/>
      <c r="T18" s="3"/>
      <c r="U18">
        <v>10</v>
      </c>
      <c r="V18" s="13" t="s">
        <v>148</v>
      </c>
      <c r="W18" s="296">
        <v>55.029999247933063</v>
      </c>
      <c r="X18" s="296">
        <v>44.024000000001593</v>
      </c>
      <c r="Y18" s="296">
        <v>31.445714739730764</v>
      </c>
      <c r="Z18" s="95">
        <f>'Yield-data'!H14</f>
        <v>0</v>
      </c>
      <c r="AA18" s="140">
        <f t="shared" si="1"/>
        <v>0</v>
      </c>
      <c r="AB18" s="206">
        <f>'Yield-penalty-by-LD-class'!J13</f>
        <v>0</v>
      </c>
      <c r="AC18" s="206">
        <f>'Yield-penalty-by-LD-class'!K13</f>
        <v>0</v>
      </c>
      <c r="AD18" s="95">
        <f t="shared" si="0"/>
        <v>0.24999998291684244</v>
      </c>
      <c r="AE18" s="9">
        <f t="shared" si="0"/>
        <v>0.39999997978670598</v>
      </c>
      <c r="AF18" s="95">
        <f t="shared" si="2"/>
        <v>0</v>
      </c>
    </row>
    <row r="19" spans="1:41" ht="31.5" customHeight="1" x14ac:dyDescent="0.25">
      <c r="A19" s="194" t="s">
        <v>120</v>
      </c>
      <c r="B19" s="198">
        <f>B13</f>
        <v>0</v>
      </c>
      <c r="C19" s="307">
        <f>C13</f>
        <v>0</v>
      </c>
      <c r="D19" s="198">
        <f t="shared" ref="D19:G19" si="3">D13</f>
        <v>0</v>
      </c>
      <c r="E19" s="198">
        <f t="shared" si="3"/>
        <v>0</v>
      </c>
      <c r="F19" s="198">
        <f t="shared" si="3"/>
        <v>0</v>
      </c>
      <c r="G19" s="198">
        <f t="shared" si="3"/>
        <v>0</v>
      </c>
      <c r="J19" s="22"/>
      <c r="K19" s="44"/>
      <c r="L19" s="44"/>
      <c r="N19" s="1"/>
      <c r="R19" s="18"/>
      <c r="S19" s="44"/>
      <c r="T19" s="449"/>
      <c r="U19">
        <v>11</v>
      </c>
      <c r="V19" s="13" t="s">
        <v>149</v>
      </c>
      <c r="W19" s="296">
        <v>55.029999244631554</v>
      </c>
      <c r="X19" s="296">
        <v>44.023999999999042</v>
      </c>
      <c r="Y19" s="296">
        <v>31.44571470682272</v>
      </c>
      <c r="Z19" s="95">
        <f>'Yield-data'!H15</f>
        <v>0</v>
      </c>
      <c r="AA19" s="140">
        <f t="shared" si="1"/>
        <v>0</v>
      </c>
      <c r="AB19" s="206">
        <f>'Yield-penalty-by-LD-class'!J14</f>
        <v>0</v>
      </c>
      <c r="AC19" s="206">
        <f>'Yield-penalty-by-LD-class'!K14</f>
        <v>0</v>
      </c>
      <c r="AD19" s="95">
        <f t="shared" si="0"/>
        <v>0.24999998284192151</v>
      </c>
      <c r="AE19" s="9">
        <f t="shared" si="0"/>
        <v>0.39999998125172948</v>
      </c>
      <c r="AF19" s="95">
        <f t="shared" si="2"/>
        <v>0</v>
      </c>
    </row>
    <row r="20" spans="1:41" ht="15.75" x14ac:dyDescent="0.25">
      <c r="A20" s="86"/>
      <c r="B20" s="201" t="b">
        <f>B19='Area&amp;production data'!K29</f>
        <v>1</v>
      </c>
      <c r="C20" s="201" t="b">
        <f>C19='Area&amp;production data'!AB29</f>
        <v>1</v>
      </c>
      <c r="D20" s="814" t="s">
        <v>287</v>
      </c>
      <c r="E20" s="814"/>
      <c r="J20" s="22"/>
      <c r="K20" s="44"/>
      <c r="L20" s="1"/>
      <c r="M20" s="49"/>
      <c r="N20" s="1"/>
      <c r="O20" s="20"/>
      <c r="Q20" s="18"/>
      <c r="T20" s="2"/>
      <c r="U20">
        <v>12</v>
      </c>
      <c r="V20" s="13" t="s">
        <v>150</v>
      </c>
      <c r="W20" s="296">
        <v>3.0817841402784634</v>
      </c>
      <c r="X20" s="296">
        <v>2.4654273122158772</v>
      </c>
      <c r="Y20" s="296">
        <v>1.7610195087206204</v>
      </c>
      <c r="Z20" s="95">
        <f>'Yield-data'!H16</f>
        <v>0</v>
      </c>
      <c r="AA20" s="140">
        <f t="shared" si="1"/>
        <v>0</v>
      </c>
      <c r="AB20" s="206">
        <f>'Yield-penalty-by-LD-class'!J15</f>
        <v>0</v>
      </c>
      <c r="AC20" s="206">
        <f>'Yield-penalty-by-LD-class'!K15</f>
        <v>0</v>
      </c>
      <c r="AD20" s="95">
        <f t="shared" si="0"/>
        <v>0.25000000000349509</v>
      </c>
      <c r="AE20" s="9">
        <f t="shared" si="0"/>
        <v>0.40000000000397984</v>
      </c>
      <c r="AF20" s="95">
        <f t="shared" si="2"/>
        <v>0</v>
      </c>
    </row>
    <row r="21" spans="1:41" ht="28.5" customHeight="1" x14ac:dyDescent="0.35">
      <c r="A21" s="843" t="s">
        <v>296</v>
      </c>
      <c r="B21" s="843"/>
      <c r="C21" s="18"/>
      <c r="D21" s="18">
        <v>2021</v>
      </c>
      <c r="E21" s="18">
        <v>2010</v>
      </c>
      <c r="F21" s="18">
        <v>2021</v>
      </c>
      <c r="G21" s="18">
        <v>2010</v>
      </c>
      <c r="K21" s="440"/>
      <c r="L21" s="441"/>
      <c r="P21" s="18"/>
      <c r="S21" s="450"/>
      <c r="T21" s="451"/>
      <c r="U21">
        <v>13</v>
      </c>
      <c r="V21" s="13" t="s">
        <v>151</v>
      </c>
      <c r="W21" s="296">
        <v>3.6249998068126716</v>
      </c>
      <c r="X21" s="296">
        <v>2.9000000000022137</v>
      </c>
      <c r="Y21" s="296">
        <v>2.0714286822076899</v>
      </c>
      <c r="Z21" s="95">
        <f>'Yield-data'!H17</f>
        <v>0</v>
      </c>
      <c r="AA21" s="140">
        <f t="shared" si="1"/>
        <v>0</v>
      </c>
      <c r="AB21" s="206">
        <f>'Yield-penalty-by-LD-class'!J16</f>
        <v>0</v>
      </c>
      <c r="AC21" s="206">
        <f>'Yield-penalty-by-LD-class'!K16</f>
        <v>0</v>
      </c>
      <c r="AD21" s="95">
        <f t="shared" si="0"/>
        <v>0.24999993338272569</v>
      </c>
      <c r="AE21" s="9">
        <f t="shared" si="0"/>
        <v>0.39999992512966842</v>
      </c>
      <c r="AF21" s="95">
        <f t="shared" si="2"/>
        <v>0</v>
      </c>
    </row>
    <row r="22" spans="1:41" x14ac:dyDescent="0.25">
      <c r="A22" s="1" t="s">
        <v>555</v>
      </c>
      <c r="B22" s="1"/>
      <c r="C22" s="1"/>
      <c r="D22" s="214">
        <f>D19/K1</f>
        <v>0</v>
      </c>
      <c r="E22" s="312">
        <f>F19/K5</f>
        <v>0</v>
      </c>
      <c r="F22" s="214">
        <f>D19</f>
        <v>0</v>
      </c>
      <c r="G22" s="312">
        <f>F19</f>
        <v>0</v>
      </c>
      <c r="K22" s="246"/>
      <c r="L22" s="441"/>
      <c r="S22" s="450"/>
      <c r="T22" s="451"/>
      <c r="U22">
        <v>14</v>
      </c>
      <c r="V22" s="13" t="s">
        <v>152</v>
      </c>
      <c r="W22" s="296">
        <v>3.6249998070384595</v>
      </c>
      <c r="X22" s="296">
        <v>2.9000000000022128</v>
      </c>
      <c r="Y22" s="296">
        <v>2.0714286817117427</v>
      </c>
      <c r="Z22" s="95">
        <f>'Yield-data'!H18</f>
        <v>0</v>
      </c>
      <c r="AA22" s="140">
        <f t="shared" si="1"/>
        <v>0</v>
      </c>
      <c r="AB22" s="206">
        <f>'Yield-penalty-by-LD-class'!J17</f>
        <v>0</v>
      </c>
      <c r="AC22" s="206">
        <f>'Yield-penalty-by-LD-class'!K17</f>
        <v>0</v>
      </c>
      <c r="AD22" s="95">
        <f t="shared" si="0"/>
        <v>0.24999993346058397</v>
      </c>
      <c r="AE22" s="9">
        <f t="shared" si="0"/>
        <v>0.39999992546485996</v>
      </c>
      <c r="AF22" s="95">
        <f t="shared" si="2"/>
        <v>0</v>
      </c>
    </row>
    <row r="23" spans="1:41" x14ac:dyDescent="0.25">
      <c r="A23" s="1" t="s">
        <v>556</v>
      </c>
      <c r="B23" s="1"/>
      <c r="C23" s="1"/>
      <c r="D23" s="214">
        <f>E19/K1</f>
        <v>0</v>
      </c>
      <c r="E23" s="312">
        <f>G19/K5</f>
        <v>0</v>
      </c>
      <c r="F23" s="214">
        <f>E19</f>
        <v>0</v>
      </c>
      <c r="G23" s="312">
        <f>G19</f>
        <v>0</v>
      </c>
      <c r="K23" s="246"/>
      <c r="L23" s="441"/>
      <c r="S23" s="450"/>
      <c r="T23" s="451"/>
      <c r="U23">
        <v>15</v>
      </c>
      <c r="V23" s="13" t="s">
        <v>153</v>
      </c>
      <c r="W23" s="296">
        <v>3.5220887424056166</v>
      </c>
      <c r="X23" s="296">
        <v>2.8176698615132283</v>
      </c>
      <c r="Y23" s="296">
        <v>2.0126205200028564</v>
      </c>
      <c r="Z23" s="95">
        <f>'Yield-data'!H19</f>
        <v>0</v>
      </c>
      <c r="AA23" s="140">
        <f t="shared" si="1"/>
        <v>0</v>
      </c>
      <c r="AB23" s="206">
        <f>'Yield-penalty-by-LD-class'!J18</f>
        <v>0</v>
      </c>
      <c r="AC23" s="206">
        <f>'Yield-penalty-by-LD-class'!K18</f>
        <v>0</v>
      </c>
      <c r="AD23" s="95">
        <f t="shared" si="0"/>
        <v>0.25000050237045179</v>
      </c>
      <c r="AE23" s="9">
        <f t="shared" si="0"/>
        <v>0.40000056320067201</v>
      </c>
      <c r="AF23" s="95">
        <f t="shared" si="2"/>
        <v>0</v>
      </c>
    </row>
    <row r="24" spans="1:41" x14ac:dyDescent="0.25">
      <c r="A24" s="1"/>
      <c r="B24" s="1"/>
      <c r="C24" s="1"/>
      <c r="D24" s="80" t="s">
        <v>66</v>
      </c>
      <c r="E24" s="17" t="s">
        <v>300</v>
      </c>
      <c r="F24" s="126"/>
      <c r="K24" s="246"/>
      <c r="L24" s="441"/>
      <c r="S24" s="450"/>
      <c r="T24" s="451"/>
      <c r="U24">
        <v>16</v>
      </c>
      <c r="V24" s="13" t="s">
        <v>154</v>
      </c>
      <c r="W24" s="296">
        <v>4.9750638557763818</v>
      </c>
      <c r="X24" s="296">
        <v>3.9800496237912597</v>
      </c>
      <c r="Y24" s="296">
        <v>2.8428915366319902</v>
      </c>
      <c r="Z24" s="95">
        <f>'Yield-data'!H20</f>
        <v>0</v>
      </c>
      <c r="AA24" s="140">
        <f t="shared" si="1"/>
        <v>0</v>
      </c>
      <c r="AB24" s="206">
        <f>'Yield-penalty-by-LD-class'!J19</f>
        <v>0</v>
      </c>
      <c r="AC24" s="206">
        <f>'Yield-penalty-by-LD-class'!K19</f>
        <v>0</v>
      </c>
      <c r="AD24" s="95">
        <f t="shared" si="0"/>
        <v>0.25000045879762306</v>
      </c>
      <c r="AE24" s="9">
        <f t="shared" si="0"/>
        <v>0.40000051796083474</v>
      </c>
      <c r="AF24" s="95">
        <f t="shared" si="2"/>
        <v>0</v>
      </c>
    </row>
    <row r="25" spans="1:41" x14ac:dyDescent="0.25">
      <c r="A25" s="1" t="s">
        <v>301</v>
      </c>
      <c r="B25" s="1"/>
      <c r="C25" s="1"/>
      <c r="D25" s="124">
        <f>(F22-G22)/($F$21-$G$21)/K1</f>
        <v>0</v>
      </c>
      <c r="E25" s="124">
        <f>(F23-G23)/(F21-G21)/K5</f>
        <v>0</v>
      </c>
      <c r="M25" s="44"/>
      <c r="N25" s="44"/>
      <c r="O25" s="44"/>
      <c r="P25" s="44"/>
      <c r="Q25" s="44"/>
      <c r="S25" s="450"/>
      <c r="T25" s="451"/>
      <c r="U25">
        <v>17</v>
      </c>
      <c r="V25" s="13" t="s">
        <v>155</v>
      </c>
      <c r="W25" s="296">
        <v>5.2447552442441054</v>
      </c>
      <c r="X25" s="296">
        <v>4.1958041958075496</v>
      </c>
      <c r="Y25" s="296">
        <v>2.9970029973003927</v>
      </c>
      <c r="Z25" s="95">
        <f>'Yield-data'!H21</f>
        <v>0</v>
      </c>
      <c r="AA25" s="140">
        <f t="shared" si="1"/>
        <v>0</v>
      </c>
      <c r="AB25" s="206">
        <f>'Yield-penalty-by-LD-class'!J20</f>
        <v>0</v>
      </c>
      <c r="AC25" s="206">
        <f>'Yield-penalty-by-LD-class'!K20</f>
        <v>0</v>
      </c>
      <c r="AD25" s="95">
        <f t="shared" ref="AD25:AE32" si="4">((W25-X25)/X25)-AB25</f>
        <v>0.2499999998771793</v>
      </c>
      <c r="AE25" s="9">
        <f t="shared" si="4"/>
        <v>0.39999999986219564</v>
      </c>
      <c r="AF25" s="95">
        <f t="shared" si="2"/>
        <v>0</v>
      </c>
    </row>
    <row r="26" spans="1:41" x14ac:dyDescent="0.25">
      <c r="A26" s="1" t="s">
        <v>302</v>
      </c>
      <c r="B26" s="1"/>
      <c r="C26" s="1"/>
      <c r="D26" s="124">
        <f>D25*$F$27</f>
        <v>0</v>
      </c>
      <c r="E26" s="124">
        <f>E25*$F$27</f>
        <v>0</v>
      </c>
      <c r="F26" s="1"/>
      <c r="M26" s="1"/>
      <c r="N26" s="1"/>
      <c r="O26" s="1"/>
      <c r="P26" s="1"/>
      <c r="Q26" s="1"/>
      <c r="S26" s="450"/>
      <c r="T26" s="451"/>
      <c r="U26">
        <v>18</v>
      </c>
      <c r="V26" s="13" t="s">
        <v>156</v>
      </c>
      <c r="W26" s="296">
        <v>3.4999997528609161</v>
      </c>
      <c r="X26" s="296">
        <v>2.7999999999984784</v>
      </c>
      <c r="Y26" s="296">
        <v>2.0000001414590236</v>
      </c>
      <c r="Z26" s="95">
        <f>'Yield-data'!H22</f>
        <v>0</v>
      </c>
      <c r="AA26" s="140">
        <f t="shared" si="1"/>
        <v>0</v>
      </c>
      <c r="AB26" s="206">
        <f>'Yield-penalty-by-LD-class'!J21</f>
        <v>0</v>
      </c>
      <c r="AC26" s="206">
        <f>'Yield-penalty-by-LD-class'!K21</f>
        <v>0</v>
      </c>
      <c r="AD26" s="95">
        <f t="shared" si="4"/>
        <v>0.24999991173672079</v>
      </c>
      <c r="AE26" s="9">
        <f t="shared" si="4"/>
        <v>0.39999990097792965</v>
      </c>
      <c r="AF26" s="95">
        <f t="shared" si="2"/>
        <v>0</v>
      </c>
    </row>
    <row r="27" spans="1:41" x14ac:dyDescent="0.25">
      <c r="A27" s="1" t="s">
        <v>303</v>
      </c>
      <c r="B27" s="1"/>
      <c r="C27" s="176">
        <f>'Cereals-all-year'!C24</f>
        <v>6.0970000000000003E-2</v>
      </c>
      <c r="D27" s="1"/>
      <c r="E27" s="1" t="s">
        <v>304</v>
      </c>
      <c r="F27" s="78">
        <f>1/(1+C27)</f>
        <v>0.94253371914380235</v>
      </c>
      <c r="M27" s="33"/>
      <c r="N27" s="33"/>
      <c r="O27" s="33"/>
      <c r="P27" s="33"/>
      <c r="S27" s="450"/>
      <c r="T27" s="451"/>
      <c r="U27">
        <v>19</v>
      </c>
      <c r="V27" s="13" t="s">
        <v>157</v>
      </c>
      <c r="W27" s="296">
        <v>5.062445326658823</v>
      </c>
      <c r="X27" s="296">
        <v>3.7499597260000002</v>
      </c>
      <c r="Y27" s="296">
        <v>2.419329008891276</v>
      </c>
      <c r="Z27" s="95">
        <f>'Yield-data'!H23</f>
        <v>0</v>
      </c>
      <c r="AA27" s="140">
        <f t="shared" si="1"/>
        <v>0</v>
      </c>
      <c r="AB27" s="206">
        <f>'Yield-penalty-by-LD-class'!J22</f>
        <v>0</v>
      </c>
      <c r="AC27" s="206">
        <f>'Yield-penalty-by-LD-class'!K22</f>
        <v>0</v>
      </c>
      <c r="AD27" s="95">
        <f t="shared" si="4"/>
        <v>0.3499999190814837</v>
      </c>
      <c r="AE27" s="9">
        <f t="shared" si="4"/>
        <v>0.54999990171593993</v>
      </c>
      <c r="AF27" s="95">
        <f t="shared" si="2"/>
        <v>0</v>
      </c>
    </row>
    <row r="28" spans="1:41" ht="28.5" customHeight="1" x14ac:dyDescent="0.25">
      <c r="A28" s="1"/>
      <c r="B28" s="1"/>
      <c r="C28" s="1"/>
      <c r="D28" s="1"/>
      <c r="E28" s="1"/>
      <c r="M28" s="33"/>
      <c r="N28" s="33"/>
      <c r="O28" s="33"/>
      <c r="P28" s="33"/>
      <c r="S28" s="450"/>
      <c r="T28" s="451"/>
      <c r="U28">
        <v>20</v>
      </c>
      <c r="V28" s="13" t="s">
        <v>158</v>
      </c>
      <c r="W28" s="296">
        <v>5.5333009034327452</v>
      </c>
      <c r="X28" s="296">
        <v>4.0987398285746197</v>
      </c>
      <c r="Y28" s="296">
        <v>2.6443472598698228</v>
      </c>
      <c r="Z28" s="95">
        <f>'Yield-data'!H24</f>
        <v>0</v>
      </c>
      <c r="AA28" s="140">
        <f t="shared" si="1"/>
        <v>0</v>
      </c>
      <c r="AB28" s="206">
        <f>'Yield-penalty-by-LD-class'!J23</f>
        <v>0</v>
      </c>
      <c r="AC28" s="206">
        <f>'Yield-penalty-by-LD-class'!K23</f>
        <v>0</v>
      </c>
      <c r="AD28" s="95">
        <f t="shared" ref="AD28" si="5">((W28-X28)/X28)-AB28</f>
        <v>0.35000052085692135</v>
      </c>
      <c r="AE28" s="9">
        <f t="shared" ref="AE28" si="6">((X28-Y28)/Y28)-AC28</f>
        <v>0.55000059590372952</v>
      </c>
      <c r="AF28" s="95">
        <f>SUMPRODUCT(W28:Y28,C56:E56)-Z28</f>
        <v>0</v>
      </c>
    </row>
    <row r="29" spans="1:41" ht="28.5" customHeight="1" x14ac:dyDescent="0.25">
      <c r="A29" s="844" t="s">
        <v>305</v>
      </c>
      <c r="B29" s="844"/>
      <c r="C29" s="844"/>
      <c r="D29" s="844"/>
      <c r="E29" s="18"/>
      <c r="M29" s="33"/>
      <c r="N29" s="33"/>
      <c r="O29" s="33"/>
      <c r="P29" s="33"/>
      <c r="S29" s="450"/>
      <c r="T29" s="451"/>
      <c r="U29">
        <v>21</v>
      </c>
      <c r="V29" s="13" t="s">
        <v>159</v>
      </c>
      <c r="W29" s="296">
        <v>3.7124457573605953</v>
      </c>
      <c r="X29" s="296">
        <v>2.749958726</v>
      </c>
      <c r="Y29" s="296">
        <v>1.7741662136603116</v>
      </c>
      <c r="Z29" s="95">
        <f>'Yield-data'!H25</f>
        <v>0</v>
      </c>
      <c r="AA29" s="140">
        <f t="shared" si="1"/>
        <v>0</v>
      </c>
      <c r="AB29" s="206">
        <f>'Yield-penalty-by-LD-class'!J24</f>
        <v>0</v>
      </c>
      <c r="AC29" s="206">
        <f>'Yield-penalty-by-LD-class'!K24</f>
        <v>0</v>
      </c>
      <c r="AD29" s="95">
        <f t="shared" si="4"/>
        <v>0.35000053719373364</v>
      </c>
      <c r="AE29" s="9">
        <f t="shared" si="4"/>
        <v>0.55000061709354442</v>
      </c>
      <c r="AF29" s="95">
        <f t="shared" si="2"/>
        <v>0</v>
      </c>
    </row>
    <row r="30" spans="1:41" x14ac:dyDescent="0.25">
      <c r="A30" s="844" t="s">
        <v>306</v>
      </c>
      <c r="B30" s="844"/>
      <c r="C30" s="18"/>
      <c r="D30" s="18"/>
      <c r="E30" s="18"/>
      <c r="M30" s="33"/>
      <c r="N30" s="33"/>
      <c r="O30" s="33"/>
      <c r="P30" s="33"/>
      <c r="S30" s="450"/>
      <c r="T30" s="451"/>
      <c r="U30">
        <v>22</v>
      </c>
      <c r="V30" s="13" t="s">
        <v>160</v>
      </c>
      <c r="W30" s="296">
        <v>3.71244576150854</v>
      </c>
      <c r="X30" s="296">
        <v>2.749958726</v>
      </c>
      <c r="Y30" s="296">
        <v>1.7741662142542116</v>
      </c>
      <c r="Z30" s="95">
        <f>'Yield-data'!H26</f>
        <v>0</v>
      </c>
      <c r="AA30" s="140">
        <f t="shared" si="1"/>
        <v>0</v>
      </c>
      <c r="AB30" s="206">
        <f>'Yield-penalty-by-LD-class'!J25</f>
        <v>0</v>
      </c>
      <c r="AC30" s="206">
        <f>'Yield-penalty-by-LD-class'!K25</f>
        <v>0</v>
      </c>
      <c r="AD30" s="95">
        <f t="shared" si="4"/>
        <v>0.35000053870209979</v>
      </c>
      <c r="AE30" s="9">
        <f t="shared" si="4"/>
        <v>0.55000061657468347</v>
      </c>
      <c r="AF30" s="95">
        <f t="shared" si="2"/>
        <v>0</v>
      </c>
    </row>
    <row r="31" spans="1:41" ht="27.6" customHeight="1" x14ac:dyDescent="0.25">
      <c r="A31" s="3" t="s">
        <v>557</v>
      </c>
      <c r="B31" s="3"/>
      <c r="C31" s="3"/>
      <c r="D31" s="3"/>
      <c r="E31" s="3"/>
      <c r="M31" s="34"/>
      <c r="N31" s="34"/>
      <c r="O31" s="34"/>
      <c r="P31" s="34"/>
      <c r="Q31" s="35"/>
      <c r="U31">
        <v>23</v>
      </c>
      <c r="V31" s="13" t="s">
        <v>161</v>
      </c>
      <c r="W31" s="296">
        <v>5.0625000520249177</v>
      </c>
      <c r="X31" s="296">
        <v>3.7499999999982041</v>
      </c>
      <c r="Y31" s="296">
        <v>2.4193548126898565</v>
      </c>
      <c r="Z31" s="95">
        <f>'Yield-data'!H27</f>
        <v>0</v>
      </c>
      <c r="AA31" s="140">
        <f t="shared" si="1"/>
        <v>0</v>
      </c>
      <c r="AB31" s="206">
        <f>'Yield-penalty-by-LD-class'!J26</f>
        <v>0</v>
      </c>
      <c r="AC31" s="206">
        <f>'Yield-penalty-by-LD-class'!K26</f>
        <v>0</v>
      </c>
      <c r="AD31" s="95">
        <f t="shared" si="4"/>
        <v>0.3500000138739579</v>
      </c>
      <c r="AE31" s="9">
        <f t="shared" si="4"/>
        <v>0.55000001666928977</v>
      </c>
      <c r="AF31" s="95">
        <f t="shared" si="2"/>
        <v>0</v>
      </c>
      <c r="AL31" s="1"/>
      <c r="AM31" s="1"/>
      <c r="AN31" s="1"/>
      <c r="AO31" s="22"/>
    </row>
    <row r="32" spans="1:41" x14ac:dyDescent="0.25">
      <c r="A32" s="1" t="s">
        <v>558</v>
      </c>
      <c r="F32" s="1"/>
      <c r="U32">
        <v>24</v>
      </c>
      <c r="V32" s="13" t="s">
        <v>162</v>
      </c>
      <c r="W32" s="296">
        <v>5.0624453273448387</v>
      </c>
      <c r="X32" s="296">
        <v>3.7499597260000002</v>
      </c>
      <c r="Y32" s="296">
        <v>2.419329007163816</v>
      </c>
      <c r="Z32" s="95">
        <f>'Yield-data'!H28</f>
        <v>0</v>
      </c>
      <c r="AA32" s="140">
        <f t="shared" si="1"/>
        <v>0</v>
      </c>
      <c r="AB32" s="206">
        <f>'Yield-penalty-by-LD-class'!J27</f>
        <v>0</v>
      </c>
      <c r="AC32" s="206">
        <f>'Yield-penalty-by-LD-class'!K27</f>
        <v>0</v>
      </c>
      <c r="AD32" s="95">
        <f t="shared" si="4"/>
        <v>0.3499999192644232</v>
      </c>
      <c r="AE32" s="9">
        <f t="shared" si="4"/>
        <v>0.54999990282267763</v>
      </c>
      <c r="AF32" s="95">
        <f t="shared" si="2"/>
        <v>0</v>
      </c>
      <c r="AL32" s="49"/>
      <c r="AM32" s="49"/>
      <c r="AN32" s="49"/>
      <c r="AO32" s="49"/>
    </row>
    <row r="33" spans="1:40" x14ac:dyDescent="0.25">
      <c r="W33" s="28" t="e">
        <f>SUMPRODUCT($B$37:$B$60,W9:W32)/$B$61</f>
        <v>#DIV/0!</v>
      </c>
      <c r="X33" s="28" t="e">
        <f>SUMPRODUCT($B$37:$B$60,X9:X32)/$B$61</f>
        <v>#DIV/0!</v>
      </c>
      <c r="Y33" s="28" t="e">
        <f>SUMPRODUCT($B$37:$B$60,Y9:Y32)/$B$61</f>
        <v>#DIV/0!</v>
      </c>
      <c r="Z33" s="28" t="e">
        <f>SUMPRODUCT($B$37:$B$60,Z9:Z32)/$B$61</f>
        <v>#DIV/0!</v>
      </c>
      <c r="AA33" s="26" t="e">
        <f t="shared" si="1"/>
        <v>#DIV/0!</v>
      </c>
      <c r="AB33" s="37" t="e">
        <f>SUMPRODUCT(AB9:AB32,B37:B60)/B61</f>
        <v>#DIV/0!</v>
      </c>
      <c r="AC33" s="37" t="e">
        <f>SUMPRODUCT(AC9:AC32,B37:B60)/B61</f>
        <v>#DIV/0!</v>
      </c>
      <c r="AD33" s="124">
        <f>SUM(AD9:AD32)</f>
        <v>6.1500033342066143</v>
      </c>
      <c r="AE33" s="124">
        <f>SUM(AE9:AE32)</f>
        <v>9.6000037332257655</v>
      </c>
      <c r="AF33" s="124">
        <f>SUM(AF9:AF32)</f>
        <v>0</v>
      </c>
      <c r="AL33" s="83"/>
      <c r="AM33" s="83"/>
      <c r="AN33" s="83"/>
    </row>
    <row r="34" spans="1:40" ht="19.350000000000001" customHeight="1" x14ac:dyDescent="0.25">
      <c r="A34" s="1" t="s">
        <v>559</v>
      </c>
      <c r="D34" s="1"/>
      <c r="F34" s="1"/>
      <c r="G34" s="60"/>
      <c r="H34" s="60"/>
      <c r="J34" s="246"/>
      <c r="K34" s="246"/>
      <c r="L34" s="442"/>
      <c r="AA34" s="26" t="e">
        <f>SUM(AA9:AA32)=AA33</f>
        <v>#DIV/0!</v>
      </c>
    </row>
    <row r="35" spans="1:40" ht="44.45" customHeight="1" x14ac:dyDescent="0.25">
      <c r="A35" s="1" t="s">
        <v>101</v>
      </c>
      <c r="B35" s="814" t="s">
        <v>560</v>
      </c>
      <c r="C35" s="814" t="s">
        <v>561</v>
      </c>
      <c r="D35" s="814"/>
      <c r="E35" s="814"/>
      <c r="F35" s="814"/>
      <c r="G35" s="814" t="s">
        <v>562</v>
      </c>
      <c r="H35" s="814"/>
      <c r="I35" s="814"/>
      <c r="J35" s="814"/>
      <c r="K35" s="814" t="s">
        <v>563</v>
      </c>
      <c r="L35" s="814"/>
      <c r="M35" s="814"/>
      <c r="N35" s="814"/>
      <c r="O35" s="814" t="s">
        <v>564</v>
      </c>
      <c r="P35" s="814"/>
      <c r="Q35" s="814"/>
      <c r="R35" s="814"/>
      <c r="S35" s="17" t="s">
        <v>120</v>
      </c>
      <c r="T35" s="44"/>
      <c r="AK35" s="52"/>
      <c r="AL35" s="1"/>
      <c r="AM35" s="1"/>
    </row>
    <row r="36" spans="1:40" x14ac:dyDescent="0.25">
      <c r="A36" s="1"/>
      <c r="B36" s="814"/>
      <c r="C36" s="1" t="s">
        <v>136</v>
      </c>
      <c r="D36" s="1" t="s">
        <v>137</v>
      </c>
      <c r="E36" s="1" t="s">
        <v>138</v>
      </c>
      <c r="F36" s="1" t="s">
        <v>120</v>
      </c>
      <c r="G36" s="1" t="s">
        <v>136</v>
      </c>
      <c r="H36" s="1" t="s">
        <v>137</v>
      </c>
      <c r="I36" s="1" t="s">
        <v>289</v>
      </c>
      <c r="J36" s="1" t="s">
        <v>120</v>
      </c>
      <c r="K36" s="1" t="s">
        <v>136</v>
      </c>
      <c r="L36" s="1" t="s">
        <v>137</v>
      </c>
      <c r="M36" s="1" t="s">
        <v>289</v>
      </c>
      <c r="N36" s="1" t="s">
        <v>120</v>
      </c>
      <c r="O36" s="1" t="s">
        <v>136</v>
      </c>
      <c r="P36" s="1" t="s">
        <v>137</v>
      </c>
      <c r="Q36" s="1" t="s">
        <v>289</v>
      </c>
      <c r="R36" s="1" t="s">
        <v>120</v>
      </c>
    </row>
    <row r="37" spans="1:40" x14ac:dyDescent="0.25">
      <c r="A37" s="13" t="s">
        <v>139</v>
      </c>
      <c r="B37" s="67">
        <f>'Area&amp;production data'!K5</f>
        <v>0</v>
      </c>
      <c r="C37" s="169">
        <f>'Area&amp;production data'!BQ5</f>
        <v>0</v>
      </c>
      <c r="D37" s="169">
        <f>'Area&amp;production data'!BR5</f>
        <v>0</v>
      </c>
      <c r="E37" s="169">
        <f>'Area&amp;production data'!BS5</f>
        <v>0</v>
      </c>
      <c r="F37" s="25">
        <f>SUM(C37:E37)</f>
        <v>0</v>
      </c>
      <c r="G37" s="180">
        <f>$W9-W9</f>
        <v>0</v>
      </c>
      <c r="H37" s="180">
        <f>$W9-X9</f>
        <v>1.2199998981693883</v>
      </c>
      <c r="I37" s="180">
        <f>$W9-Y9</f>
        <v>2.6276921404398381</v>
      </c>
      <c r="J37" s="81">
        <f>SUMPRODUCT(C37:E37,G37:I37)</f>
        <v>0</v>
      </c>
      <c r="K37" s="38">
        <f t="shared" ref="K37:M37" si="7">G37*C37*$B37</f>
        <v>0</v>
      </c>
      <c r="L37" s="38">
        <f t="shared" si="7"/>
        <v>0</v>
      </c>
      <c r="M37" s="38">
        <f t="shared" si="7"/>
        <v>0</v>
      </c>
      <c r="N37" s="38">
        <f>SUM(K37:M37)</f>
        <v>0</v>
      </c>
      <c r="O37" s="38">
        <f t="shared" ref="O37:Q37" si="8">$D$22*K37</f>
        <v>0</v>
      </c>
      <c r="P37" s="38">
        <f t="shared" si="8"/>
        <v>0</v>
      </c>
      <c r="Q37" s="38">
        <f t="shared" si="8"/>
        <v>0</v>
      </c>
      <c r="R37" s="24">
        <f>SUM(O37:Q37)</f>
        <v>0</v>
      </c>
    </row>
    <row r="38" spans="1:40" x14ac:dyDescent="0.25">
      <c r="A38" s="13" t="s">
        <v>140</v>
      </c>
      <c r="B38" s="67">
        <f>'Area&amp;production data'!K6</f>
        <v>0</v>
      </c>
      <c r="C38" s="169">
        <f>'Area&amp;production data'!BQ6</f>
        <v>0</v>
      </c>
      <c r="D38" s="169">
        <f>'Area&amp;production data'!BR6</f>
        <v>0</v>
      </c>
      <c r="E38" s="169">
        <f>'Area&amp;production data'!BS6</f>
        <v>0</v>
      </c>
      <c r="F38" s="25">
        <f t="shared" ref="F38:F60" si="9">SUM(C38:E38)</f>
        <v>0</v>
      </c>
      <c r="G38" s="180">
        <f t="shared" ref="G38:I38" si="10">$W10-W10</f>
        <v>0</v>
      </c>
      <c r="H38" s="180">
        <f t="shared" si="10"/>
        <v>1.2199936455446503</v>
      </c>
      <c r="I38" s="180">
        <f t="shared" si="10"/>
        <v>2.6276779951699716</v>
      </c>
      <c r="J38" s="81">
        <f t="shared" ref="J38:J60" si="11">SUMPRODUCT(C38:E38,G38:I38)</f>
        <v>0</v>
      </c>
      <c r="K38" s="38">
        <f t="shared" ref="K38:K60" si="12">G38*C38*$B38</f>
        <v>0</v>
      </c>
      <c r="L38" s="38">
        <f t="shared" ref="L38:L60" si="13">H38*D38*$B38</f>
        <v>0</v>
      </c>
      <c r="M38" s="38">
        <f t="shared" ref="M38:M60" si="14">I38*E38*$B38</f>
        <v>0</v>
      </c>
      <c r="N38" s="38">
        <f t="shared" ref="N38:N60" si="15">SUM(K38:M38)</f>
        <v>0</v>
      </c>
      <c r="O38" s="38">
        <f t="shared" ref="O38:O60" si="16">$D$22*K38</f>
        <v>0</v>
      </c>
      <c r="P38" s="38">
        <f t="shared" ref="P38:P60" si="17">$D$22*L38</f>
        <v>0</v>
      </c>
      <c r="Q38" s="38">
        <f t="shared" ref="Q38:Q60" si="18">$D$22*M38</f>
        <v>0</v>
      </c>
      <c r="R38" s="24">
        <f t="shared" ref="R38:R60" si="19">SUM(O38:Q38)</f>
        <v>0</v>
      </c>
    </row>
    <row r="39" spans="1:40" x14ac:dyDescent="0.25">
      <c r="A39" s="13" t="s">
        <v>141</v>
      </c>
      <c r="B39" s="67">
        <f>'Area&amp;production data'!K7</f>
        <v>0</v>
      </c>
      <c r="C39" s="169">
        <f>'Area&amp;production data'!BQ7</f>
        <v>0</v>
      </c>
      <c r="D39" s="169">
        <f>'Area&amp;production data'!BR7</f>
        <v>0</v>
      </c>
      <c r="E39" s="169">
        <f>'Area&amp;production data'!BS7</f>
        <v>0</v>
      </c>
      <c r="F39" s="25">
        <f t="shared" si="9"/>
        <v>0</v>
      </c>
      <c r="G39" s="180">
        <f t="shared" ref="G39:I39" si="20">$W11-W11</f>
        <v>0</v>
      </c>
      <c r="H39" s="180">
        <f t="shared" si="20"/>
        <v>1.2199936531035744</v>
      </c>
      <c r="I39" s="180">
        <f t="shared" si="20"/>
        <v>2.6276780003867701</v>
      </c>
      <c r="J39" s="81">
        <f t="shared" si="11"/>
        <v>0</v>
      </c>
      <c r="K39" s="38">
        <f t="shared" si="12"/>
        <v>0</v>
      </c>
      <c r="L39" s="38">
        <f t="shared" si="13"/>
        <v>0</v>
      </c>
      <c r="M39" s="38">
        <f t="shared" si="14"/>
        <v>0</v>
      </c>
      <c r="N39" s="38">
        <f t="shared" si="15"/>
        <v>0</v>
      </c>
      <c r="O39" s="38">
        <f t="shared" si="16"/>
        <v>0</v>
      </c>
      <c r="P39" s="38">
        <f t="shared" si="17"/>
        <v>0</v>
      </c>
      <c r="Q39" s="38">
        <f t="shared" si="18"/>
        <v>0</v>
      </c>
      <c r="R39" s="24">
        <f t="shared" si="19"/>
        <v>0</v>
      </c>
    </row>
    <row r="40" spans="1:40" x14ac:dyDescent="0.25">
      <c r="A40" s="13" t="s">
        <v>142</v>
      </c>
      <c r="B40" s="67">
        <f>'Area&amp;production data'!K8</f>
        <v>0</v>
      </c>
      <c r="C40" s="169">
        <f>'Area&amp;production data'!BQ8</f>
        <v>0</v>
      </c>
      <c r="D40" s="169">
        <f>'Area&amp;production data'!BR8</f>
        <v>0</v>
      </c>
      <c r="E40" s="169">
        <f>'Area&amp;production data'!BS8</f>
        <v>0</v>
      </c>
      <c r="F40" s="25">
        <f t="shared" si="9"/>
        <v>0</v>
      </c>
      <c r="G40" s="180">
        <f t="shared" ref="G40:I40" si="21">$W12-W12</f>
        <v>0</v>
      </c>
      <c r="H40" s="180">
        <f t="shared" si="21"/>
        <v>1.2199998980508999</v>
      </c>
      <c r="I40" s="180">
        <f t="shared" si="21"/>
        <v>2.6276921407466522</v>
      </c>
      <c r="J40" s="81">
        <f t="shared" si="11"/>
        <v>0</v>
      </c>
      <c r="K40" s="38">
        <f t="shared" si="12"/>
        <v>0</v>
      </c>
      <c r="L40" s="38">
        <f t="shared" si="13"/>
        <v>0</v>
      </c>
      <c r="M40" s="38">
        <f t="shared" si="14"/>
        <v>0</v>
      </c>
      <c r="N40" s="38">
        <f t="shared" si="15"/>
        <v>0</v>
      </c>
      <c r="O40" s="38">
        <f t="shared" si="16"/>
        <v>0</v>
      </c>
      <c r="P40" s="38">
        <f t="shared" si="17"/>
        <v>0</v>
      </c>
      <c r="Q40" s="38">
        <f t="shared" si="18"/>
        <v>0</v>
      </c>
      <c r="R40" s="24">
        <f t="shared" si="19"/>
        <v>0</v>
      </c>
    </row>
    <row r="41" spans="1:40" x14ac:dyDescent="0.25">
      <c r="A41" s="13" t="s">
        <v>143</v>
      </c>
      <c r="B41" s="67">
        <f>'Area&amp;production data'!K9</f>
        <v>0</v>
      </c>
      <c r="C41" s="169">
        <f>'Area&amp;production data'!BQ9</f>
        <v>0</v>
      </c>
      <c r="D41" s="169">
        <f>'Area&amp;production data'!BR9</f>
        <v>0</v>
      </c>
      <c r="E41" s="169">
        <f>'Area&amp;production data'!BS9</f>
        <v>0</v>
      </c>
      <c r="F41" s="25">
        <f t="shared" si="9"/>
        <v>0</v>
      </c>
      <c r="G41" s="180">
        <f t="shared" ref="G41:I41" si="22">$W13-W13</f>
        <v>0</v>
      </c>
      <c r="H41" s="180">
        <f t="shared" si="22"/>
        <v>0.57999310893804035</v>
      </c>
      <c r="I41" s="180">
        <f t="shared" si="22"/>
        <v>1.2492152424132916</v>
      </c>
      <c r="J41" s="81">
        <f t="shared" si="11"/>
        <v>0</v>
      </c>
      <c r="K41" s="38">
        <f t="shared" si="12"/>
        <v>0</v>
      </c>
      <c r="L41" s="38">
        <f t="shared" si="13"/>
        <v>0</v>
      </c>
      <c r="M41" s="38">
        <f t="shared" si="14"/>
        <v>0</v>
      </c>
      <c r="N41" s="38">
        <f t="shared" si="15"/>
        <v>0</v>
      </c>
      <c r="O41" s="38">
        <f t="shared" si="16"/>
        <v>0</v>
      </c>
      <c r="P41" s="38">
        <f t="shared" si="17"/>
        <v>0</v>
      </c>
      <c r="Q41" s="38">
        <f t="shared" si="18"/>
        <v>0</v>
      </c>
      <c r="R41" s="24">
        <f t="shared" si="19"/>
        <v>0</v>
      </c>
    </row>
    <row r="42" spans="1:40" x14ac:dyDescent="0.25">
      <c r="A42" s="13" t="s">
        <v>144</v>
      </c>
      <c r="B42" s="67">
        <f>'Area&amp;production data'!K10</f>
        <v>0</v>
      </c>
      <c r="C42" s="169">
        <f>'Area&amp;production data'!BQ10</f>
        <v>0</v>
      </c>
      <c r="D42" s="169">
        <f>'Area&amp;production data'!BR10</f>
        <v>0</v>
      </c>
      <c r="E42" s="169">
        <f>'Area&amp;production data'!BS10</f>
        <v>0</v>
      </c>
      <c r="F42" s="25">
        <f t="shared" si="9"/>
        <v>0</v>
      </c>
      <c r="G42" s="180">
        <f t="shared" ref="G42:I42" si="23">$W14-W14</f>
        <v>0</v>
      </c>
      <c r="H42" s="180">
        <f t="shared" si="23"/>
        <v>1.5599964731458016</v>
      </c>
      <c r="I42" s="180">
        <f t="shared" si="23"/>
        <v>3.3599905432313042</v>
      </c>
      <c r="J42" s="81">
        <f t="shared" si="11"/>
        <v>0</v>
      </c>
      <c r="K42" s="38">
        <f t="shared" si="12"/>
        <v>0</v>
      </c>
      <c r="L42" s="38">
        <f t="shared" si="13"/>
        <v>0</v>
      </c>
      <c r="M42" s="38">
        <f t="shared" si="14"/>
        <v>0</v>
      </c>
      <c r="N42" s="38">
        <f t="shared" si="15"/>
        <v>0</v>
      </c>
      <c r="O42" s="38">
        <f t="shared" si="16"/>
        <v>0</v>
      </c>
      <c r="P42" s="38">
        <f t="shared" si="17"/>
        <v>0</v>
      </c>
      <c r="Q42" s="38">
        <f t="shared" si="18"/>
        <v>0</v>
      </c>
      <c r="R42" s="24">
        <f t="shared" si="19"/>
        <v>0</v>
      </c>
    </row>
    <row r="43" spans="1:40" x14ac:dyDescent="0.25">
      <c r="A43" s="13" t="s">
        <v>145</v>
      </c>
      <c r="B43" s="67">
        <f>'Area&amp;production data'!K11</f>
        <v>0</v>
      </c>
      <c r="C43" s="169">
        <f>'Area&amp;production data'!BQ11</f>
        <v>0</v>
      </c>
      <c r="D43" s="169">
        <f>'Area&amp;production data'!BR11</f>
        <v>0</v>
      </c>
      <c r="E43" s="169">
        <f>'Area&amp;production data'!BS11</f>
        <v>0</v>
      </c>
      <c r="F43" s="25">
        <f t="shared" si="9"/>
        <v>0</v>
      </c>
      <c r="G43" s="180">
        <f t="shared" ref="G43:I43" si="24">$W15-W15</f>
        <v>0</v>
      </c>
      <c r="H43" s="180">
        <f t="shared" si="24"/>
        <v>8.8047981466450835</v>
      </c>
      <c r="I43" s="180">
        <f t="shared" si="24"/>
        <v>18.964181544078109</v>
      </c>
      <c r="J43" s="81">
        <f t="shared" si="11"/>
        <v>0</v>
      </c>
      <c r="K43" s="38">
        <f t="shared" si="12"/>
        <v>0</v>
      </c>
      <c r="L43" s="38">
        <f t="shared" si="13"/>
        <v>0</v>
      </c>
      <c r="M43" s="38">
        <f t="shared" si="14"/>
        <v>0</v>
      </c>
      <c r="N43" s="38">
        <f t="shared" si="15"/>
        <v>0</v>
      </c>
      <c r="O43" s="38">
        <f t="shared" si="16"/>
        <v>0</v>
      </c>
      <c r="P43" s="38">
        <f t="shared" si="17"/>
        <v>0</v>
      </c>
      <c r="Q43" s="38">
        <f t="shared" si="18"/>
        <v>0</v>
      </c>
      <c r="R43" s="24">
        <f t="shared" si="19"/>
        <v>0</v>
      </c>
    </row>
    <row r="44" spans="1:40" x14ac:dyDescent="0.25">
      <c r="A44" s="13" t="s">
        <v>146</v>
      </c>
      <c r="B44" s="67">
        <f>'Area&amp;production data'!K12</f>
        <v>0</v>
      </c>
      <c r="C44" s="169">
        <f>'Area&amp;production data'!BQ12</f>
        <v>0</v>
      </c>
      <c r="D44" s="169">
        <f>'Area&amp;production data'!BR12</f>
        <v>0</v>
      </c>
      <c r="E44" s="169">
        <f>'Area&amp;production data'!BS12</f>
        <v>0</v>
      </c>
      <c r="F44" s="25">
        <f t="shared" si="9"/>
        <v>0</v>
      </c>
      <c r="G44" s="180">
        <f t="shared" ref="G44:I44" si="25">$W16-W16</f>
        <v>0</v>
      </c>
      <c r="H44" s="180">
        <f t="shared" si="25"/>
        <v>0.71999993997570577</v>
      </c>
      <c r="I44" s="180">
        <f t="shared" si="25"/>
        <v>1.550769131095235</v>
      </c>
      <c r="J44" s="81">
        <f t="shared" si="11"/>
        <v>0</v>
      </c>
      <c r="K44" s="38">
        <f t="shared" si="12"/>
        <v>0</v>
      </c>
      <c r="L44" s="38">
        <f t="shared" si="13"/>
        <v>0</v>
      </c>
      <c r="M44" s="38">
        <f t="shared" si="14"/>
        <v>0</v>
      </c>
      <c r="N44" s="38">
        <f t="shared" si="15"/>
        <v>0</v>
      </c>
      <c r="O44" s="38">
        <f t="shared" si="16"/>
        <v>0</v>
      </c>
      <c r="P44" s="38">
        <f t="shared" si="17"/>
        <v>0</v>
      </c>
      <c r="Q44" s="38">
        <f t="shared" si="18"/>
        <v>0</v>
      </c>
      <c r="R44" s="24">
        <f t="shared" si="19"/>
        <v>0</v>
      </c>
    </row>
    <row r="45" spans="1:40" x14ac:dyDescent="0.25">
      <c r="A45" s="13" t="s">
        <v>147</v>
      </c>
      <c r="B45" s="67">
        <f>'Area&amp;production data'!K13</f>
        <v>0</v>
      </c>
      <c r="C45" s="169">
        <f>'Area&amp;production data'!BQ13</f>
        <v>0</v>
      </c>
      <c r="D45" s="169">
        <f>'Area&amp;production data'!BR13</f>
        <v>0</v>
      </c>
      <c r="E45" s="169">
        <f>'Area&amp;production data'!BS13</f>
        <v>0</v>
      </c>
      <c r="F45" s="25">
        <f t="shared" si="9"/>
        <v>0</v>
      </c>
      <c r="G45" s="180">
        <f t="shared" ref="G45:I45" si="26">$W17-W17</f>
        <v>0</v>
      </c>
      <c r="H45" s="180">
        <f t="shared" si="26"/>
        <v>8.8048052411909552</v>
      </c>
      <c r="I45" s="180">
        <f t="shared" si="26"/>
        <v>18.964197514440784</v>
      </c>
      <c r="J45" s="81">
        <f t="shared" si="11"/>
        <v>0</v>
      </c>
      <c r="K45" s="38">
        <f t="shared" si="12"/>
        <v>0</v>
      </c>
      <c r="L45" s="38">
        <f t="shared" si="13"/>
        <v>0</v>
      </c>
      <c r="M45" s="38">
        <f t="shared" si="14"/>
        <v>0</v>
      </c>
      <c r="N45" s="38">
        <f t="shared" si="15"/>
        <v>0</v>
      </c>
      <c r="O45" s="38">
        <f t="shared" si="16"/>
        <v>0</v>
      </c>
      <c r="P45" s="38">
        <f t="shared" si="17"/>
        <v>0</v>
      </c>
      <c r="Q45" s="38">
        <f t="shared" si="18"/>
        <v>0</v>
      </c>
      <c r="R45" s="24">
        <f t="shared" si="19"/>
        <v>0</v>
      </c>
    </row>
    <row r="46" spans="1:40" x14ac:dyDescent="0.25">
      <c r="A46" s="13" t="s">
        <v>148</v>
      </c>
      <c r="B46" s="67">
        <f>'Area&amp;production data'!K14</f>
        <v>0</v>
      </c>
      <c r="C46" s="169">
        <f>'Area&amp;production data'!BQ14</f>
        <v>0</v>
      </c>
      <c r="D46" s="169">
        <f>'Area&amp;production data'!BR14</f>
        <v>0</v>
      </c>
      <c r="E46" s="169">
        <f>'Area&amp;production data'!BS14</f>
        <v>0</v>
      </c>
      <c r="F46" s="25">
        <f t="shared" si="9"/>
        <v>0</v>
      </c>
      <c r="G46" s="180">
        <f t="shared" ref="G46:I46" si="27">$W18-W18</f>
        <v>0</v>
      </c>
      <c r="H46" s="180">
        <f t="shared" si="27"/>
        <v>11.00599924793147</v>
      </c>
      <c r="I46" s="180">
        <f t="shared" si="27"/>
        <v>23.584284508202298</v>
      </c>
      <c r="J46" s="81">
        <f t="shared" si="11"/>
        <v>0</v>
      </c>
      <c r="K46" s="38">
        <f t="shared" si="12"/>
        <v>0</v>
      </c>
      <c r="L46" s="38">
        <f t="shared" si="13"/>
        <v>0</v>
      </c>
      <c r="M46" s="38">
        <f t="shared" si="14"/>
        <v>0</v>
      </c>
      <c r="N46" s="38">
        <f t="shared" si="15"/>
        <v>0</v>
      </c>
      <c r="O46" s="38">
        <f t="shared" si="16"/>
        <v>0</v>
      </c>
      <c r="P46" s="38">
        <f t="shared" si="17"/>
        <v>0</v>
      </c>
      <c r="Q46" s="38">
        <f t="shared" si="18"/>
        <v>0</v>
      </c>
      <c r="R46" s="24">
        <f t="shared" si="19"/>
        <v>0</v>
      </c>
    </row>
    <row r="47" spans="1:40" x14ac:dyDescent="0.25">
      <c r="A47" s="13" t="s">
        <v>149</v>
      </c>
      <c r="B47" s="67">
        <f>'Area&amp;production data'!K15</f>
        <v>0</v>
      </c>
      <c r="C47" s="169">
        <f>'Area&amp;production data'!BQ15</f>
        <v>0</v>
      </c>
      <c r="D47" s="169">
        <f>'Area&amp;production data'!BR15</f>
        <v>0</v>
      </c>
      <c r="E47" s="169">
        <f>'Area&amp;production data'!BS15</f>
        <v>0</v>
      </c>
      <c r="F47" s="25">
        <f t="shared" si="9"/>
        <v>0</v>
      </c>
      <c r="G47" s="180">
        <f t="shared" ref="G47:I47" si="28">$W19-W19</f>
        <v>0</v>
      </c>
      <c r="H47" s="180">
        <f t="shared" si="28"/>
        <v>11.005999244632513</v>
      </c>
      <c r="I47" s="180">
        <f t="shared" si="28"/>
        <v>23.584284537808834</v>
      </c>
      <c r="J47" s="81">
        <f t="shared" si="11"/>
        <v>0</v>
      </c>
      <c r="K47" s="38">
        <f t="shared" si="12"/>
        <v>0</v>
      </c>
      <c r="L47" s="38">
        <f t="shared" si="13"/>
        <v>0</v>
      </c>
      <c r="M47" s="38">
        <f t="shared" si="14"/>
        <v>0</v>
      </c>
      <c r="N47" s="38">
        <f t="shared" si="15"/>
        <v>0</v>
      </c>
      <c r="O47" s="38">
        <f t="shared" si="16"/>
        <v>0</v>
      </c>
      <c r="P47" s="38">
        <f t="shared" si="17"/>
        <v>0</v>
      </c>
      <c r="Q47" s="38">
        <f t="shared" si="18"/>
        <v>0</v>
      </c>
      <c r="R47" s="24">
        <f t="shared" si="19"/>
        <v>0</v>
      </c>
    </row>
    <row r="48" spans="1:40" x14ac:dyDescent="0.25">
      <c r="A48" s="13" t="s">
        <v>150</v>
      </c>
      <c r="B48" s="67">
        <f>'Area&amp;production data'!K16</f>
        <v>0</v>
      </c>
      <c r="C48" s="169">
        <f>'Area&amp;production data'!BQ16</f>
        <v>0</v>
      </c>
      <c r="D48" s="169">
        <f>'Area&amp;production data'!BR16</f>
        <v>0</v>
      </c>
      <c r="E48" s="169">
        <f>'Area&amp;production data'!BS16</f>
        <v>0</v>
      </c>
      <c r="F48" s="25">
        <f t="shared" si="9"/>
        <v>0</v>
      </c>
      <c r="G48" s="180">
        <f t="shared" ref="G48:I48" si="29">$W20-W20</f>
        <v>0</v>
      </c>
      <c r="H48" s="180">
        <f t="shared" si="29"/>
        <v>0.61635682806258618</v>
      </c>
      <c r="I48" s="180">
        <f t="shared" si="29"/>
        <v>1.320764631557843</v>
      </c>
      <c r="J48" s="81">
        <f t="shared" si="11"/>
        <v>0</v>
      </c>
      <c r="K48" s="38">
        <f t="shared" si="12"/>
        <v>0</v>
      </c>
      <c r="L48" s="38">
        <f t="shared" si="13"/>
        <v>0</v>
      </c>
      <c r="M48" s="38">
        <f t="shared" si="14"/>
        <v>0</v>
      </c>
      <c r="N48" s="38">
        <f t="shared" si="15"/>
        <v>0</v>
      </c>
      <c r="O48" s="38">
        <f t="shared" si="16"/>
        <v>0</v>
      </c>
      <c r="P48" s="38">
        <f t="shared" si="17"/>
        <v>0</v>
      </c>
      <c r="Q48" s="38">
        <f t="shared" si="18"/>
        <v>0</v>
      </c>
      <c r="R48" s="24">
        <f t="shared" si="19"/>
        <v>0</v>
      </c>
    </row>
    <row r="49" spans="1:30" x14ac:dyDescent="0.25">
      <c r="A49" s="13" t="s">
        <v>151</v>
      </c>
      <c r="B49" s="67">
        <f>'Area&amp;production data'!K17</f>
        <v>0</v>
      </c>
      <c r="C49" s="169">
        <f>'Area&amp;production data'!BQ17</f>
        <v>0</v>
      </c>
      <c r="D49" s="169">
        <f>'Area&amp;production data'!BR17</f>
        <v>0</v>
      </c>
      <c r="E49" s="169">
        <f>'Area&amp;production data'!BS17</f>
        <v>0</v>
      </c>
      <c r="F49" s="25">
        <f t="shared" si="9"/>
        <v>0</v>
      </c>
      <c r="G49" s="180">
        <f t="shared" ref="G49:I49" si="30">$W21-W21</f>
        <v>0</v>
      </c>
      <c r="H49" s="180">
        <f t="shared" si="30"/>
        <v>0.72499980681045795</v>
      </c>
      <c r="I49" s="180">
        <f t="shared" si="30"/>
        <v>1.5535711246049817</v>
      </c>
      <c r="J49" s="81">
        <f t="shared" si="11"/>
        <v>0</v>
      </c>
      <c r="K49" s="38">
        <f t="shared" si="12"/>
        <v>0</v>
      </c>
      <c r="L49" s="38">
        <f t="shared" si="13"/>
        <v>0</v>
      </c>
      <c r="M49" s="38">
        <f t="shared" si="14"/>
        <v>0</v>
      </c>
      <c r="N49" s="38">
        <f t="shared" si="15"/>
        <v>0</v>
      </c>
      <c r="O49" s="38">
        <f t="shared" si="16"/>
        <v>0</v>
      </c>
      <c r="P49" s="38">
        <f t="shared" si="17"/>
        <v>0</v>
      </c>
      <c r="Q49" s="38">
        <f t="shared" si="18"/>
        <v>0</v>
      </c>
      <c r="R49" s="24">
        <f t="shared" si="19"/>
        <v>0</v>
      </c>
    </row>
    <row r="50" spans="1:30" x14ac:dyDescent="0.25">
      <c r="A50" s="13" t="s">
        <v>152</v>
      </c>
      <c r="B50" s="67">
        <f>'Area&amp;production data'!K18</f>
        <v>0</v>
      </c>
      <c r="C50" s="169">
        <f>'Area&amp;production data'!BQ18</f>
        <v>0</v>
      </c>
      <c r="D50" s="169">
        <f>'Area&amp;production data'!BR18</f>
        <v>0</v>
      </c>
      <c r="E50" s="169">
        <f>'Area&amp;production data'!BS18</f>
        <v>0</v>
      </c>
      <c r="F50" s="25">
        <f t="shared" si="9"/>
        <v>0</v>
      </c>
      <c r="G50" s="180">
        <f t="shared" ref="G50:I50" si="31">$W22-W22</f>
        <v>0</v>
      </c>
      <c r="H50" s="180">
        <f t="shared" si="31"/>
        <v>0.72499980703624667</v>
      </c>
      <c r="I50" s="180">
        <f t="shared" si="31"/>
        <v>1.5535711253267168</v>
      </c>
      <c r="J50" s="81">
        <f t="shared" si="11"/>
        <v>0</v>
      </c>
      <c r="K50" s="38">
        <f t="shared" si="12"/>
        <v>0</v>
      </c>
      <c r="L50" s="38">
        <f t="shared" si="13"/>
        <v>0</v>
      </c>
      <c r="M50" s="38">
        <f t="shared" si="14"/>
        <v>0</v>
      </c>
      <c r="N50" s="38">
        <f t="shared" si="15"/>
        <v>0</v>
      </c>
      <c r="O50" s="38">
        <f t="shared" si="16"/>
        <v>0</v>
      </c>
      <c r="P50" s="38">
        <f t="shared" si="17"/>
        <v>0</v>
      </c>
      <c r="Q50" s="38">
        <f t="shared" si="18"/>
        <v>0</v>
      </c>
      <c r="R50" s="24">
        <f t="shared" si="19"/>
        <v>0</v>
      </c>
    </row>
    <row r="51" spans="1:30" x14ac:dyDescent="0.25">
      <c r="A51" s="13" t="s">
        <v>153</v>
      </c>
      <c r="B51" s="67">
        <f>'Area&amp;production data'!K19</f>
        <v>0</v>
      </c>
      <c r="C51" s="169">
        <f>'Area&amp;production data'!BQ19</f>
        <v>0</v>
      </c>
      <c r="D51" s="169">
        <f>'Area&amp;production data'!BR19</f>
        <v>0</v>
      </c>
      <c r="E51" s="169">
        <f>'Area&amp;production data'!BS19</f>
        <v>0</v>
      </c>
      <c r="F51" s="25">
        <f t="shared" si="9"/>
        <v>0</v>
      </c>
      <c r="G51" s="180">
        <f t="shared" ref="G51:I51" si="32">$W23-W23</f>
        <v>0</v>
      </c>
      <c r="H51" s="180">
        <f t="shared" si="32"/>
        <v>0.70441888089238835</v>
      </c>
      <c r="I51" s="180">
        <f t="shared" si="32"/>
        <v>1.5094682224027602</v>
      </c>
      <c r="J51" s="81">
        <f t="shared" si="11"/>
        <v>0</v>
      </c>
      <c r="K51" s="38">
        <f t="shared" si="12"/>
        <v>0</v>
      </c>
      <c r="L51" s="38">
        <f t="shared" si="13"/>
        <v>0</v>
      </c>
      <c r="M51" s="38">
        <f t="shared" si="14"/>
        <v>0</v>
      </c>
      <c r="N51" s="38">
        <f t="shared" si="15"/>
        <v>0</v>
      </c>
      <c r="O51" s="38">
        <f t="shared" si="16"/>
        <v>0</v>
      </c>
      <c r="P51" s="38">
        <f t="shared" si="17"/>
        <v>0</v>
      </c>
      <c r="Q51" s="38">
        <f t="shared" si="18"/>
        <v>0</v>
      </c>
      <c r="R51" s="24">
        <f t="shared" si="19"/>
        <v>0</v>
      </c>
    </row>
    <row r="52" spans="1:30" x14ac:dyDescent="0.25">
      <c r="A52" s="13" t="s">
        <v>154</v>
      </c>
      <c r="B52" s="67">
        <f>'Area&amp;production data'!K20</f>
        <v>0</v>
      </c>
      <c r="C52" s="169">
        <f>'Area&amp;production data'!BQ20</f>
        <v>0</v>
      </c>
      <c r="D52" s="169">
        <f>'Area&amp;production data'!BR20</f>
        <v>0</v>
      </c>
      <c r="E52" s="169">
        <f>'Area&amp;production data'!BS20</f>
        <v>0</v>
      </c>
      <c r="F52" s="25">
        <f t="shared" si="9"/>
        <v>0</v>
      </c>
      <c r="G52" s="180">
        <f t="shared" ref="G52:I52" si="33">$W24-W24</f>
        <v>0</v>
      </c>
      <c r="H52" s="180">
        <f t="shared" si="33"/>
        <v>0.99501423198512207</v>
      </c>
      <c r="I52" s="180">
        <f t="shared" si="33"/>
        <v>2.1321723191443915</v>
      </c>
      <c r="J52" s="81">
        <f t="shared" si="11"/>
        <v>0</v>
      </c>
      <c r="K52" s="38">
        <f t="shared" si="12"/>
        <v>0</v>
      </c>
      <c r="L52" s="38">
        <f t="shared" si="13"/>
        <v>0</v>
      </c>
      <c r="M52" s="38">
        <f t="shared" si="14"/>
        <v>0</v>
      </c>
      <c r="N52" s="38">
        <f t="shared" si="15"/>
        <v>0</v>
      </c>
      <c r="O52" s="38">
        <f t="shared" si="16"/>
        <v>0</v>
      </c>
      <c r="P52" s="38">
        <f t="shared" si="17"/>
        <v>0</v>
      </c>
      <c r="Q52" s="38">
        <f t="shared" si="18"/>
        <v>0</v>
      </c>
      <c r="R52" s="24">
        <f t="shared" si="19"/>
        <v>0</v>
      </c>
    </row>
    <row r="53" spans="1:30" x14ac:dyDescent="0.25">
      <c r="A53" s="13" t="s">
        <v>155</v>
      </c>
      <c r="B53" s="67">
        <f>'Area&amp;production data'!K21</f>
        <v>0</v>
      </c>
      <c r="C53" s="169">
        <f>'Area&amp;production data'!BQ21</f>
        <v>0</v>
      </c>
      <c r="D53" s="169">
        <f>'Area&amp;production data'!BR21</f>
        <v>0</v>
      </c>
      <c r="E53" s="169">
        <f>'Area&amp;production data'!BS21</f>
        <v>0</v>
      </c>
      <c r="F53" s="25">
        <f t="shared" si="9"/>
        <v>0</v>
      </c>
      <c r="G53" s="180">
        <f t="shared" ref="G53:I53" si="34">$W25-W25</f>
        <v>0</v>
      </c>
      <c r="H53" s="180">
        <f t="shared" si="34"/>
        <v>1.0489510484365558</v>
      </c>
      <c r="I53" s="180">
        <f t="shared" si="34"/>
        <v>2.2477522469437128</v>
      </c>
      <c r="J53" s="81">
        <f t="shared" si="11"/>
        <v>0</v>
      </c>
      <c r="K53" s="38">
        <f t="shared" si="12"/>
        <v>0</v>
      </c>
      <c r="L53" s="38">
        <f t="shared" si="13"/>
        <v>0</v>
      </c>
      <c r="M53" s="38">
        <f t="shared" si="14"/>
        <v>0</v>
      </c>
      <c r="N53" s="38">
        <f t="shared" si="15"/>
        <v>0</v>
      </c>
      <c r="O53" s="38">
        <f t="shared" si="16"/>
        <v>0</v>
      </c>
      <c r="P53" s="38">
        <f t="shared" si="17"/>
        <v>0</v>
      </c>
      <c r="Q53" s="38">
        <f t="shared" si="18"/>
        <v>0</v>
      </c>
      <c r="R53" s="24">
        <f t="shared" si="19"/>
        <v>0</v>
      </c>
    </row>
    <row r="54" spans="1:30" x14ac:dyDescent="0.25">
      <c r="A54" s="13" t="s">
        <v>156</v>
      </c>
      <c r="B54" s="67">
        <f>'Area&amp;production data'!K22</f>
        <v>0</v>
      </c>
      <c r="C54" s="169">
        <f>'Area&amp;production data'!BQ22</f>
        <v>0</v>
      </c>
      <c r="D54" s="169">
        <f>'Area&amp;production data'!BR22</f>
        <v>0</v>
      </c>
      <c r="E54" s="169">
        <f>'Area&amp;production data'!BS22</f>
        <v>0</v>
      </c>
      <c r="F54" s="25">
        <f t="shared" si="9"/>
        <v>0</v>
      </c>
      <c r="G54" s="180">
        <f t="shared" ref="G54:I54" si="35">$W26-W26</f>
        <v>0</v>
      </c>
      <c r="H54" s="180">
        <f t="shared" si="35"/>
        <v>0.69999975286243776</v>
      </c>
      <c r="I54" s="180">
        <f t="shared" si="35"/>
        <v>1.4999996114018925</v>
      </c>
      <c r="J54" s="81">
        <f t="shared" si="11"/>
        <v>0</v>
      </c>
      <c r="K54" s="38">
        <f t="shared" si="12"/>
        <v>0</v>
      </c>
      <c r="L54" s="38">
        <f t="shared" si="13"/>
        <v>0</v>
      </c>
      <c r="M54" s="38">
        <f t="shared" si="14"/>
        <v>0</v>
      </c>
      <c r="N54" s="38">
        <f t="shared" si="15"/>
        <v>0</v>
      </c>
      <c r="O54" s="38">
        <f t="shared" si="16"/>
        <v>0</v>
      </c>
      <c r="P54" s="38">
        <f t="shared" si="17"/>
        <v>0</v>
      </c>
      <c r="Q54" s="38">
        <f t="shared" si="18"/>
        <v>0</v>
      </c>
      <c r="R54" s="24">
        <f t="shared" si="19"/>
        <v>0</v>
      </c>
    </row>
    <row r="55" spans="1:30" x14ac:dyDescent="0.25">
      <c r="A55" s="13" t="s">
        <v>157</v>
      </c>
      <c r="B55" s="67">
        <f>'Area&amp;production data'!K23</f>
        <v>0</v>
      </c>
      <c r="C55" s="169">
        <f>'Area&amp;production data'!BQ23</f>
        <v>0</v>
      </c>
      <c r="D55" s="169">
        <f>'Area&amp;production data'!BR23</f>
        <v>0</v>
      </c>
      <c r="E55" s="169">
        <f>'Area&amp;production data'!BS23</f>
        <v>0</v>
      </c>
      <c r="F55" s="25">
        <f t="shared" si="9"/>
        <v>0</v>
      </c>
      <c r="G55" s="180">
        <f t="shared" ref="G55:I55" si="36">$W27-W27</f>
        <v>0</v>
      </c>
      <c r="H55" s="180">
        <f t="shared" si="36"/>
        <v>1.3124856006588228</v>
      </c>
      <c r="I55" s="180">
        <f t="shared" si="36"/>
        <v>2.643116317767547</v>
      </c>
      <c r="J55" s="81">
        <f t="shared" si="11"/>
        <v>0</v>
      </c>
      <c r="K55" s="38">
        <f t="shared" si="12"/>
        <v>0</v>
      </c>
      <c r="L55" s="38">
        <f t="shared" si="13"/>
        <v>0</v>
      </c>
      <c r="M55" s="38">
        <f t="shared" si="14"/>
        <v>0</v>
      </c>
      <c r="N55" s="38">
        <f t="shared" si="15"/>
        <v>0</v>
      </c>
      <c r="O55" s="38">
        <f t="shared" si="16"/>
        <v>0</v>
      </c>
      <c r="P55" s="38">
        <f t="shared" si="17"/>
        <v>0</v>
      </c>
      <c r="Q55" s="38">
        <f t="shared" si="18"/>
        <v>0</v>
      </c>
      <c r="R55" s="24">
        <f t="shared" si="19"/>
        <v>0</v>
      </c>
    </row>
    <row r="56" spans="1:30" x14ac:dyDescent="0.25">
      <c r="A56" s="13" t="s">
        <v>158</v>
      </c>
      <c r="B56" s="67">
        <f>'Area&amp;production data'!K24</f>
        <v>0</v>
      </c>
      <c r="C56" s="169">
        <f>'Area&amp;production data'!BQ24</f>
        <v>0</v>
      </c>
      <c r="D56" s="169">
        <f>'Area&amp;production data'!BR24</f>
        <v>0</v>
      </c>
      <c r="E56" s="169">
        <f>'Area&amp;production data'!BS24</f>
        <v>0</v>
      </c>
      <c r="F56" s="25">
        <f t="shared" si="9"/>
        <v>0</v>
      </c>
      <c r="G56" s="180">
        <f t="shared" ref="G56:I56" si="37">$W28-W28</f>
        <v>0</v>
      </c>
      <c r="H56" s="180">
        <f t="shared" si="37"/>
        <v>1.4345610748581255</v>
      </c>
      <c r="I56" s="180">
        <f t="shared" si="37"/>
        <v>2.8889536435629224</v>
      </c>
      <c r="J56" s="81">
        <f t="shared" si="11"/>
        <v>0</v>
      </c>
      <c r="K56" s="38">
        <f t="shared" si="12"/>
        <v>0</v>
      </c>
      <c r="L56" s="38">
        <f t="shared" si="13"/>
        <v>0</v>
      </c>
      <c r="M56" s="38">
        <f t="shared" si="14"/>
        <v>0</v>
      </c>
      <c r="N56" s="38">
        <f t="shared" si="15"/>
        <v>0</v>
      </c>
      <c r="O56" s="38">
        <f t="shared" si="16"/>
        <v>0</v>
      </c>
      <c r="P56" s="38">
        <f t="shared" si="17"/>
        <v>0</v>
      </c>
      <c r="Q56" s="38">
        <f t="shared" si="18"/>
        <v>0</v>
      </c>
      <c r="R56" s="24">
        <f t="shared" si="19"/>
        <v>0</v>
      </c>
    </row>
    <row r="57" spans="1:30" x14ac:dyDescent="0.25">
      <c r="A57" s="13" t="s">
        <v>159</v>
      </c>
      <c r="B57" s="67">
        <f>'Area&amp;production data'!K25</f>
        <v>0</v>
      </c>
      <c r="C57" s="169">
        <f>'Area&amp;production data'!BQ25</f>
        <v>0</v>
      </c>
      <c r="D57" s="169">
        <f>'Area&amp;production data'!BR25</f>
        <v>0</v>
      </c>
      <c r="E57" s="169">
        <f>'Area&amp;production data'!BS25</f>
        <v>0</v>
      </c>
      <c r="F57" s="25">
        <f t="shared" si="9"/>
        <v>0</v>
      </c>
      <c r="G57" s="180">
        <f t="shared" ref="G57:I57" si="38">$W29-W29</f>
        <v>0</v>
      </c>
      <c r="H57" s="180">
        <f t="shared" si="38"/>
        <v>0.96248703136059532</v>
      </c>
      <c r="I57" s="180">
        <f t="shared" si="38"/>
        <v>1.9382795437002838</v>
      </c>
      <c r="J57" s="81">
        <f t="shared" si="11"/>
        <v>0</v>
      </c>
      <c r="K57" s="38">
        <f t="shared" si="12"/>
        <v>0</v>
      </c>
      <c r="L57" s="38">
        <f t="shared" si="13"/>
        <v>0</v>
      </c>
      <c r="M57" s="38">
        <f t="shared" si="14"/>
        <v>0</v>
      </c>
      <c r="N57" s="38">
        <f t="shared" si="15"/>
        <v>0</v>
      </c>
      <c r="O57" s="38">
        <f t="shared" si="16"/>
        <v>0</v>
      </c>
      <c r="P57" s="38">
        <f t="shared" si="17"/>
        <v>0</v>
      </c>
      <c r="Q57" s="38">
        <f t="shared" si="18"/>
        <v>0</v>
      </c>
      <c r="R57" s="24">
        <f t="shared" si="19"/>
        <v>0</v>
      </c>
    </row>
    <row r="58" spans="1:30" x14ac:dyDescent="0.25">
      <c r="A58" s="13" t="s">
        <v>160</v>
      </c>
      <c r="B58" s="67">
        <f>'Area&amp;production data'!K26</f>
        <v>0</v>
      </c>
      <c r="C58" s="169">
        <f>'Area&amp;production data'!BQ26</f>
        <v>0</v>
      </c>
      <c r="D58" s="169">
        <f>'Area&amp;production data'!BR26</f>
        <v>0</v>
      </c>
      <c r="E58" s="169">
        <f>'Area&amp;production data'!BS26</f>
        <v>0</v>
      </c>
      <c r="F58" s="25">
        <f t="shared" si="9"/>
        <v>0</v>
      </c>
      <c r="G58" s="180">
        <f t="shared" ref="G58:I58" si="39">$W30-W30</f>
        <v>0</v>
      </c>
      <c r="H58" s="180">
        <f t="shared" si="39"/>
        <v>0.96248703550853998</v>
      </c>
      <c r="I58" s="180">
        <f t="shared" si="39"/>
        <v>1.9382795472543284</v>
      </c>
      <c r="J58" s="81">
        <f t="shared" si="11"/>
        <v>0</v>
      </c>
      <c r="K58" s="38">
        <f t="shared" si="12"/>
        <v>0</v>
      </c>
      <c r="L58" s="38">
        <f t="shared" si="13"/>
        <v>0</v>
      </c>
      <c r="M58" s="38">
        <f t="shared" si="14"/>
        <v>0</v>
      </c>
      <c r="N58" s="38">
        <f t="shared" si="15"/>
        <v>0</v>
      </c>
      <c r="O58" s="38">
        <f t="shared" si="16"/>
        <v>0</v>
      </c>
      <c r="P58" s="38">
        <f t="shared" si="17"/>
        <v>0</v>
      </c>
      <c r="Q58" s="38">
        <f t="shared" si="18"/>
        <v>0</v>
      </c>
      <c r="R58" s="24">
        <f t="shared" si="19"/>
        <v>0</v>
      </c>
      <c r="T58" s="1"/>
      <c r="W58" s="1"/>
      <c r="X58" s="1"/>
      <c r="Y58" s="1"/>
    </row>
    <row r="59" spans="1:30" x14ac:dyDescent="0.25">
      <c r="A59" s="13" t="s">
        <v>161</v>
      </c>
      <c r="B59" s="67">
        <f>'Area&amp;production data'!K27</f>
        <v>0</v>
      </c>
      <c r="C59" s="169">
        <f>'Area&amp;production data'!BQ27</f>
        <v>0</v>
      </c>
      <c r="D59" s="169">
        <f>'Area&amp;production data'!BR27</f>
        <v>0</v>
      </c>
      <c r="E59" s="169">
        <f>'Area&amp;production data'!BS27</f>
        <v>0</v>
      </c>
      <c r="F59" s="25">
        <f t="shared" si="9"/>
        <v>0</v>
      </c>
      <c r="G59" s="180">
        <f t="shared" ref="G59:I59" si="40">$W31-W31</f>
        <v>0</v>
      </c>
      <c r="H59" s="180">
        <f t="shared" si="40"/>
        <v>1.3125000520267136</v>
      </c>
      <c r="I59" s="180">
        <f t="shared" si="40"/>
        <v>2.6431452393350612</v>
      </c>
      <c r="J59" s="81">
        <f t="shared" si="11"/>
        <v>0</v>
      </c>
      <c r="K59" s="38">
        <f t="shared" si="12"/>
        <v>0</v>
      </c>
      <c r="L59" s="38">
        <f t="shared" si="13"/>
        <v>0</v>
      </c>
      <c r="M59" s="38">
        <f t="shared" si="14"/>
        <v>0</v>
      </c>
      <c r="N59" s="38">
        <f t="shared" si="15"/>
        <v>0</v>
      </c>
      <c r="O59" s="38">
        <f t="shared" si="16"/>
        <v>0</v>
      </c>
      <c r="P59" s="38">
        <f t="shared" si="17"/>
        <v>0</v>
      </c>
      <c r="Q59" s="38">
        <f t="shared" si="18"/>
        <v>0</v>
      </c>
      <c r="R59" s="24">
        <f t="shared" si="19"/>
        <v>0</v>
      </c>
      <c r="U59" s="1"/>
      <c r="V59" s="1"/>
      <c r="W59" s="126"/>
    </row>
    <row r="60" spans="1:30" s="1" customFormat="1" x14ac:dyDescent="0.25">
      <c r="A60" s="13" t="s">
        <v>162</v>
      </c>
      <c r="B60" s="67">
        <f>'Area&amp;production data'!K28</f>
        <v>0</v>
      </c>
      <c r="C60" s="169">
        <f>'Area&amp;production data'!BQ28</f>
        <v>0</v>
      </c>
      <c r="D60" s="169">
        <f>'Area&amp;production data'!BR28</f>
        <v>0</v>
      </c>
      <c r="E60" s="169">
        <f>'Area&amp;production data'!BS28</f>
        <v>0</v>
      </c>
      <c r="F60" s="25">
        <f t="shared" si="9"/>
        <v>0</v>
      </c>
      <c r="G60" s="180">
        <f t="shared" ref="G60:I60" si="41">$W32-W32</f>
        <v>0</v>
      </c>
      <c r="H60" s="180">
        <f t="shared" si="41"/>
        <v>1.3124856013448385</v>
      </c>
      <c r="I60" s="180">
        <f t="shared" si="41"/>
        <v>2.6431163201810226</v>
      </c>
      <c r="J60" s="81">
        <f t="shared" si="11"/>
        <v>0</v>
      </c>
      <c r="K60" s="38">
        <f t="shared" si="12"/>
        <v>0</v>
      </c>
      <c r="L60" s="38">
        <f t="shared" si="13"/>
        <v>0</v>
      </c>
      <c r="M60" s="38">
        <f t="shared" si="14"/>
        <v>0</v>
      </c>
      <c r="N60" s="38">
        <f t="shared" si="15"/>
        <v>0</v>
      </c>
      <c r="O60" s="38">
        <f t="shared" si="16"/>
        <v>0</v>
      </c>
      <c r="P60" s="38">
        <f t="shared" si="17"/>
        <v>0</v>
      </c>
      <c r="Q60" s="38">
        <f t="shared" si="18"/>
        <v>0</v>
      </c>
      <c r="R60" s="24">
        <f t="shared" si="19"/>
        <v>0</v>
      </c>
      <c r="S60"/>
      <c r="T60"/>
      <c r="W60" s="126"/>
      <c r="AD60"/>
    </row>
    <row r="61" spans="1:30" x14ac:dyDescent="0.25">
      <c r="A61" s="1" t="s">
        <v>163</v>
      </c>
      <c r="B61" s="24">
        <f>SUM(B37:B60)</f>
        <v>0</v>
      </c>
      <c r="C61" s="200" t="e">
        <f>SUMPRODUCT($B$37:$B$60,C37:C60)/$B$61</f>
        <v>#DIV/0!</v>
      </c>
      <c r="D61" s="51" t="e">
        <f>SUMPRODUCT($B$37:$B$60,D37:D60)/$B$61</f>
        <v>#DIV/0!</v>
      </c>
      <c r="E61" s="51" t="e">
        <f>SUMPRODUCT($B$37:$B$60,E37:E60)/$B$61</f>
        <v>#DIV/0!</v>
      </c>
      <c r="F61" s="27" t="e">
        <f>SUM(C61:E61)</f>
        <v>#DIV/0!</v>
      </c>
      <c r="G61" s="28" t="e">
        <f>SUMPRODUCT($B$37:$B$60,G37:G60)/$B$61</f>
        <v>#DIV/0!</v>
      </c>
      <c r="H61" s="10" t="e">
        <f>SUMPRODUCT($B$37:$B$60,H37:H60)/$B$61</f>
        <v>#DIV/0!</v>
      </c>
      <c r="I61" s="10" t="e">
        <f>SUMPRODUCT($B$37:$B$60,I37:I60)/$B$61</f>
        <v>#DIV/0!</v>
      </c>
      <c r="J61" s="81" t="e">
        <f>SUMPRODUCT(C61:E61,G61:I61)</f>
        <v>#DIV/0!</v>
      </c>
      <c r="K61" s="38">
        <f t="shared" ref="K61:R61" si="42">SUM(K37:K60)</f>
        <v>0</v>
      </c>
      <c r="L61" s="38">
        <f t="shared" si="42"/>
        <v>0</v>
      </c>
      <c r="M61" s="38">
        <f t="shared" si="42"/>
        <v>0</v>
      </c>
      <c r="N61" s="38">
        <f t="shared" si="42"/>
        <v>0</v>
      </c>
      <c r="O61" s="38">
        <f t="shared" si="42"/>
        <v>0</v>
      </c>
      <c r="P61" s="38">
        <f t="shared" si="42"/>
        <v>0</v>
      </c>
      <c r="Q61" s="38">
        <f t="shared" si="42"/>
        <v>0</v>
      </c>
      <c r="R61" s="24">
        <f t="shared" si="42"/>
        <v>0</v>
      </c>
    </row>
    <row r="62" spans="1:30" x14ac:dyDescent="0.25">
      <c r="A62" s="17" t="s">
        <v>8</v>
      </c>
      <c r="B62" s="29" t="b">
        <f>B61='Area&amp;production data'!K29</f>
        <v>1</v>
      </c>
      <c r="C62" s="842"/>
      <c r="D62" s="842"/>
      <c r="E62" s="842"/>
      <c r="F62" s="6"/>
      <c r="J62" s="81" t="e">
        <f>J61/AA33</f>
        <v>#DIV/0!</v>
      </c>
      <c r="N62" s="29" t="b">
        <f>SUM(K61:M61)=N61</f>
        <v>1</v>
      </c>
      <c r="S62" s="39" t="b">
        <f>SUM(O61:Q61)=R61</f>
        <v>1</v>
      </c>
      <c r="X62" s="39" t="b">
        <f>SUM(O61:Q61)=R61</f>
        <v>1</v>
      </c>
      <c r="AD62" s="1"/>
    </row>
    <row r="63" spans="1:30" x14ac:dyDescent="0.25">
      <c r="A63" s="17"/>
      <c r="C63" s="21"/>
      <c r="D63" s="21"/>
      <c r="E63" s="21"/>
      <c r="N63" s="30" t="e">
        <f>N61/'Area&amp;production data'!#REF!</f>
        <v>#REF!</v>
      </c>
    </row>
    <row r="64" spans="1:30" ht="45.95" customHeight="1" x14ac:dyDescent="0.25">
      <c r="A64" s="1" t="s">
        <v>565</v>
      </c>
      <c r="D64" s="3" t="s">
        <v>566</v>
      </c>
      <c r="E64" s="1"/>
      <c r="F64" s="190">
        <v>3.44</v>
      </c>
      <c r="G64" t="s">
        <v>96</v>
      </c>
      <c r="H64" s="20" t="s">
        <v>464</v>
      </c>
      <c r="O64" s="20" t="s">
        <v>567</v>
      </c>
      <c r="P64" s="20"/>
      <c r="X64" s="20" t="s">
        <v>568</v>
      </c>
    </row>
    <row r="65" spans="1:23" ht="39" customHeight="1" x14ac:dyDescent="0.25">
      <c r="A65" s="1" t="s">
        <v>101</v>
      </c>
      <c r="B65" s="814" t="s">
        <v>560</v>
      </c>
      <c r="C65" s="814" t="s">
        <v>561</v>
      </c>
      <c r="D65" s="814"/>
      <c r="E65" s="814"/>
      <c r="F65" s="814"/>
      <c r="G65" s="814" t="s">
        <v>569</v>
      </c>
      <c r="H65" s="814"/>
      <c r="I65" s="814"/>
      <c r="J65" s="814"/>
      <c r="K65" s="814" t="s">
        <v>570</v>
      </c>
      <c r="L65" s="814"/>
      <c r="M65" s="814"/>
      <c r="N65" s="814"/>
      <c r="O65" s="814" t="s">
        <v>571</v>
      </c>
      <c r="P65" s="814"/>
      <c r="Q65" s="814"/>
      <c r="R65" s="814"/>
      <c r="S65" s="17" t="s">
        <v>120</v>
      </c>
      <c r="T65" s="44"/>
      <c r="U65" s="814"/>
      <c r="V65" s="814"/>
      <c r="W65" s="814"/>
    </row>
    <row r="66" spans="1:23" x14ac:dyDescent="0.25">
      <c r="A66" s="1"/>
      <c r="B66" s="814"/>
      <c r="C66" s="1" t="s">
        <v>136</v>
      </c>
      <c r="D66" s="1" t="s">
        <v>137</v>
      </c>
      <c r="E66" s="1" t="s">
        <v>138</v>
      </c>
      <c r="F66" s="1" t="s">
        <v>120</v>
      </c>
      <c r="G66" s="1" t="s">
        <v>136</v>
      </c>
      <c r="H66" s="1" t="s">
        <v>137</v>
      </c>
      <c r="I66" s="1" t="s">
        <v>289</v>
      </c>
      <c r="J66" s="1" t="s">
        <v>120</v>
      </c>
      <c r="K66" s="1" t="s">
        <v>136</v>
      </c>
      <c r="L66" s="1" t="s">
        <v>137</v>
      </c>
      <c r="M66" s="1" t="s">
        <v>289</v>
      </c>
      <c r="N66" s="1" t="s">
        <v>120</v>
      </c>
      <c r="O66" s="1" t="s">
        <v>136</v>
      </c>
      <c r="P66" s="1" t="s">
        <v>137</v>
      </c>
      <c r="Q66" s="1" t="s">
        <v>289</v>
      </c>
      <c r="R66" s="17"/>
    </row>
    <row r="67" spans="1:23" x14ac:dyDescent="0.25">
      <c r="A67" s="13" t="s">
        <v>139</v>
      </c>
      <c r="B67" s="36">
        <f>B37</f>
        <v>0</v>
      </c>
      <c r="C67" s="25">
        <f t="shared" ref="C67:E67" si="43">C37</f>
        <v>0</v>
      </c>
      <c r="D67" s="25">
        <f t="shared" si="43"/>
        <v>0</v>
      </c>
      <c r="E67" s="25">
        <f t="shared" si="43"/>
        <v>0</v>
      </c>
      <c r="F67" s="25">
        <f>SUM(C67:E67)</f>
        <v>0</v>
      </c>
      <c r="G67" s="184">
        <f>$F$64*G37</f>
        <v>0</v>
      </c>
      <c r="H67" s="184">
        <f>$F$64*H37</f>
        <v>4.1967996497026956</v>
      </c>
      <c r="I67" s="184">
        <f>$F$64*I37</f>
        <v>9.0392609631130423</v>
      </c>
      <c r="J67" s="9">
        <f>SUMPRODUCT(C67:E67,G67:I67)</f>
        <v>0</v>
      </c>
      <c r="K67" s="26">
        <f t="shared" ref="K67:N67" si="44">G67*C67*$B67</f>
        <v>0</v>
      </c>
      <c r="L67" s="26">
        <f t="shared" si="44"/>
        <v>0</v>
      </c>
      <c r="M67" s="26">
        <f t="shared" si="44"/>
        <v>0</v>
      </c>
      <c r="N67" s="26">
        <f t="shared" si="44"/>
        <v>0</v>
      </c>
      <c r="O67" s="26">
        <f t="shared" ref="O67:Q67" si="45">$D$23*K67</f>
        <v>0</v>
      </c>
      <c r="P67" s="26">
        <f t="shared" si="45"/>
        <v>0</v>
      </c>
      <c r="Q67" s="26">
        <f t="shared" si="45"/>
        <v>0</v>
      </c>
      <c r="R67" s="26">
        <f>SUM(O67:Q67)</f>
        <v>0</v>
      </c>
    </row>
    <row r="68" spans="1:23" x14ac:dyDescent="0.25">
      <c r="A68" s="13" t="s">
        <v>140</v>
      </c>
      <c r="B68" s="36">
        <f t="shared" ref="B68:E68" si="46">B38</f>
        <v>0</v>
      </c>
      <c r="C68" s="25">
        <f t="shared" si="46"/>
        <v>0</v>
      </c>
      <c r="D68" s="25">
        <f t="shared" si="46"/>
        <v>0</v>
      </c>
      <c r="E68" s="25">
        <f t="shared" si="46"/>
        <v>0</v>
      </c>
      <c r="F68" s="25">
        <f t="shared" ref="F68:F90" si="47">SUM(C68:E68)</f>
        <v>0</v>
      </c>
      <c r="G68" s="184">
        <f t="shared" ref="G68:I68" si="48">$F$64*G38</f>
        <v>0</v>
      </c>
      <c r="H68" s="184">
        <f t="shared" si="48"/>
        <v>4.1967781406735973</v>
      </c>
      <c r="I68" s="184">
        <f t="shared" si="48"/>
        <v>9.0392123033847014</v>
      </c>
      <c r="J68" s="9">
        <f t="shared" ref="J68:J90" si="49">SUMPRODUCT(C68:E68,G68:I68)</f>
        <v>0</v>
      </c>
      <c r="K68" s="26">
        <f t="shared" ref="K68:K90" si="50">G68*C68*$B68</f>
        <v>0</v>
      </c>
      <c r="L68" s="26">
        <f t="shared" ref="L68:L90" si="51">H68*D68*$B68</f>
        <v>0</v>
      </c>
      <c r="M68" s="26">
        <f t="shared" ref="M68:M90" si="52">I68*E68*$B68</f>
        <v>0</v>
      </c>
      <c r="N68" s="26">
        <f t="shared" ref="N68:N90" si="53">J68*F68*$B68</f>
        <v>0</v>
      </c>
      <c r="O68" s="26">
        <f t="shared" ref="O68:O90" si="54">$D$23*K68</f>
        <v>0</v>
      </c>
      <c r="P68" s="26">
        <f t="shared" ref="P68:P90" si="55">$D$23*L68</f>
        <v>0</v>
      </c>
      <c r="Q68" s="26">
        <f t="shared" ref="Q68:Q90" si="56">$D$23*M68</f>
        <v>0</v>
      </c>
      <c r="R68" s="26">
        <f t="shared" ref="R68:R90" si="57">SUM(O68:Q68)</f>
        <v>0</v>
      </c>
    </row>
    <row r="69" spans="1:23" x14ac:dyDescent="0.25">
      <c r="A69" s="13" t="s">
        <v>141</v>
      </c>
      <c r="B69" s="36">
        <f t="shared" ref="B69:E69" si="58">B39</f>
        <v>0</v>
      </c>
      <c r="C69" s="25">
        <f t="shared" si="58"/>
        <v>0</v>
      </c>
      <c r="D69" s="25">
        <f t="shared" si="58"/>
        <v>0</v>
      </c>
      <c r="E69" s="25">
        <f t="shared" si="58"/>
        <v>0</v>
      </c>
      <c r="F69" s="25">
        <f t="shared" si="47"/>
        <v>0</v>
      </c>
      <c r="G69" s="184">
        <f t="shared" ref="G69:I69" si="59">$F$64*G39</f>
        <v>0</v>
      </c>
      <c r="H69" s="184">
        <f t="shared" si="59"/>
        <v>4.196778166676296</v>
      </c>
      <c r="I69" s="184">
        <f t="shared" si="59"/>
        <v>9.0392123213304885</v>
      </c>
      <c r="J69" s="9">
        <f t="shared" si="49"/>
        <v>0</v>
      </c>
      <c r="K69" s="26">
        <f t="shared" si="50"/>
        <v>0</v>
      </c>
      <c r="L69" s="26">
        <f t="shared" si="51"/>
        <v>0</v>
      </c>
      <c r="M69" s="26">
        <f t="shared" si="52"/>
        <v>0</v>
      </c>
      <c r="N69" s="26">
        <f t="shared" si="53"/>
        <v>0</v>
      </c>
      <c r="O69" s="26">
        <f t="shared" si="54"/>
        <v>0</v>
      </c>
      <c r="P69" s="26">
        <f t="shared" si="55"/>
        <v>0</v>
      </c>
      <c r="Q69" s="26">
        <f t="shared" si="56"/>
        <v>0</v>
      </c>
      <c r="R69" s="26">
        <f t="shared" si="57"/>
        <v>0</v>
      </c>
    </row>
    <row r="70" spans="1:23" x14ac:dyDescent="0.25">
      <c r="A70" s="13" t="s">
        <v>142</v>
      </c>
      <c r="B70" s="36">
        <f t="shared" ref="B70:E70" si="60">B40</f>
        <v>0</v>
      </c>
      <c r="C70" s="25">
        <f t="shared" si="60"/>
        <v>0</v>
      </c>
      <c r="D70" s="25">
        <f t="shared" si="60"/>
        <v>0</v>
      </c>
      <c r="E70" s="25">
        <f t="shared" si="60"/>
        <v>0</v>
      </c>
      <c r="F70" s="25">
        <f t="shared" si="47"/>
        <v>0</v>
      </c>
      <c r="G70" s="184">
        <f t="shared" ref="G70:I70" si="61">$F$64*G40</f>
        <v>0</v>
      </c>
      <c r="H70" s="184">
        <f t="shared" si="61"/>
        <v>4.1967996492950954</v>
      </c>
      <c r="I70" s="184">
        <f t="shared" si="61"/>
        <v>9.0392609641684842</v>
      </c>
      <c r="J70" s="9">
        <f t="shared" si="49"/>
        <v>0</v>
      </c>
      <c r="K70" s="26">
        <f t="shared" si="50"/>
        <v>0</v>
      </c>
      <c r="L70" s="26">
        <f t="shared" si="51"/>
        <v>0</v>
      </c>
      <c r="M70" s="26">
        <f t="shared" si="52"/>
        <v>0</v>
      </c>
      <c r="N70" s="26">
        <f t="shared" si="53"/>
        <v>0</v>
      </c>
      <c r="O70" s="26">
        <f t="shared" si="54"/>
        <v>0</v>
      </c>
      <c r="P70" s="26">
        <f t="shared" si="55"/>
        <v>0</v>
      </c>
      <c r="Q70" s="26">
        <f t="shared" si="56"/>
        <v>0</v>
      </c>
      <c r="R70" s="26">
        <f t="shared" si="57"/>
        <v>0</v>
      </c>
    </row>
    <row r="71" spans="1:23" x14ac:dyDescent="0.25">
      <c r="A71" s="13" t="s">
        <v>143</v>
      </c>
      <c r="B71" s="36">
        <f t="shared" ref="B71:E71" si="62">B41</f>
        <v>0</v>
      </c>
      <c r="C71" s="25">
        <f t="shared" si="62"/>
        <v>0</v>
      </c>
      <c r="D71" s="25">
        <f t="shared" si="62"/>
        <v>0</v>
      </c>
      <c r="E71" s="25">
        <f t="shared" si="62"/>
        <v>0</v>
      </c>
      <c r="F71" s="25">
        <f t="shared" si="47"/>
        <v>0</v>
      </c>
      <c r="G71" s="184">
        <f t="shared" ref="G71:I71" si="63">$F$64*G41</f>
        <v>0</v>
      </c>
      <c r="H71" s="184">
        <f t="shared" si="63"/>
        <v>1.9951762947468588</v>
      </c>
      <c r="I71" s="184">
        <f t="shared" si="63"/>
        <v>4.2973004339017233</v>
      </c>
      <c r="J71" s="9">
        <f t="shared" si="49"/>
        <v>0</v>
      </c>
      <c r="K71" s="26">
        <f t="shared" si="50"/>
        <v>0</v>
      </c>
      <c r="L71" s="26">
        <f t="shared" si="51"/>
        <v>0</v>
      </c>
      <c r="M71" s="26">
        <f t="shared" si="52"/>
        <v>0</v>
      </c>
      <c r="N71" s="26">
        <f t="shared" si="53"/>
        <v>0</v>
      </c>
      <c r="O71" s="26">
        <f t="shared" si="54"/>
        <v>0</v>
      </c>
      <c r="P71" s="26">
        <f t="shared" si="55"/>
        <v>0</v>
      </c>
      <c r="Q71" s="26">
        <f t="shared" si="56"/>
        <v>0</v>
      </c>
      <c r="R71" s="26">
        <f t="shared" si="57"/>
        <v>0</v>
      </c>
    </row>
    <row r="72" spans="1:23" x14ac:dyDescent="0.25">
      <c r="A72" s="13" t="s">
        <v>144</v>
      </c>
      <c r="B72" s="36">
        <f t="shared" ref="B72:E72" si="64">B42</f>
        <v>0</v>
      </c>
      <c r="C72" s="25">
        <f t="shared" si="64"/>
        <v>0</v>
      </c>
      <c r="D72" s="25">
        <f t="shared" si="64"/>
        <v>0</v>
      </c>
      <c r="E72" s="25">
        <f t="shared" si="64"/>
        <v>0</v>
      </c>
      <c r="F72" s="25">
        <f t="shared" si="47"/>
        <v>0</v>
      </c>
      <c r="G72" s="184">
        <f t="shared" ref="G72:I72" si="65">$F$64*G42</f>
        <v>0</v>
      </c>
      <c r="H72" s="184">
        <f t="shared" si="65"/>
        <v>5.3663878676215573</v>
      </c>
      <c r="I72" s="184">
        <f t="shared" si="65"/>
        <v>11.558367468715685</v>
      </c>
      <c r="J72" s="9">
        <f t="shared" si="49"/>
        <v>0</v>
      </c>
      <c r="K72" s="26">
        <f t="shared" si="50"/>
        <v>0</v>
      </c>
      <c r="L72" s="26">
        <f t="shared" si="51"/>
        <v>0</v>
      </c>
      <c r="M72" s="26">
        <f t="shared" si="52"/>
        <v>0</v>
      </c>
      <c r="N72" s="26">
        <f t="shared" si="53"/>
        <v>0</v>
      </c>
      <c r="O72" s="26">
        <f t="shared" si="54"/>
        <v>0</v>
      </c>
      <c r="P72" s="26">
        <f t="shared" si="55"/>
        <v>0</v>
      </c>
      <c r="Q72" s="26">
        <f t="shared" si="56"/>
        <v>0</v>
      </c>
      <c r="R72" s="26">
        <f t="shared" si="57"/>
        <v>0</v>
      </c>
    </row>
    <row r="73" spans="1:23" x14ac:dyDescent="0.25">
      <c r="A73" s="13" t="s">
        <v>145</v>
      </c>
      <c r="B73" s="36">
        <f t="shared" ref="B73:E73" si="66">B43</f>
        <v>0</v>
      </c>
      <c r="C73" s="25">
        <f t="shared" si="66"/>
        <v>0</v>
      </c>
      <c r="D73" s="25">
        <f t="shared" si="66"/>
        <v>0</v>
      </c>
      <c r="E73" s="25">
        <f t="shared" si="66"/>
        <v>0</v>
      </c>
      <c r="F73" s="25">
        <f t="shared" si="47"/>
        <v>0</v>
      </c>
      <c r="G73" s="184">
        <f t="shared" ref="G73:I73" si="67">$F$64*G43</f>
        <v>0</v>
      </c>
      <c r="H73" s="184">
        <f t="shared" si="67"/>
        <v>30.288505624459088</v>
      </c>
      <c r="I73" s="184">
        <f t="shared" si="67"/>
        <v>65.236784511628699</v>
      </c>
      <c r="J73" s="9">
        <f t="shared" si="49"/>
        <v>0</v>
      </c>
      <c r="K73" s="26">
        <f t="shared" si="50"/>
        <v>0</v>
      </c>
      <c r="L73" s="26">
        <f t="shared" si="51"/>
        <v>0</v>
      </c>
      <c r="M73" s="26">
        <f t="shared" si="52"/>
        <v>0</v>
      </c>
      <c r="N73" s="26">
        <f t="shared" si="53"/>
        <v>0</v>
      </c>
      <c r="O73" s="26">
        <f t="shared" si="54"/>
        <v>0</v>
      </c>
      <c r="P73" s="26">
        <f t="shared" si="55"/>
        <v>0</v>
      </c>
      <c r="Q73" s="26">
        <f t="shared" si="56"/>
        <v>0</v>
      </c>
      <c r="R73" s="26">
        <f t="shared" si="57"/>
        <v>0</v>
      </c>
    </row>
    <row r="74" spans="1:23" x14ac:dyDescent="0.25">
      <c r="A74" s="13" t="s">
        <v>146</v>
      </c>
      <c r="B74" s="36">
        <f t="shared" ref="B74:E74" si="68">B44</f>
        <v>0</v>
      </c>
      <c r="C74" s="25">
        <f t="shared" si="68"/>
        <v>0</v>
      </c>
      <c r="D74" s="25">
        <f t="shared" si="68"/>
        <v>0</v>
      </c>
      <c r="E74" s="25">
        <f t="shared" si="68"/>
        <v>0</v>
      </c>
      <c r="F74" s="25">
        <f t="shared" si="47"/>
        <v>0</v>
      </c>
      <c r="G74" s="184">
        <f t="shared" ref="G74:I74" si="69">$F$64*G44</f>
        <v>0</v>
      </c>
      <c r="H74" s="184">
        <f t="shared" si="69"/>
        <v>2.4767997935164279</v>
      </c>
      <c r="I74" s="184">
        <f t="shared" si="69"/>
        <v>5.3346458109676078</v>
      </c>
      <c r="J74" s="9">
        <f t="shared" si="49"/>
        <v>0</v>
      </c>
      <c r="K74" s="26">
        <f t="shared" si="50"/>
        <v>0</v>
      </c>
      <c r="L74" s="26">
        <f t="shared" si="51"/>
        <v>0</v>
      </c>
      <c r="M74" s="26">
        <f t="shared" si="52"/>
        <v>0</v>
      </c>
      <c r="N74" s="26">
        <f t="shared" si="53"/>
        <v>0</v>
      </c>
      <c r="O74" s="26">
        <f t="shared" si="54"/>
        <v>0</v>
      </c>
      <c r="P74" s="26">
        <f t="shared" si="55"/>
        <v>0</v>
      </c>
      <c r="Q74" s="26">
        <f t="shared" si="56"/>
        <v>0</v>
      </c>
      <c r="R74" s="26">
        <f t="shared" si="57"/>
        <v>0</v>
      </c>
    </row>
    <row r="75" spans="1:23" x14ac:dyDescent="0.25">
      <c r="A75" s="13" t="s">
        <v>147</v>
      </c>
      <c r="B75" s="36">
        <f t="shared" ref="B75:E75" si="70">B45</f>
        <v>0</v>
      </c>
      <c r="C75" s="25">
        <f t="shared" si="70"/>
        <v>0</v>
      </c>
      <c r="D75" s="25">
        <f t="shared" si="70"/>
        <v>0</v>
      </c>
      <c r="E75" s="25">
        <f t="shared" si="70"/>
        <v>0</v>
      </c>
      <c r="F75" s="25">
        <f t="shared" si="47"/>
        <v>0</v>
      </c>
      <c r="G75" s="184">
        <f t="shared" ref="G75:I75" si="71">$F$64*G45</f>
        <v>0</v>
      </c>
      <c r="H75" s="184">
        <f t="shared" si="71"/>
        <v>30.288530029696886</v>
      </c>
      <c r="I75" s="184">
        <f t="shared" si="71"/>
        <v>65.236839449676296</v>
      </c>
      <c r="J75" s="9">
        <f t="shared" si="49"/>
        <v>0</v>
      </c>
      <c r="K75" s="26">
        <f t="shared" si="50"/>
        <v>0</v>
      </c>
      <c r="L75" s="26">
        <f t="shared" si="51"/>
        <v>0</v>
      </c>
      <c r="M75" s="26">
        <f t="shared" si="52"/>
        <v>0</v>
      </c>
      <c r="N75" s="26">
        <f t="shared" si="53"/>
        <v>0</v>
      </c>
      <c r="O75" s="26">
        <f t="shared" si="54"/>
        <v>0</v>
      </c>
      <c r="P75" s="26">
        <f t="shared" si="55"/>
        <v>0</v>
      </c>
      <c r="Q75" s="26">
        <f t="shared" si="56"/>
        <v>0</v>
      </c>
      <c r="R75" s="26">
        <f t="shared" si="57"/>
        <v>0</v>
      </c>
    </row>
    <row r="76" spans="1:23" x14ac:dyDescent="0.25">
      <c r="A76" s="13" t="s">
        <v>148</v>
      </c>
      <c r="B76" s="36">
        <f t="shared" ref="B76:E76" si="72">B46</f>
        <v>0</v>
      </c>
      <c r="C76" s="25">
        <f t="shared" si="72"/>
        <v>0</v>
      </c>
      <c r="D76" s="25">
        <f t="shared" si="72"/>
        <v>0</v>
      </c>
      <c r="E76" s="25">
        <f t="shared" si="72"/>
        <v>0</v>
      </c>
      <c r="F76" s="25">
        <f t="shared" si="47"/>
        <v>0</v>
      </c>
      <c r="G76" s="184">
        <f t="shared" ref="G76:I76" si="73">$F$64*G46</f>
        <v>0</v>
      </c>
      <c r="H76" s="184">
        <f t="shared" si="73"/>
        <v>37.860637412884259</v>
      </c>
      <c r="I76" s="184">
        <f t="shared" si="73"/>
        <v>81.129938708215903</v>
      </c>
      <c r="J76" s="9">
        <f t="shared" si="49"/>
        <v>0</v>
      </c>
      <c r="K76" s="26">
        <f t="shared" si="50"/>
        <v>0</v>
      </c>
      <c r="L76" s="26">
        <f t="shared" si="51"/>
        <v>0</v>
      </c>
      <c r="M76" s="26">
        <f t="shared" si="52"/>
        <v>0</v>
      </c>
      <c r="N76" s="26">
        <f t="shared" si="53"/>
        <v>0</v>
      </c>
      <c r="O76" s="26">
        <f t="shared" si="54"/>
        <v>0</v>
      </c>
      <c r="P76" s="26">
        <f t="shared" si="55"/>
        <v>0</v>
      </c>
      <c r="Q76" s="26">
        <f t="shared" si="56"/>
        <v>0</v>
      </c>
      <c r="R76" s="26">
        <f t="shared" si="57"/>
        <v>0</v>
      </c>
    </row>
    <row r="77" spans="1:23" x14ac:dyDescent="0.25">
      <c r="A77" s="13" t="s">
        <v>149</v>
      </c>
      <c r="B77" s="36">
        <f t="shared" ref="B77:E77" si="74">B47</f>
        <v>0</v>
      </c>
      <c r="C77" s="25">
        <f t="shared" si="74"/>
        <v>0</v>
      </c>
      <c r="D77" s="25">
        <f t="shared" si="74"/>
        <v>0</v>
      </c>
      <c r="E77" s="25">
        <f t="shared" si="74"/>
        <v>0</v>
      </c>
      <c r="F77" s="25">
        <f t="shared" si="47"/>
        <v>0</v>
      </c>
      <c r="G77" s="184">
        <f t="shared" ref="G77:I77" si="75">$F$64*G47</f>
        <v>0</v>
      </c>
      <c r="H77" s="184">
        <f t="shared" si="75"/>
        <v>37.86063740153584</v>
      </c>
      <c r="I77" s="184">
        <f t="shared" si="75"/>
        <v>81.129938810062384</v>
      </c>
      <c r="J77" s="9">
        <f t="shared" si="49"/>
        <v>0</v>
      </c>
      <c r="K77" s="26">
        <f t="shared" si="50"/>
        <v>0</v>
      </c>
      <c r="L77" s="26">
        <f t="shared" si="51"/>
        <v>0</v>
      </c>
      <c r="M77" s="26">
        <f t="shared" si="52"/>
        <v>0</v>
      </c>
      <c r="N77" s="26">
        <f t="shared" si="53"/>
        <v>0</v>
      </c>
      <c r="O77" s="26">
        <f t="shared" si="54"/>
        <v>0</v>
      </c>
      <c r="P77" s="26">
        <f t="shared" si="55"/>
        <v>0</v>
      </c>
      <c r="Q77" s="26">
        <f t="shared" si="56"/>
        <v>0</v>
      </c>
      <c r="R77" s="26">
        <f t="shared" si="57"/>
        <v>0</v>
      </c>
    </row>
    <row r="78" spans="1:23" x14ac:dyDescent="0.25">
      <c r="A78" s="13" t="s">
        <v>150</v>
      </c>
      <c r="B78" s="36">
        <f t="shared" ref="B78:E78" si="76">B48</f>
        <v>0</v>
      </c>
      <c r="C78" s="25">
        <f t="shared" si="76"/>
        <v>0</v>
      </c>
      <c r="D78" s="25">
        <f t="shared" si="76"/>
        <v>0</v>
      </c>
      <c r="E78" s="25">
        <f t="shared" si="76"/>
        <v>0</v>
      </c>
      <c r="F78" s="25">
        <f t="shared" si="47"/>
        <v>0</v>
      </c>
      <c r="G78" s="184">
        <f t="shared" ref="G78:I78" si="77">$F$64*G48</f>
        <v>0</v>
      </c>
      <c r="H78" s="184">
        <f t="shared" si="77"/>
        <v>2.1202674885352963</v>
      </c>
      <c r="I78" s="184">
        <f t="shared" si="77"/>
        <v>4.5434303325589793</v>
      </c>
      <c r="J78" s="9">
        <f t="shared" si="49"/>
        <v>0</v>
      </c>
      <c r="K78" s="26">
        <f t="shared" si="50"/>
        <v>0</v>
      </c>
      <c r="L78" s="26">
        <f t="shared" si="51"/>
        <v>0</v>
      </c>
      <c r="M78" s="26">
        <f t="shared" si="52"/>
        <v>0</v>
      </c>
      <c r="N78" s="26">
        <f t="shared" si="53"/>
        <v>0</v>
      </c>
      <c r="O78" s="26">
        <f t="shared" si="54"/>
        <v>0</v>
      </c>
      <c r="P78" s="26">
        <f t="shared" si="55"/>
        <v>0</v>
      </c>
      <c r="Q78" s="26">
        <f t="shared" si="56"/>
        <v>0</v>
      </c>
      <c r="R78" s="26">
        <f t="shared" si="57"/>
        <v>0</v>
      </c>
    </row>
    <row r="79" spans="1:23" x14ac:dyDescent="0.25">
      <c r="A79" s="13" t="s">
        <v>151</v>
      </c>
      <c r="B79" s="36">
        <f t="shared" ref="B79:E79" si="78">B49</f>
        <v>0</v>
      </c>
      <c r="C79" s="25">
        <f t="shared" si="78"/>
        <v>0</v>
      </c>
      <c r="D79" s="25">
        <f t="shared" si="78"/>
        <v>0</v>
      </c>
      <c r="E79" s="25">
        <f t="shared" si="78"/>
        <v>0</v>
      </c>
      <c r="F79" s="25">
        <f t="shared" si="47"/>
        <v>0</v>
      </c>
      <c r="G79" s="184">
        <f t="shared" ref="G79:I79" si="79">$F$64*G49</f>
        <v>0</v>
      </c>
      <c r="H79" s="184">
        <f t="shared" si="79"/>
        <v>2.4939993354279753</v>
      </c>
      <c r="I79" s="184">
        <f t="shared" si="79"/>
        <v>5.3442846686411372</v>
      </c>
      <c r="J79" s="9">
        <f t="shared" si="49"/>
        <v>0</v>
      </c>
      <c r="K79" s="26">
        <f t="shared" si="50"/>
        <v>0</v>
      </c>
      <c r="L79" s="26">
        <f t="shared" si="51"/>
        <v>0</v>
      </c>
      <c r="M79" s="26">
        <f t="shared" si="52"/>
        <v>0</v>
      </c>
      <c r="N79" s="26">
        <f t="shared" si="53"/>
        <v>0</v>
      </c>
      <c r="O79" s="26">
        <f t="shared" si="54"/>
        <v>0</v>
      </c>
      <c r="P79" s="26">
        <f t="shared" si="55"/>
        <v>0</v>
      </c>
      <c r="Q79" s="26">
        <f t="shared" si="56"/>
        <v>0</v>
      </c>
      <c r="R79" s="26">
        <f t="shared" si="57"/>
        <v>0</v>
      </c>
    </row>
    <row r="80" spans="1:23" x14ac:dyDescent="0.25">
      <c r="A80" s="13" t="s">
        <v>152</v>
      </c>
      <c r="B80" s="36">
        <f t="shared" ref="B80:E80" si="80">B50</f>
        <v>0</v>
      </c>
      <c r="C80" s="25">
        <f t="shared" si="80"/>
        <v>0</v>
      </c>
      <c r="D80" s="25">
        <f t="shared" si="80"/>
        <v>0</v>
      </c>
      <c r="E80" s="25">
        <f t="shared" si="80"/>
        <v>0</v>
      </c>
      <c r="F80" s="25">
        <f t="shared" si="47"/>
        <v>0</v>
      </c>
      <c r="G80" s="184">
        <f t="shared" ref="G80:I80" si="81">$F$64*G50</f>
        <v>0</v>
      </c>
      <c r="H80" s="184">
        <f t="shared" si="81"/>
        <v>2.4939993362046886</v>
      </c>
      <c r="I80" s="184">
        <f t="shared" si="81"/>
        <v>5.3442846711239058</v>
      </c>
      <c r="J80" s="9">
        <f t="shared" si="49"/>
        <v>0</v>
      </c>
      <c r="K80" s="26">
        <f t="shared" si="50"/>
        <v>0</v>
      </c>
      <c r="L80" s="26">
        <f t="shared" si="51"/>
        <v>0</v>
      </c>
      <c r="M80" s="26">
        <f t="shared" si="52"/>
        <v>0</v>
      </c>
      <c r="N80" s="26">
        <f t="shared" si="53"/>
        <v>0</v>
      </c>
      <c r="O80" s="26">
        <f t="shared" si="54"/>
        <v>0</v>
      </c>
      <c r="P80" s="26">
        <f t="shared" si="55"/>
        <v>0</v>
      </c>
      <c r="Q80" s="26">
        <f t="shared" si="56"/>
        <v>0</v>
      </c>
      <c r="R80" s="26">
        <f t="shared" si="57"/>
        <v>0</v>
      </c>
    </row>
    <row r="81" spans="1:19" x14ac:dyDescent="0.25">
      <c r="A81" s="13" t="s">
        <v>153</v>
      </c>
      <c r="B81" s="36">
        <f t="shared" ref="B81:E81" si="82">B51</f>
        <v>0</v>
      </c>
      <c r="C81" s="25">
        <f t="shared" si="82"/>
        <v>0</v>
      </c>
      <c r="D81" s="25">
        <f t="shared" si="82"/>
        <v>0</v>
      </c>
      <c r="E81" s="25">
        <f t="shared" si="82"/>
        <v>0</v>
      </c>
      <c r="F81" s="25">
        <f t="shared" si="47"/>
        <v>0</v>
      </c>
      <c r="G81" s="184">
        <f t="shared" ref="G81:I81" si="83">$F$64*G51</f>
        <v>0</v>
      </c>
      <c r="H81" s="184">
        <f t="shared" si="83"/>
        <v>2.4232009502698157</v>
      </c>
      <c r="I81" s="184">
        <f t="shared" si="83"/>
        <v>5.1925706850654949</v>
      </c>
      <c r="J81" s="9">
        <f t="shared" si="49"/>
        <v>0</v>
      </c>
      <c r="K81" s="26">
        <f t="shared" si="50"/>
        <v>0</v>
      </c>
      <c r="L81" s="26">
        <f t="shared" si="51"/>
        <v>0</v>
      </c>
      <c r="M81" s="26">
        <f t="shared" si="52"/>
        <v>0</v>
      </c>
      <c r="N81" s="26">
        <f t="shared" si="53"/>
        <v>0</v>
      </c>
      <c r="O81" s="26">
        <f t="shared" si="54"/>
        <v>0</v>
      </c>
      <c r="P81" s="26">
        <f t="shared" si="55"/>
        <v>0</v>
      </c>
      <c r="Q81" s="26">
        <f t="shared" si="56"/>
        <v>0</v>
      </c>
      <c r="R81" s="26">
        <f t="shared" si="57"/>
        <v>0</v>
      </c>
    </row>
    <row r="82" spans="1:19" x14ac:dyDescent="0.25">
      <c r="A82" s="13" t="s">
        <v>154</v>
      </c>
      <c r="B82" s="36">
        <f t="shared" ref="B82:E82" si="84">B52</f>
        <v>0</v>
      </c>
      <c r="C82" s="25">
        <f t="shared" si="84"/>
        <v>0</v>
      </c>
      <c r="D82" s="25">
        <f t="shared" si="84"/>
        <v>0</v>
      </c>
      <c r="E82" s="25">
        <f t="shared" si="84"/>
        <v>0</v>
      </c>
      <c r="F82" s="25">
        <f t="shared" si="47"/>
        <v>0</v>
      </c>
      <c r="G82" s="184">
        <f t="shared" ref="G82:I82" si="85">$F$64*G52</f>
        <v>0</v>
      </c>
      <c r="H82" s="184">
        <f t="shared" si="85"/>
        <v>3.4228489580288199</v>
      </c>
      <c r="I82" s="184">
        <f t="shared" si="85"/>
        <v>7.3346727778567065</v>
      </c>
      <c r="J82" s="9">
        <f t="shared" si="49"/>
        <v>0</v>
      </c>
      <c r="K82" s="26">
        <f t="shared" si="50"/>
        <v>0</v>
      </c>
      <c r="L82" s="26">
        <f t="shared" si="51"/>
        <v>0</v>
      </c>
      <c r="M82" s="26">
        <f t="shared" si="52"/>
        <v>0</v>
      </c>
      <c r="N82" s="26">
        <f t="shared" si="53"/>
        <v>0</v>
      </c>
      <c r="O82" s="26">
        <f t="shared" si="54"/>
        <v>0</v>
      </c>
      <c r="P82" s="26">
        <f t="shared" si="55"/>
        <v>0</v>
      </c>
      <c r="Q82" s="26">
        <f t="shared" si="56"/>
        <v>0</v>
      </c>
      <c r="R82" s="26">
        <f t="shared" si="57"/>
        <v>0</v>
      </c>
    </row>
    <row r="83" spans="1:19" x14ac:dyDescent="0.25">
      <c r="A83" s="13" t="s">
        <v>155</v>
      </c>
      <c r="B83" s="36">
        <f t="shared" ref="B83:E83" si="86">B53</f>
        <v>0</v>
      </c>
      <c r="C83" s="25">
        <f t="shared" si="86"/>
        <v>0</v>
      </c>
      <c r="D83" s="25">
        <f t="shared" si="86"/>
        <v>0</v>
      </c>
      <c r="E83" s="25">
        <f t="shared" si="86"/>
        <v>0</v>
      </c>
      <c r="F83" s="25">
        <f t="shared" si="47"/>
        <v>0</v>
      </c>
      <c r="G83" s="184">
        <f t="shared" ref="G83:I83" si="87">$F$64*G53</f>
        <v>0</v>
      </c>
      <c r="H83" s="184">
        <f t="shared" si="87"/>
        <v>3.6083916066217521</v>
      </c>
      <c r="I83" s="184">
        <f t="shared" si="87"/>
        <v>7.732267729486372</v>
      </c>
      <c r="J83" s="9">
        <f t="shared" si="49"/>
        <v>0</v>
      </c>
      <c r="K83" s="26">
        <f t="shared" si="50"/>
        <v>0</v>
      </c>
      <c r="L83" s="26">
        <f t="shared" si="51"/>
        <v>0</v>
      </c>
      <c r="M83" s="26">
        <f t="shared" si="52"/>
        <v>0</v>
      </c>
      <c r="N83" s="26">
        <f t="shared" si="53"/>
        <v>0</v>
      </c>
      <c r="O83" s="26">
        <f t="shared" si="54"/>
        <v>0</v>
      </c>
      <c r="P83" s="26">
        <f t="shared" si="55"/>
        <v>0</v>
      </c>
      <c r="Q83" s="26">
        <f t="shared" si="56"/>
        <v>0</v>
      </c>
      <c r="R83" s="26">
        <f t="shared" si="57"/>
        <v>0</v>
      </c>
    </row>
    <row r="84" spans="1:19" x14ac:dyDescent="0.25">
      <c r="A84" s="13" t="s">
        <v>156</v>
      </c>
      <c r="B84" s="36">
        <f t="shared" ref="B84:E84" si="88">B54</f>
        <v>0</v>
      </c>
      <c r="C84" s="25">
        <f t="shared" si="88"/>
        <v>0</v>
      </c>
      <c r="D84" s="25">
        <f t="shared" si="88"/>
        <v>0</v>
      </c>
      <c r="E84" s="25">
        <f t="shared" si="88"/>
        <v>0</v>
      </c>
      <c r="F84" s="25">
        <f t="shared" si="47"/>
        <v>0</v>
      </c>
      <c r="G84" s="184">
        <f t="shared" ref="G84:I84" si="89">$F$64*G54</f>
        <v>0</v>
      </c>
      <c r="H84" s="184">
        <f t="shared" si="89"/>
        <v>2.4079991498467859</v>
      </c>
      <c r="I84" s="184">
        <f t="shared" si="89"/>
        <v>5.1599986632225106</v>
      </c>
      <c r="J84" s="9">
        <f t="shared" si="49"/>
        <v>0</v>
      </c>
      <c r="K84" s="26">
        <f t="shared" si="50"/>
        <v>0</v>
      </c>
      <c r="L84" s="26">
        <f t="shared" si="51"/>
        <v>0</v>
      </c>
      <c r="M84" s="26">
        <f t="shared" si="52"/>
        <v>0</v>
      </c>
      <c r="N84" s="26">
        <f t="shared" si="53"/>
        <v>0</v>
      </c>
      <c r="O84" s="26">
        <f t="shared" si="54"/>
        <v>0</v>
      </c>
      <c r="P84" s="26">
        <f t="shared" si="55"/>
        <v>0</v>
      </c>
      <c r="Q84" s="26">
        <f t="shared" si="56"/>
        <v>0</v>
      </c>
      <c r="R84" s="26">
        <f t="shared" si="57"/>
        <v>0</v>
      </c>
    </row>
    <row r="85" spans="1:19" x14ac:dyDescent="0.25">
      <c r="A85" s="13" t="s">
        <v>157</v>
      </c>
      <c r="B85" s="36">
        <f t="shared" ref="B85:E85" si="90">B55</f>
        <v>0</v>
      </c>
      <c r="C85" s="25">
        <f t="shared" si="90"/>
        <v>0</v>
      </c>
      <c r="D85" s="25">
        <f t="shared" si="90"/>
        <v>0</v>
      </c>
      <c r="E85" s="25">
        <f t="shared" si="90"/>
        <v>0</v>
      </c>
      <c r="F85" s="25">
        <f t="shared" si="47"/>
        <v>0</v>
      </c>
      <c r="G85" s="184">
        <f t="shared" ref="G85:I85" si="91">$F$64*G55</f>
        <v>0</v>
      </c>
      <c r="H85" s="184">
        <f t="shared" si="91"/>
        <v>4.5149504662663507</v>
      </c>
      <c r="I85" s="184">
        <f t="shared" si="91"/>
        <v>9.0923201331203618</v>
      </c>
      <c r="J85" s="9">
        <f t="shared" si="49"/>
        <v>0</v>
      </c>
      <c r="K85" s="26">
        <f t="shared" si="50"/>
        <v>0</v>
      </c>
      <c r="L85" s="26">
        <f t="shared" si="51"/>
        <v>0</v>
      </c>
      <c r="M85" s="26">
        <f t="shared" si="52"/>
        <v>0</v>
      </c>
      <c r="N85" s="26">
        <f t="shared" si="53"/>
        <v>0</v>
      </c>
      <c r="O85" s="26">
        <f t="shared" si="54"/>
        <v>0</v>
      </c>
      <c r="P85" s="26">
        <f t="shared" si="55"/>
        <v>0</v>
      </c>
      <c r="Q85" s="26">
        <f t="shared" si="56"/>
        <v>0</v>
      </c>
      <c r="R85" s="26">
        <f t="shared" si="57"/>
        <v>0</v>
      </c>
    </row>
    <row r="86" spans="1:19" x14ac:dyDescent="0.25">
      <c r="A86" s="13" t="s">
        <v>158</v>
      </c>
      <c r="B86" s="36">
        <f t="shared" ref="B86:E86" si="92">B56</f>
        <v>0</v>
      </c>
      <c r="C86" s="25">
        <f t="shared" si="92"/>
        <v>0</v>
      </c>
      <c r="D86" s="25">
        <f t="shared" si="92"/>
        <v>0</v>
      </c>
      <c r="E86" s="25">
        <f t="shared" si="92"/>
        <v>0</v>
      </c>
      <c r="F86" s="25">
        <f t="shared" si="47"/>
        <v>0</v>
      </c>
      <c r="G86" s="184">
        <f t="shared" ref="G86:I86" si="93">$F$64*G56</f>
        <v>0</v>
      </c>
      <c r="H86" s="184">
        <f t="shared" si="93"/>
        <v>4.9348900975119516</v>
      </c>
      <c r="I86" s="184">
        <f t="shared" si="93"/>
        <v>9.938000533856453</v>
      </c>
      <c r="J86" s="9">
        <f t="shared" si="49"/>
        <v>0</v>
      </c>
      <c r="K86" s="26">
        <f t="shared" si="50"/>
        <v>0</v>
      </c>
      <c r="L86" s="26">
        <f t="shared" si="51"/>
        <v>0</v>
      </c>
      <c r="M86" s="26">
        <f t="shared" si="52"/>
        <v>0</v>
      </c>
      <c r="N86" s="26">
        <f t="shared" si="53"/>
        <v>0</v>
      </c>
      <c r="O86" s="26">
        <f t="shared" si="54"/>
        <v>0</v>
      </c>
      <c r="P86" s="26">
        <f t="shared" si="55"/>
        <v>0</v>
      </c>
      <c r="Q86" s="26">
        <f t="shared" si="56"/>
        <v>0</v>
      </c>
      <c r="R86" s="26">
        <f t="shared" si="57"/>
        <v>0</v>
      </c>
    </row>
    <row r="87" spans="1:19" x14ac:dyDescent="0.25">
      <c r="A87" s="13" t="s">
        <v>159</v>
      </c>
      <c r="B87" s="36">
        <f t="shared" ref="B87:E87" si="94">B57</f>
        <v>0</v>
      </c>
      <c r="C87" s="25">
        <f t="shared" si="94"/>
        <v>0</v>
      </c>
      <c r="D87" s="25">
        <f t="shared" si="94"/>
        <v>0</v>
      </c>
      <c r="E87" s="25">
        <f t="shared" si="94"/>
        <v>0</v>
      </c>
      <c r="F87" s="25">
        <f t="shared" si="47"/>
        <v>0</v>
      </c>
      <c r="G87" s="184">
        <f t="shared" ref="G87:I87" si="95">$F$64*G57</f>
        <v>0</v>
      </c>
      <c r="H87" s="184">
        <f t="shared" si="95"/>
        <v>3.3109553878804481</v>
      </c>
      <c r="I87" s="184">
        <f t="shared" si="95"/>
        <v>6.6676816303289757</v>
      </c>
      <c r="J87" s="9">
        <f t="shared" si="49"/>
        <v>0</v>
      </c>
      <c r="K87" s="26">
        <f t="shared" si="50"/>
        <v>0</v>
      </c>
      <c r="L87" s="26">
        <f t="shared" si="51"/>
        <v>0</v>
      </c>
      <c r="M87" s="26">
        <f t="shared" si="52"/>
        <v>0</v>
      </c>
      <c r="N87" s="26">
        <f t="shared" si="53"/>
        <v>0</v>
      </c>
      <c r="O87" s="26">
        <f t="shared" si="54"/>
        <v>0</v>
      </c>
      <c r="P87" s="26">
        <f t="shared" si="55"/>
        <v>0</v>
      </c>
      <c r="Q87" s="26">
        <f t="shared" si="56"/>
        <v>0</v>
      </c>
      <c r="R87" s="26">
        <f t="shared" si="57"/>
        <v>0</v>
      </c>
    </row>
    <row r="88" spans="1:19" x14ac:dyDescent="0.25">
      <c r="A88" s="13" t="s">
        <v>160</v>
      </c>
      <c r="B88" s="36">
        <f t="shared" ref="B88:E88" si="96">B58</f>
        <v>0</v>
      </c>
      <c r="C88" s="25">
        <f t="shared" si="96"/>
        <v>0</v>
      </c>
      <c r="D88" s="25">
        <f t="shared" si="96"/>
        <v>0</v>
      </c>
      <c r="E88" s="25">
        <f t="shared" si="96"/>
        <v>0</v>
      </c>
      <c r="F88" s="25">
        <f t="shared" si="47"/>
        <v>0</v>
      </c>
      <c r="G88" s="184">
        <f t="shared" ref="G88:I88" si="97">$F$64*G58</f>
        <v>0</v>
      </c>
      <c r="H88" s="184">
        <f t="shared" si="97"/>
        <v>3.3109554021493777</v>
      </c>
      <c r="I88" s="184">
        <f t="shared" si="97"/>
        <v>6.6676816425548893</v>
      </c>
      <c r="J88" s="9">
        <f t="shared" si="49"/>
        <v>0</v>
      </c>
      <c r="K88" s="26">
        <f t="shared" si="50"/>
        <v>0</v>
      </c>
      <c r="L88" s="26">
        <f t="shared" si="51"/>
        <v>0</v>
      </c>
      <c r="M88" s="26">
        <f t="shared" si="52"/>
        <v>0</v>
      </c>
      <c r="N88" s="26">
        <f t="shared" si="53"/>
        <v>0</v>
      </c>
      <c r="O88" s="26">
        <f t="shared" si="54"/>
        <v>0</v>
      </c>
      <c r="P88" s="26">
        <f t="shared" si="55"/>
        <v>0</v>
      </c>
      <c r="Q88" s="26">
        <f t="shared" si="56"/>
        <v>0</v>
      </c>
      <c r="R88" s="26">
        <f t="shared" si="57"/>
        <v>0</v>
      </c>
    </row>
    <row r="89" spans="1:19" x14ac:dyDescent="0.25">
      <c r="A89" s="13" t="s">
        <v>161</v>
      </c>
      <c r="B89" s="36">
        <f t="shared" ref="B89:E89" si="98">B59</f>
        <v>0</v>
      </c>
      <c r="C89" s="25">
        <f t="shared" si="98"/>
        <v>0</v>
      </c>
      <c r="D89" s="25">
        <f t="shared" si="98"/>
        <v>0</v>
      </c>
      <c r="E89" s="25">
        <f t="shared" si="98"/>
        <v>0</v>
      </c>
      <c r="F89" s="25">
        <f t="shared" si="47"/>
        <v>0</v>
      </c>
      <c r="G89" s="184">
        <f t="shared" ref="G89:I89" si="99">$F$64*G59</f>
        <v>0</v>
      </c>
      <c r="H89" s="184">
        <f t="shared" si="99"/>
        <v>4.5150001789718948</v>
      </c>
      <c r="I89" s="184">
        <f t="shared" si="99"/>
        <v>9.09241962331261</v>
      </c>
      <c r="J89" s="9">
        <f t="shared" si="49"/>
        <v>0</v>
      </c>
      <c r="K89" s="26">
        <f t="shared" si="50"/>
        <v>0</v>
      </c>
      <c r="L89" s="26">
        <f t="shared" si="51"/>
        <v>0</v>
      </c>
      <c r="M89" s="26">
        <f t="shared" si="52"/>
        <v>0</v>
      </c>
      <c r="N89" s="26">
        <f t="shared" si="53"/>
        <v>0</v>
      </c>
      <c r="O89" s="26">
        <f t="shared" si="54"/>
        <v>0</v>
      </c>
      <c r="P89" s="26">
        <f t="shared" si="55"/>
        <v>0</v>
      </c>
      <c r="Q89" s="26">
        <f t="shared" si="56"/>
        <v>0</v>
      </c>
      <c r="R89" s="26">
        <f t="shared" si="57"/>
        <v>0</v>
      </c>
    </row>
    <row r="90" spans="1:19" x14ac:dyDescent="0.25">
      <c r="A90" s="13" t="s">
        <v>162</v>
      </c>
      <c r="B90" s="36">
        <f t="shared" ref="B90:E90" si="100">B60</f>
        <v>0</v>
      </c>
      <c r="C90" s="25">
        <f t="shared" si="100"/>
        <v>0</v>
      </c>
      <c r="D90" s="25">
        <f t="shared" si="100"/>
        <v>0</v>
      </c>
      <c r="E90" s="25">
        <f t="shared" si="100"/>
        <v>0</v>
      </c>
      <c r="F90" s="25">
        <f t="shared" si="47"/>
        <v>0</v>
      </c>
      <c r="G90" s="184">
        <f t="shared" ref="G90:I90" si="101">$F$64*G60</f>
        <v>0</v>
      </c>
      <c r="H90" s="184">
        <f t="shared" si="101"/>
        <v>4.5149504686262443</v>
      </c>
      <c r="I90" s="184">
        <f t="shared" si="101"/>
        <v>9.0923201414227179</v>
      </c>
      <c r="J90" s="9">
        <f t="shared" si="49"/>
        <v>0</v>
      </c>
      <c r="K90" s="26">
        <f t="shared" si="50"/>
        <v>0</v>
      </c>
      <c r="L90" s="26">
        <f t="shared" si="51"/>
        <v>0</v>
      </c>
      <c r="M90" s="26">
        <f t="shared" si="52"/>
        <v>0</v>
      </c>
      <c r="N90" s="26">
        <f t="shared" si="53"/>
        <v>0</v>
      </c>
      <c r="O90" s="26">
        <f t="shared" si="54"/>
        <v>0</v>
      </c>
      <c r="P90" s="26">
        <f t="shared" si="55"/>
        <v>0</v>
      </c>
      <c r="Q90" s="26">
        <f t="shared" si="56"/>
        <v>0</v>
      </c>
      <c r="R90" s="26">
        <f t="shared" si="57"/>
        <v>0</v>
      </c>
    </row>
    <row r="91" spans="1:19" x14ac:dyDescent="0.25">
      <c r="A91" s="1" t="s">
        <v>163</v>
      </c>
      <c r="B91" s="10">
        <f>SUM(B67:B90)</f>
        <v>0</v>
      </c>
      <c r="C91" s="51" t="e">
        <f>SUMPRODUCT($B$67:$B$90,C67:C90)/$B$91</f>
        <v>#DIV/0!</v>
      </c>
      <c r="D91" s="51" t="e">
        <f>SUMPRODUCT($B$67:$B$90,D67:D90)/$B$91</f>
        <v>#DIV/0!</v>
      </c>
      <c r="E91" s="51" t="e">
        <f>SUMPRODUCT($B$67:$B$90,E67:E90)/$B$91</f>
        <v>#DIV/0!</v>
      </c>
      <c r="F91" s="37" t="e">
        <f>SUM(C91:E91)</f>
        <v>#DIV/0!</v>
      </c>
      <c r="G91" s="10" t="e">
        <f>SUMPRODUCT(B67:B90,G67:G90)/E91</f>
        <v>#DIV/0!</v>
      </c>
      <c r="H91" s="10" t="e">
        <f>SUMPRODUCT(B67:B90,H67:H90)/G91</f>
        <v>#DIV/0!</v>
      </c>
      <c r="I91" s="10" t="e">
        <f>SUMPRODUCT(B67:B90,I67:I90)/H91</f>
        <v>#DIV/0!</v>
      </c>
      <c r="J91" s="9" t="e">
        <f>SUMPRODUCT(C91:E91,G91:I91)</f>
        <v>#DIV/0!</v>
      </c>
      <c r="K91" s="10">
        <f>SUM(K67:K90)</f>
        <v>0</v>
      </c>
      <c r="L91" s="10">
        <f>SUM(L67:L90)</f>
        <v>0</v>
      </c>
      <c r="M91" s="10">
        <f t="shared" ref="M91" si="102">SUM(M67:M90)</f>
        <v>0</v>
      </c>
      <c r="N91" s="23">
        <f>SUM(K91:M91)</f>
        <v>0</v>
      </c>
      <c r="O91" s="10">
        <f>SUM(O67:O90)</f>
        <v>0</v>
      </c>
      <c r="P91" s="10">
        <f>SUM(P67:P90)</f>
        <v>0</v>
      </c>
      <c r="Q91" s="10">
        <f>SUM(Q67:Q90)</f>
        <v>0</v>
      </c>
      <c r="R91" s="23">
        <f>SUM(R67:R90)</f>
        <v>0</v>
      </c>
    </row>
    <row r="92" spans="1:19" x14ac:dyDescent="0.25">
      <c r="A92" s="17" t="s">
        <v>8</v>
      </c>
      <c r="C92" s="842"/>
      <c r="D92" s="842"/>
      <c r="E92" s="842"/>
      <c r="F92" s="6"/>
      <c r="N92" s="29" t="b">
        <f>SUM(K91:M91)=N91</f>
        <v>1</v>
      </c>
      <c r="S92" s="39" t="b">
        <f>SUM(O91:Q91)=R91</f>
        <v>1</v>
      </c>
    </row>
    <row r="93" spans="1:19" x14ac:dyDescent="0.25">
      <c r="A93" s="17"/>
      <c r="C93" s="21"/>
      <c r="D93" s="21"/>
      <c r="E93" s="21"/>
    </row>
    <row r="96" spans="1:19" x14ac:dyDescent="0.25">
      <c r="A96" s="3" t="s">
        <v>572</v>
      </c>
    </row>
    <row r="97" spans="1:20" ht="38.450000000000003" customHeight="1" x14ac:dyDescent="0.25">
      <c r="A97" s="59" t="s">
        <v>423</v>
      </c>
    </row>
    <row r="98" spans="1:20" ht="33.6" customHeight="1" x14ac:dyDescent="0.25">
      <c r="A98" s="838" t="s">
        <v>101</v>
      </c>
      <c r="B98" s="814" t="s">
        <v>327</v>
      </c>
      <c r="C98" s="814" t="s">
        <v>328</v>
      </c>
      <c r="D98" s="814"/>
      <c r="E98" s="814"/>
      <c r="F98" s="814"/>
      <c r="G98" s="814" t="s">
        <v>573</v>
      </c>
      <c r="H98" s="814"/>
      <c r="I98" s="814"/>
      <c r="J98" s="814"/>
      <c r="K98" s="814" t="s">
        <v>574</v>
      </c>
      <c r="L98" s="814"/>
      <c r="M98" s="814"/>
      <c r="N98" s="814"/>
      <c r="O98" s="44"/>
      <c r="P98" s="44"/>
      <c r="Q98" s="44"/>
      <c r="R98" s="44"/>
      <c r="S98" s="44"/>
      <c r="T98" s="44"/>
    </row>
    <row r="99" spans="1:20" x14ac:dyDescent="0.25">
      <c r="A99" s="838"/>
      <c r="B99" s="814"/>
      <c r="C99" s="1" t="s">
        <v>331</v>
      </c>
      <c r="D99" s="1" t="s">
        <v>137</v>
      </c>
      <c r="E99" s="1" t="s">
        <v>289</v>
      </c>
      <c r="F99" s="1" t="s">
        <v>120</v>
      </c>
      <c r="G99" s="1" t="s">
        <v>136</v>
      </c>
      <c r="H99" s="1" t="s">
        <v>137</v>
      </c>
      <c r="I99" s="1" t="s">
        <v>289</v>
      </c>
      <c r="J99" s="1" t="s">
        <v>120</v>
      </c>
      <c r="K99" s="1" t="s">
        <v>136</v>
      </c>
      <c r="L99" s="1" t="s">
        <v>137</v>
      </c>
      <c r="M99" s="1" t="s">
        <v>289</v>
      </c>
      <c r="N99" s="1" t="s">
        <v>120</v>
      </c>
    </row>
    <row r="100" spans="1:20" x14ac:dyDescent="0.25">
      <c r="A100" s="13" t="s">
        <v>139</v>
      </c>
      <c r="B100" s="40"/>
      <c r="C100" s="394">
        <f t="shared" ref="C100:E100" si="103">C67</f>
        <v>0</v>
      </c>
      <c r="D100" s="394">
        <f t="shared" si="103"/>
        <v>0</v>
      </c>
      <c r="E100" s="394">
        <f t="shared" si="103"/>
        <v>0</v>
      </c>
      <c r="F100" s="25">
        <f>SUM(C100:E100)</f>
        <v>0</v>
      </c>
      <c r="G100" s="9">
        <f>IFERROR(C100*$B100/(C37*$B37),0)</f>
        <v>0</v>
      </c>
      <c r="H100" s="9">
        <f>IFERROR(D100*$B100/(D37*$B37),0)</f>
        <v>0</v>
      </c>
      <c r="I100" s="9">
        <f>IFERROR(E100*$B100/(E37*$B37),0)</f>
        <v>0</v>
      </c>
      <c r="J100" s="9">
        <f>SUMPRODUCT(C100:E100,G100:I100)</f>
        <v>0</v>
      </c>
      <c r="K100" s="9">
        <f>($G100-G100)*(C37*$B37)</f>
        <v>0</v>
      </c>
      <c r="L100" s="9">
        <f>($G100-H100)*(D37*$B37)</f>
        <v>0</v>
      </c>
      <c r="M100" s="9">
        <f>($G100-I100)*(E37*$B37)</f>
        <v>0</v>
      </c>
      <c r="N100" s="140">
        <f>'Value-of-fuel-used-under-CT'!W4</f>
        <v>0</v>
      </c>
    </row>
    <row r="101" spans="1:20" x14ac:dyDescent="0.25">
      <c r="A101" s="13" t="s">
        <v>140</v>
      </c>
      <c r="B101" s="40"/>
      <c r="C101" s="394">
        <f t="shared" ref="C101:E101" si="104">C68</f>
        <v>0</v>
      </c>
      <c r="D101" s="394">
        <f t="shared" si="104"/>
        <v>0</v>
      </c>
      <c r="E101" s="394">
        <f t="shared" si="104"/>
        <v>0</v>
      </c>
      <c r="F101" s="25">
        <f t="shared" ref="F101:F123" si="105">SUM(C101:E101)</f>
        <v>0</v>
      </c>
      <c r="G101" s="9">
        <f t="shared" ref="G101:I101" si="106">IFERROR(C101*$B101/(C38*$B38),0)</f>
        <v>0</v>
      </c>
      <c r="H101" s="9">
        <f t="shared" si="106"/>
        <v>0</v>
      </c>
      <c r="I101" s="9">
        <f t="shared" si="106"/>
        <v>0</v>
      </c>
      <c r="J101" s="9">
        <f t="shared" ref="J101:J123" si="107">SUMPRODUCT(C101:E101,G101:I101)</f>
        <v>0</v>
      </c>
      <c r="K101" s="9">
        <f t="shared" ref="K101:M101" si="108">($G101-G101)*(C38*$B38)</f>
        <v>0</v>
      </c>
      <c r="L101" s="9">
        <f t="shared" si="108"/>
        <v>0</v>
      </c>
      <c r="M101" s="9">
        <f t="shared" si="108"/>
        <v>0</v>
      </c>
      <c r="N101" s="140">
        <f>'Value-of-fuel-used-under-CT'!W5</f>
        <v>0</v>
      </c>
    </row>
    <row r="102" spans="1:20" x14ac:dyDescent="0.25">
      <c r="A102" s="13" t="s">
        <v>141</v>
      </c>
      <c r="B102" s="40"/>
      <c r="C102" s="394">
        <f t="shared" ref="C102:E102" si="109">C69</f>
        <v>0</v>
      </c>
      <c r="D102" s="394">
        <f t="shared" si="109"/>
        <v>0</v>
      </c>
      <c r="E102" s="394">
        <f t="shared" si="109"/>
        <v>0</v>
      </c>
      <c r="F102" s="25">
        <f t="shared" si="105"/>
        <v>0</v>
      </c>
      <c r="G102" s="9">
        <f t="shared" ref="G102:I102" si="110">IFERROR(C102*$B102/(C39*$B39),0)</f>
        <v>0</v>
      </c>
      <c r="H102" s="9">
        <f t="shared" si="110"/>
        <v>0</v>
      </c>
      <c r="I102" s="9">
        <f t="shared" si="110"/>
        <v>0</v>
      </c>
      <c r="J102" s="9">
        <f t="shared" si="107"/>
        <v>0</v>
      </c>
      <c r="K102" s="9">
        <f t="shared" ref="K102:M102" si="111">($G102-G102)*(C39*$B39)</f>
        <v>0</v>
      </c>
      <c r="L102" s="9">
        <f t="shared" si="111"/>
        <v>0</v>
      </c>
      <c r="M102" s="9">
        <f t="shared" si="111"/>
        <v>0</v>
      </c>
      <c r="N102" s="140">
        <f>'Value-of-fuel-used-under-CT'!W17</f>
        <v>0</v>
      </c>
    </row>
    <row r="103" spans="1:20" x14ac:dyDescent="0.25">
      <c r="A103" s="13" t="s">
        <v>142</v>
      </c>
      <c r="B103" s="40"/>
      <c r="C103" s="394">
        <f t="shared" ref="C103:E103" si="112">C70</f>
        <v>0</v>
      </c>
      <c r="D103" s="394">
        <f t="shared" si="112"/>
        <v>0</v>
      </c>
      <c r="E103" s="394">
        <f t="shared" si="112"/>
        <v>0</v>
      </c>
      <c r="F103" s="25">
        <f t="shared" si="105"/>
        <v>0</v>
      </c>
      <c r="G103" s="9">
        <f t="shared" ref="G103:I103" si="113">IFERROR(C103*$B103/(C40*$B40),0)</f>
        <v>0</v>
      </c>
      <c r="H103" s="9">
        <f t="shared" si="113"/>
        <v>0</v>
      </c>
      <c r="I103" s="9">
        <f t="shared" si="113"/>
        <v>0</v>
      </c>
      <c r="J103" s="9">
        <f t="shared" si="107"/>
        <v>0</v>
      </c>
      <c r="K103" s="9">
        <f t="shared" ref="K103:M103" si="114">($G103-G103)*(C40*$B40)</f>
        <v>0</v>
      </c>
      <c r="L103" s="9">
        <f t="shared" si="114"/>
        <v>0</v>
      </c>
      <c r="M103" s="9">
        <f t="shared" si="114"/>
        <v>0</v>
      </c>
      <c r="N103" s="140">
        <f>'Value-of-fuel-used-under-CT'!W18</f>
        <v>0</v>
      </c>
    </row>
    <row r="104" spans="1:20" x14ac:dyDescent="0.25">
      <c r="A104" s="13" t="s">
        <v>143</v>
      </c>
      <c r="B104" s="40"/>
      <c r="C104" s="394">
        <f t="shared" ref="C104:E104" si="115">C71</f>
        <v>0</v>
      </c>
      <c r="D104" s="394">
        <f t="shared" si="115"/>
        <v>0</v>
      </c>
      <c r="E104" s="394">
        <f t="shared" si="115"/>
        <v>0</v>
      </c>
      <c r="F104" s="25">
        <f t="shared" si="105"/>
        <v>0</v>
      </c>
      <c r="G104" s="9">
        <f t="shared" ref="G104:I104" si="116">IFERROR(C104*$B104/(C41*$B41),0)</f>
        <v>0</v>
      </c>
      <c r="H104" s="9">
        <f t="shared" si="116"/>
        <v>0</v>
      </c>
      <c r="I104" s="9">
        <f t="shared" si="116"/>
        <v>0</v>
      </c>
      <c r="J104" s="9">
        <f t="shared" si="107"/>
        <v>0</v>
      </c>
      <c r="K104" s="9">
        <f t="shared" ref="K104:M104" si="117">($G104-G104)*(C41*$B41)</f>
        <v>0</v>
      </c>
      <c r="L104" s="9">
        <f t="shared" si="117"/>
        <v>0</v>
      </c>
      <c r="M104" s="9">
        <f t="shared" si="117"/>
        <v>0</v>
      </c>
      <c r="N104" s="140">
        <f>'Value-of-fuel-used-under-CT'!W19</f>
        <v>0</v>
      </c>
    </row>
    <row r="105" spans="1:20" x14ac:dyDescent="0.25">
      <c r="A105" s="13" t="s">
        <v>144</v>
      </c>
      <c r="B105" s="40"/>
      <c r="C105" s="394">
        <f t="shared" ref="C105:E105" si="118">C72</f>
        <v>0</v>
      </c>
      <c r="D105" s="394">
        <f t="shared" si="118"/>
        <v>0</v>
      </c>
      <c r="E105" s="394">
        <f t="shared" si="118"/>
        <v>0</v>
      </c>
      <c r="F105" s="25">
        <f t="shared" si="105"/>
        <v>0</v>
      </c>
      <c r="G105" s="9">
        <f t="shared" ref="G105:I105" si="119">IFERROR(C105*$B105/(C42*$B42),0)</f>
        <v>0</v>
      </c>
      <c r="H105" s="9">
        <f t="shared" si="119"/>
        <v>0</v>
      </c>
      <c r="I105" s="9">
        <f t="shared" si="119"/>
        <v>0</v>
      </c>
      <c r="J105" s="9">
        <f t="shared" si="107"/>
        <v>0</v>
      </c>
      <c r="K105" s="9">
        <f t="shared" ref="K105:M105" si="120">($G105-G105)*(C42*$B42)</f>
        <v>0</v>
      </c>
      <c r="L105" s="9">
        <f t="shared" si="120"/>
        <v>0</v>
      </c>
      <c r="M105" s="9">
        <f t="shared" si="120"/>
        <v>0</v>
      </c>
      <c r="N105" s="140">
        <f>'Value-of-fuel-used-under-CT'!W20</f>
        <v>0</v>
      </c>
    </row>
    <row r="106" spans="1:20" x14ac:dyDescent="0.25">
      <c r="A106" s="13" t="s">
        <v>145</v>
      </c>
      <c r="B106" s="40"/>
      <c r="C106" s="394">
        <f t="shared" ref="C106:E106" si="121">C73</f>
        <v>0</v>
      </c>
      <c r="D106" s="394">
        <f t="shared" si="121"/>
        <v>0</v>
      </c>
      <c r="E106" s="394">
        <f t="shared" si="121"/>
        <v>0</v>
      </c>
      <c r="F106" s="25">
        <f t="shared" si="105"/>
        <v>0</v>
      </c>
      <c r="G106" s="9">
        <f t="shared" ref="G106:I106" si="122">IFERROR(C106*$B106/(C43*$B43),0)</f>
        <v>0</v>
      </c>
      <c r="H106" s="9">
        <f t="shared" si="122"/>
        <v>0</v>
      </c>
      <c r="I106" s="9">
        <f t="shared" si="122"/>
        <v>0</v>
      </c>
      <c r="J106" s="9">
        <f t="shared" si="107"/>
        <v>0</v>
      </c>
      <c r="K106" s="9">
        <f t="shared" ref="K106:M106" si="123">($G106-G106)*(C43*$B43)</f>
        <v>0</v>
      </c>
      <c r="L106" s="9">
        <f t="shared" si="123"/>
        <v>0</v>
      </c>
      <c r="M106" s="9">
        <f t="shared" si="123"/>
        <v>0</v>
      </c>
      <c r="N106" s="140">
        <f>'Value-of-fuel-used-under-CT'!W21</f>
        <v>0</v>
      </c>
    </row>
    <row r="107" spans="1:20" x14ac:dyDescent="0.25">
      <c r="A107" s="13" t="s">
        <v>146</v>
      </c>
      <c r="B107" s="40"/>
      <c r="C107" s="394">
        <f t="shared" ref="C107:E107" si="124">C74</f>
        <v>0</v>
      </c>
      <c r="D107" s="394">
        <f t="shared" si="124"/>
        <v>0</v>
      </c>
      <c r="E107" s="394">
        <f t="shared" si="124"/>
        <v>0</v>
      </c>
      <c r="F107" s="25">
        <f t="shared" si="105"/>
        <v>0</v>
      </c>
      <c r="G107" s="9">
        <f t="shared" ref="G107:I107" si="125">IFERROR(C107*$B107/(C44*$B44),0)</f>
        <v>0</v>
      </c>
      <c r="H107" s="9">
        <f t="shared" si="125"/>
        <v>0</v>
      </c>
      <c r="I107" s="9">
        <f t="shared" si="125"/>
        <v>0</v>
      </c>
      <c r="J107" s="9">
        <f t="shared" si="107"/>
        <v>0</v>
      </c>
      <c r="K107" s="9">
        <f t="shared" ref="K107:M107" si="126">($G107-G107)*(C44*$B44)</f>
        <v>0</v>
      </c>
      <c r="L107" s="9">
        <f t="shared" si="126"/>
        <v>0</v>
      </c>
      <c r="M107" s="9">
        <f t="shared" si="126"/>
        <v>0</v>
      </c>
      <c r="N107" s="140">
        <f>'Value-of-fuel-used-under-CT'!W22</f>
        <v>0</v>
      </c>
    </row>
    <row r="108" spans="1:20" x14ac:dyDescent="0.25">
      <c r="A108" s="13" t="s">
        <v>147</v>
      </c>
      <c r="B108" s="40"/>
      <c r="C108" s="394">
        <f t="shared" ref="C108:E108" si="127">C75</f>
        <v>0</v>
      </c>
      <c r="D108" s="394">
        <f t="shared" si="127"/>
        <v>0</v>
      </c>
      <c r="E108" s="394">
        <f t="shared" si="127"/>
        <v>0</v>
      </c>
      <c r="F108" s="25">
        <f t="shared" si="105"/>
        <v>0</v>
      </c>
      <c r="G108" s="9">
        <f t="shared" ref="G108:I108" si="128">IFERROR(C108*$B108/(C45*$B45),0)</f>
        <v>0</v>
      </c>
      <c r="H108" s="9">
        <f t="shared" si="128"/>
        <v>0</v>
      </c>
      <c r="I108" s="9">
        <f t="shared" si="128"/>
        <v>0</v>
      </c>
      <c r="J108" s="9">
        <f t="shared" si="107"/>
        <v>0</v>
      </c>
      <c r="K108" s="9">
        <f t="shared" ref="K108:M108" si="129">($G108-G108)*(C45*$B45)</f>
        <v>0</v>
      </c>
      <c r="L108" s="9">
        <f t="shared" si="129"/>
        <v>0</v>
      </c>
      <c r="M108" s="9">
        <f t="shared" si="129"/>
        <v>0</v>
      </c>
      <c r="N108" s="140">
        <f>'Value-of-fuel-used-under-CT'!W23</f>
        <v>0</v>
      </c>
    </row>
    <row r="109" spans="1:20" x14ac:dyDescent="0.25">
      <c r="A109" s="13" t="s">
        <v>148</v>
      </c>
      <c r="B109" s="40"/>
      <c r="C109" s="394">
        <f t="shared" ref="C109:E109" si="130">C76</f>
        <v>0</v>
      </c>
      <c r="D109" s="394">
        <f t="shared" si="130"/>
        <v>0</v>
      </c>
      <c r="E109" s="394">
        <f t="shared" si="130"/>
        <v>0</v>
      </c>
      <c r="F109" s="25">
        <f t="shared" si="105"/>
        <v>0</v>
      </c>
      <c r="G109" s="9">
        <f t="shared" ref="G109:I109" si="131">IFERROR(C109*$B109/(C46*$B46),0)</f>
        <v>0</v>
      </c>
      <c r="H109" s="9">
        <f t="shared" si="131"/>
        <v>0</v>
      </c>
      <c r="I109" s="9">
        <f t="shared" si="131"/>
        <v>0</v>
      </c>
      <c r="J109" s="9">
        <f t="shared" si="107"/>
        <v>0</v>
      </c>
      <c r="K109" s="9">
        <f t="shared" ref="K109:M109" si="132">($G109-G109)*(C46*$B46)</f>
        <v>0</v>
      </c>
      <c r="L109" s="9">
        <f t="shared" si="132"/>
        <v>0</v>
      </c>
      <c r="M109" s="9">
        <f t="shared" si="132"/>
        <v>0</v>
      </c>
      <c r="N109" s="140">
        <f>'Value-of-fuel-used-under-CT'!W24</f>
        <v>0</v>
      </c>
    </row>
    <row r="110" spans="1:20" x14ac:dyDescent="0.25">
      <c r="A110" s="13" t="s">
        <v>149</v>
      </c>
      <c r="B110" s="40"/>
      <c r="C110" s="394">
        <f t="shared" ref="C110:E110" si="133">C77</f>
        <v>0</v>
      </c>
      <c r="D110" s="394">
        <f t="shared" si="133"/>
        <v>0</v>
      </c>
      <c r="E110" s="394">
        <f t="shared" si="133"/>
        <v>0</v>
      </c>
      <c r="F110" s="25">
        <f t="shared" si="105"/>
        <v>0</v>
      </c>
      <c r="G110" s="9">
        <f t="shared" ref="G110:I110" si="134">IFERROR(C110*$B110/(C47*$B47),0)</f>
        <v>0</v>
      </c>
      <c r="H110" s="9">
        <f t="shared" si="134"/>
        <v>0</v>
      </c>
      <c r="I110" s="9">
        <f t="shared" si="134"/>
        <v>0</v>
      </c>
      <c r="J110" s="9">
        <f t="shared" si="107"/>
        <v>0</v>
      </c>
      <c r="K110" s="9">
        <f t="shared" ref="K110:M110" si="135">($G110-G110)*(C47*$B47)</f>
        <v>0</v>
      </c>
      <c r="L110" s="9">
        <f t="shared" si="135"/>
        <v>0</v>
      </c>
      <c r="M110" s="9">
        <f t="shared" si="135"/>
        <v>0</v>
      </c>
      <c r="N110" s="140">
        <f>'Value-of-fuel-used-under-CT'!W25</f>
        <v>0</v>
      </c>
    </row>
    <row r="111" spans="1:20" x14ac:dyDescent="0.25">
      <c r="A111" s="13" t="s">
        <v>150</v>
      </c>
      <c r="B111" s="40"/>
      <c r="C111" s="394">
        <f t="shared" ref="C111:E111" si="136">C78</f>
        <v>0</v>
      </c>
      <c r="D111" s="394">
        <f t="shared" si="136"/>
        <v>0</v>
      </c>
      <c r="E111" s="394">
        <f t="shared" si="136"/>
        <v>0</v>
      </c>
      <c r="F111" s="25">
        <f t="shared" si="105"/>
        <v>0</v>
      </c>
      <c r="G111" s="9">
        <f t="shared" ref="G111:I111" si="137">IFERROR(C111*$B111/(C48*$B48),0)</f>
        <v>0</v>
      </c>
      <c r="H111" s="9">
        <f t="shared" si="137"/>
        <v>0</v>
      </c>
      <c r="I111" s="9">
        <f t="shared" si="137"/>
        <v>0</v>
      </c>
      <c r="J111" s="9">
        <f t="shared" si="107"/>
        <v>0</v>
      </c>
      <c r="K111" s="9">
        <f t="shared" ref="K111:M111" si="138">($G111-G111)*(C48*$B48)</f>
        <v>0</v>
      </c>
      <c r="L111" s="9">
        <f t="shared" si="138"/>
        <v>0</v>
      </c>
      <c r="M111" s="9">
        <f t="shared" si="138"/>
        <v>0</v>
      </c>
      <c r="N111" s="140">
        <f>'Value-of-fuel-used-under-CT'!W26</f>
        <v>0</v>
      </c>
    </row>
    <row r="112" spans="1:20" x14ac:dyDescent="0.25">
      <c r="A112" s="13" t="s">
        <v>151</v>
      </c>
      <c r="B112" s="40"/>
      <c r="C112" s="394">
        <f t="shared" ref="C112:E112" si="139">C79</f>
        <v>0</v>
      </c>
      <c r="D112" s="394">
        <f t="shared" si="139"/>
        <v>0</v>
      </c>
      <c r="E112" s="394">
        <f t="shared" si="139"/>
        <v>0</v>
      </c>
      <c r="F112" s="25">
        <f t="shared" si="105"/>
        <v>0</v>
      </c>
      <c r="G112" s="9">
        <f t="shared" ref="G112:I112" si="140">IFERROR(C112*$B112/(C49*$B49),0)</f>
        <v>0</v>
      </c>
      <c r="H112" s="9">
        <f t="shared" si="140"/>
        <v>0</v>
      </c>
      <c r="I112" s="9">
        <f t="shared" si="140"/>
        <v>0</v>
      </c>
      <c r="J112" s="9">
        <f t="shared" si="107"/>
        <v>0</v>
      </c>
      <c r="K112" s="9">
        <f t="shared" ref="K112:M112" si="141">($G112-G112)*(C49*$B49)</f>
        <v>0</v>
      </c>
      <c r="L112" s="9">
        <f t="shared" si="141"/>
        <v>0</v>
      </c>
      <c r="M112" s="9">
        <f t="shared" si="141"/>
        <v>0</v>
      </c>
      <c r="N112" s="140">
        <f>'Value-of-fuel-used-under-CT'!W27</f>
        <v>0</v>
      </c>
    </row>
    <row r="113" spans="1:14" x14ac:dyDescent="0.25">
      <c r="A113" s="13" t="s">
        <v>152</v>
      </c>
      <c r="B113" s="40"/>
      <c r="C113" s="394">
        <f t="shared" ref="C113:E113" si="142">C80</f>
        <v>0</v>
      </c>
      <c r="D113" s="394">
        <f t="shared" si="142"/>
        <v>0</v>
      </c>
      <c r="E113" s="394">
        <f t="shared" si="142"/>
        <v>0</v>
      </c>
      <c r="F113" s="25">
        <f t="shared" si="105"/>
        <v>0</v>
      </c>
      <c r="G113" s="9">
        <f t="shared" ref="G113:I113" si="143">IFERROR(C113*$B113/(C50*$B50),0)</f>
        <v>0</v>
      </c>
      <c r="H113" s="9">
        <f t="shared" si="143"/>
        <v>0</v>
      </c>
      <c r="I113" s="9">
        <f t="shared" si="143"/>
        <v>0</v>
      </c>
      <c r="J113" s="9">
        <f t="shared" si="107"/>
        <v>0</v>
      </c>
      <c r="K113" s="9">
        <f t="shared" ref="K113:M113" si="144">($G113-G113)*(C50*$B50)</f>
        <v>0</v>
      </c>
      <c r="L113" s="9">
        <f t="shared" si="144"/>
        <v>0</v>
      </c>
      <c r="M113" s="9">
        <f t="shared" si="144"/>
        <v>0</v>
      </c>
      <c r="N113" s="140">
        <f>'Value-of-fuel-used-under-CT'!W28</f>
        <v>0</v>
      </c>
    </row>
    <row r="114" spans="1:14" x14ac:dyDescent="0.25">
      <c r="A114" s="13" t="s">
        <v>153</v>
      </c>
      <c r="B114" s="40"/>
      <c r="C114" s="394">
        <f t="shared" ref="C114:E114" si="145">C81</f>
        <v>0</v>
      </c>
      <c r="D114" s="394">
        <f t="shared" si="145"/>
        <v>0</v>
      </c>
      <c r="E114" s="394">
        <f t="shared" si="145"/>
        <v>0</v>
      </c>
      <c r="F114" s="25">
        <f t="shared" si="105"/>
        <v>0</v>
      </c>
      <c r="G114" s="9">
        <f t="shared" ref="G114:I114" si="146">IFERROR(C114*$B114/(C51*$B51),0)</f>
        <v>0</v>
      </c>
      <c r="H114" s="9">
        <f t="shared" si="146"/>
        <v>0</v>
      </c>
      <c r="I114" s="9">
        <f t="shared" si="146"/>
        <v>0</v>
      </c>
      <c r="J114" s="9">
        <f t="shared" si="107"/>
        <v>0</v>
      </c>
      <c r="K114" s="9">
        <f t="shared" ref="K114:M114" si="147">($G114-G114)*(C51*$B51)</f>
        <v>0</v>
      </c>
      <c r="L114" s="9">
        <f t="shared" si="147"/>
        <v>0</v>
      </c>
      <c r="M114" s="9">
        <f t="shared" si="147"/>
        <v>0</v>
      </c>
      <c r="N114" s="140">
        <f>'Value-of-fuel-used-under-CT'!Q29</f>
        <v>0</v>
      </c>
    </row>
    <row r="115" spans="1:14" x14ac:dyDescent="0.25">
      <c r="A115" s="13" t="s">
        <v>154</v>
      </c>
      <c r="B115" s="40"/>
      <c r="C115" s="394">
        <f t="shared" ref="C115:E115" si="148">C82</f>
        <v>0</v>
      </c>
      <c r="D115" s="394">
        <f t="shared" si="148"/>
        <v>0</v>
      </c>
      <c r="E115" s="394">
        <f t="shared" si="148"/>
        <v>0</v>
      </c>
      <c r="F115" s="25">
        <f t="shared" si="105"/>
        <v>0</v>
      </c>
      <c r="G115" s="9">
        <f t="shared" ref="G115:I115" si="149">IFERROR(C115*$B115/(C52*$B52),0)</f>
        <v>0</v>
      </c>
      <c r="H115" s="9">
        <f t="shared" si="149"/>
        <v>0</v>
      </c>
      <c r="I115" s="9">
        <f t="shared" si="149"/>
        <v>0</v>
      </c>
      <c r="J115" s="9">
        <f t="shared" si="107"/>
        <v>0</v>
      </c>
      <c r="K115" s="9">
        <f t="shared" ref="K115:M115" si="150">($G115-G115)*(C52*$B52)</f>
        <v>0</v>
      </c>
      <c r="L115" s="9">
        <f t="shared" si="150"/>
        <v>0</v>
      </c>
      <c r="M115" s="9">
        <f t="shared" si="150"/>
        <v>0</v>
      </c>
      <c r="N115" s="140">
        <f>'Value-of-fuel-used-under-CT'!S30</f>
        <v>0</v>
      </c>
    </row>
    <row r="116" spans="1:14" x14ac:dyDescent="0.25">
      <c r="A116" s="13" t="s">
        <v>155</v>
      </c>
      <c r="B116" s="40"/>
      <c r="C116" s="394">
        <f t="shared" ref="C116:E116" si="151">C83</f>
        <v>0</v>
      </c>
      <c r="D116" s="394">
        <f t="shared" si="151"/>
        <v>0</v>
      </c>
      <c r="E116" s="394">
        <f t="shared" si="151"/>
        <v>0</v>
      </c>
      <c r="F116" s="25">
        <f t="shared" si="105"/>
        <v>0</v>
      </c>
      <c r="G116" s="9">
        <f t="shared" ref="G116:I116" si="152">IFERROR(C116*$B116/(C53*$B53),0)</f>
        <v>0</v>
      </c>
      <c r="H116" s="9">
        <f t="shared" si="152"/>
        <v>0</v>
      </c>
      <c r="I116" s="9">
        <f t="shared" si="152"/>
        <v>0</v>
      </c>
      <c r="J116" s="9">
        <f t="shared" si="107"/>
        <v>0</v>
      </c>
      <c r="K116" s="9">
        <f t="shared" ref="K116:M116" si="153">($G116-G116)*(C53*$B53)</f>
        <v>0</v>
      </c>
      <c r="L116" s="9">
        <f t="shared" si="153"/>
        <v>0</v>
      </c>
      <c r="M116" s="9">
        <f t="shared" si="153"/>
        <v>0</v>
      </c>
      <c r="N116" s="140">
        <f>'Value-of-fuel-used-under-CT'!S31</f>
        <v>0</v>
      </c>
    </row>
    <row r="117" spans="1:14" x14ac:dyDescent="0.25">
      <c r="A117" s="13" t="s">
        <v>156</v>
      </c>
      <c r="B117" s="40"/>
      <c r="C117" s="394">
        <f t="shared" ref="C117:E117" si="154">C84</f>
        <v>0</v>
      </c>
      <c r="D117" s="394">
        <f t="shared" si="154"/>
        <v>0</v>
      </c>
      <c r="E117" s="394">
        <f t="shared" si="154"/>
        <v>0</v>
      </c>
      <c r="F117" s="25">
        <f t="shared" si="105"/>
        <v>0</v>
      </c>
      <c r="G117" s="9">
        <f t="shared" ref="G117:I117" si="155">IFERROR(C117*$B117/(C54*$B54),0)</f>
        <v>0</v>
      </c>
      <c r="H117" s="9">
        <f t="shared" si="155"/>
        <v>0</v>
      </c>
      <c r="I117" s="9">
        <f t="shared" si="155"/>
        <v>0</v>
      </c>
      <c r="J117" s="9">
        <f t="shared" si="107"/>
        <v>0</v>
      </c>
      <c r="K117" s="9">
        <f t="shared" ref="K117:M117" si="156">($G117-G117)*(C54*$B54)</f>
        <v>0</v>
      </c>
      <c r="L117" s="9">
        <f t="shared" si="156"/>
        <v>0</v>
      </c>
      <c r="M117" s="9">
        <f t="shared" si="156"/>
        <v>0</v>
      </c>
      <c r="N117" s="140">
        <f>'Value-of-fuel-used-under-CT'!S32</f>
        <v>0</v>
      </c>
    </row>
    <row r="118" spans="1:14" x14ac:dyDescent="0.25">
      <c r="A118" s="13" t="s">
        <v>157</v>
      </c>
      <c r="B118" s="40"/>
      <c r="C118" s="394">
        <f t="shared" ref="C118:E118" si="157">C85</f>
        <v>0</v>
      </c>
      <c r="D118" s="394">
        <f t="shared" si="157"/>
        <v>0</v>
      </c>
      <c r="E118" s="394">
        <f t="shared" si="157"/>
        <v>0</v>
      </c>
      <c r="F118" s="25">
        <f t="shared" si="105"/>
        <v>0</v>
      </c>
      <c r="G118" s="9">
        <f t="shared" ref="G118:I118" si="158">IFERROR(C118*$B118/(C55*$B55),0)</f>
        <v>0</v>
      </c>
      <c r="H118" s="9">
        <f t="shared" si="158"/>
        <v>0</v>
      </c>
      <c r="I118" s="9">
        <f t="shared" si="158"/>
        <v>0</v>
      </c>
      <c r="J118" s="9">
        <f t="shared" si="107"/>
        <v>0</v>
      </c>
      <c r="K118" s="9">
        <f t="shared" ref="K118:M118" si="159">($G118-G118)*(C55*$B55)</f>
        <v>0</v>
      </c>
      <c r="L118" s="9">
        <f t="shared" si="159"/>
        <v>0</v>
      </c>
      <c r="M118" s="9">
        <f t="shared" si="159"/>
        <v>0</v>
      </c>
      <c r="N118" s="140">
        <f>'Value-of-fuel-used-under-CT'!S33</f>
        <v>0</v>
      </c>
    </row>
    <row r="119" spans="1:14" x14ac:dyDescent="0.25">
      <c r="A119" s="13" t="s">
        <v>158</v>
      </c>
      <c r="B119" s="40"/>
      <c r="C119" s="394">
        <f t="shared" ref="C119:E119" si="160">C86</f>
        <v>0</v>
      </c>
      <c r="D119" s="394">
        <f t="shared" si="160"/>
        <v>0</v>
      </c>
      <c r="E119" s="394">
        <f t="shared" si="160"/>
        <v>0</v>
      </c>
      <c r="F119" s="25">
        <f t="shared" si="105"/>
        <v>0</v>
      </c>
      <c r="G119" s="9">
        <f t="shared" ref="G119:I119" si="161">IFERROR(C119*$B119/(C56*$B56),0)</f>
        <v>0</v>
      </c>
      <c r="H119" s="9">
        <f t="shared" si="161"/>
        <v>0</v>
      </c>
      <c r="I119" s="9">
        <f t="shared" si="161"/>
        <v>0</v>
      </c>
      <c r="J119" s="9">
        <f t="shared" si="107"/>
        <v>0</v>
      </c>
      <c r="K119" s="9">
        <f t="shared" ref="K119:M119" si="162">($G119-G119)*(C56*$B56)</f>
        <v>0</v>
      </c>
      <c r="L119" s="9">
        <f t="shared" si="162"/>
        <v>0</v>
      </c>
      <c r="M119" s="9">
        <f t="shared" si="162"/>
        <v>0</v>
      </c>
      <c r="N119" s="140">
        <f>'Value-of-fuel-used-under-CT'!S34</f>
        <v>0</v>
      </c>
    </row>
    <row r="120" spans="1:14" x14ac:dyDescent="0.25">
      <c r="A120" s="13" t="s">
        <v>159</v>
      </c>
      <c r="B120" s="40"/>
      <c r="C120" s="394">
        <f t="shared" ref="C120:E120" si="163">C87</f>
        <v>0</v>
      </c>
      <c r="D120" s="394">
        <f t="shared" si="163"/>
        <v>0</v>
      </c>
      <c r="E120" s="394">
        <f t="shared" si="163"/>
        <v>0</v>
      </c>
      <c r="F120" s="25">
        <f t="shared" si="105"/>
        <v>0</v>
      </c>
      <c r="G120" s="9">
        <f t="shared" ref="G120:I120" si="164">IFERROR(C120*$B120/(C57*$B57),0)</f>
        <v>0</v>
      </c>
      <c r="H120" s="9">
        <f t="shared" si="164"/>
        <v>0</v>
      </c>
      <c r="I120" s="9">
        <f t="shared" si="164"/>
        <v>0</v>
      </c>
      <c r="J120" s="9">
        <f t="shared" si="107"/>
        <v>0</v>
      </c>
      <c r="K120" s="9">
        <f t="shared" ref="K120:M120" si="165">($G120-G120)*(C57*$B57)</f>
        <v>0</v>
      </c>
      <c r="L120" s="9">
        <f t="shared" si="165"/>
        <v>0</v>
      </c>
      <c r="M120" s="9">
        <f t="shared" si="165"/>
        <v>0</v>
      </c>
      <c r="N120" s="140">
        <f>'Value-of-fuel-used-under-CT'!S35</f>
        <v>0</v>
      </c>
    </row>
    <row r="121" spans="1:14" x14ac:dyDescent="0.25">
      <c r="A121" s="13" t="s">
        <v>160</v>
      </c>
      <c r="B121" s="40"/>
      <c r="C121" s="394">
        <f t="shared" ref="C121:E121" si="166">C88</f>
        <v>0</v>
      </c>
      <c r="D121" s="394">
        <f t="shared" si="166"/>
        <v>0</v>
      </c>
      <c r="E121" s="394">
        <f t="shared" si="166"/>
        <v>0</v>
      </c>
      <c r="F121" s="25">
        <f t="shared" si="105"/>
        <v>0</v>
      </c>
      <c r="G121" s="9">
        <f t="shared" ref="G121:I121" si="167">IFERROR(C121*$B121/(C58*$B58),0)</f>
        <v>0</v>
      </c>
      <c r="H121" s="9">
        <f t="shared" si="167"/>
        <v>0</v>
      </c>
      <c r="I121" s="9">
        <f t="shared" si="167"/>
        <v>0</v>
      </c>
      <c r="J121" s="9">
        <f t="shared" si="107"/>
        <v>0</v>
      </c>
      <c r="K121" s="9">
        <f t="shared" ref="K121:M121" si="168">($G121-G121)*(C58*$B58)</f>
        <v>0</v>
      </c>
      <c r="L121" s="9">
        <f t="shared" si="168"/>
        <v>0</v>
      </c>
      <c r="M121" s="9">
        <f t="shared" si="168"/>
        <v>0</v>
      </c>
      <c r="N121" s="140">
        <f>'Value-of-fuel-used-under-CT'!S36</f>
        <v>0</v>
      </c>
    </row>
    <row r="122" spans="1:14" x14ac:dyDescent="0.25">
      <c r="A122" s="13" t="s">
        <v>161</v>
      </c>
      <c r="B122" s="40"/>
      <c r="C122" s="394">
        <f t="shared" ref="C122:E122" si="169">C89</f>
        <v>0</v>
      </c>
      <c r="D122" s="394">
        <f t="shared" si="169"/>
        <v>0</v>
      </c>
      <c r="E122" s="394">
        <f t="shared" si="169"/>
        <v>0</v>
      </c>
      <c r="F122" s="25">
        <f t="shared" si="105"/>
        <v>0</v>
      </c>
      <c r="G122" s="9">
        <f t="shared" ref="G122:I122" si="170">IFERROR(C122*$B122/(C59*$B59),0)</f>
        <v>0</v>
      </c>
      <c r="H122" s="9">
        <f t="shared" si="170"/>
        <v>0</v>
      </c>
      <c r="I122" s="9">
        <f t="shared" si="170"/>
        <v>0</v>
      </c>
      <c r="J122" s="9">
        <f t="shared" si="107"/>
        <v>0</v>
      </c>
      <c r="K122" s="9">
        <f t="shared" ref="K122:M122" si="171">($G122-G122)*(C59*$B59)</f>
        <v>0</v>
      </c>
      <c r="L122" s="9">
        <f t="shared" si="171"/>
        <v>0</v>
      </c>
      <c r="M122" s="9">
        <f t="shared" si="171"/>
        <v>0</v>
      </c>
      <c r="N122" s="140">
        <f>'Value-of-fuel-used-under-CT'!S37</f>
        <v>0</v>
      </c>
    </row>
    <row r="123" spans="1:14" x14ac:dyDescent="0.25">
      <c r="A123" s="13" t="s">
        <v>162</v>
      </c>
      <c r="B123" s="40"/>
      <c r="C123" s="394">
        <f t="shared" ref="C123:E123" si="172">C90</f>
        <v>0</v>
      </c>
      <c r="D123" s="394">
        <f t="shared" si="172"/>
        <v>0</v>
      </c>
      <c r="E123" s="394">
        <f t="shared" si="172"/>
        <v>0</v>
      </c>
      <c r="F123" s="25">
        <f t="shared" si="105"/>
        <v>0</v>
      </c>
      <c r="G123" s="9">
        <f t="shared" ref="G123:I123" si="173">IFERROR(C123*$B123/(C60*$B60),0)</f>
        <v>0</v>
      </c>
      <c r="H123" s="9">
        <f t="shared" si="173"/>
        <v>0</v>
      </c>
      <c r="I123" s="9">
        <f t="shared" si="173"/>
        <v>0</v>
      </c>
      <c r="J123" s="9">
        <f t="shared" si="107"/>
        <v>0</v>
      </c>
      <c r="K123" s="9">
        <f t="shared" ref="K123:M123" si="174">($G123-G123)*(C60*$B60)</f>
        <v>0</v>
      </c>
      <c r="L123" s="9">
        <f t="shared" si="174"/>
        <v>0</v>
      </c>
      <c r="M123" s="9">
        <f t="shared" si="174"/>
        <v>0</v>
      </c>
      <c r="N123" s="140">
        <f>'Value-of-fuel-used-under-CT'!S38</f>
        <v>0</v>
      </c>
    </row>
    <row r="124" spans="1:14" x14ac:dyDescent="0.25">
      <c r="A124" s="1" t="s">
        <v>163</v>
      </c>
      <c r="B124" s="10">
        <f>SUM(B100:B123)</f>
        <v>0</v>
      </c>
      <c r="C124" s="37">
        <f>IFERROR(SUMPRODUCT($B$100:$B$123,C100:C123)/$B$124,0)</f>
        <v>0</v>
      </c>
      <c r="D124" s="37">
        <f t="shared" ref="D124:E124" si="175">IFERROR(SUMPRODUCT($B$100:$B$123,D100:D123)/$B$124,0)</f>
        <v>0</v>
      </c>
      <c r="E124" s="37">
        <f t="shared" si="175"/>
        <v>0</v>
      </c>
      <c r="F124" s="10">
        <f>SUM(C124:E124)</f>
        <v>0</v>
      </c>
      <c r="G124" s="10">
        <f>IFERROR(SUMPRODUCT($B$100:$B$123,G100:G123)/$B$124,0)</f>
        <v>0</v>
      </c>
      <c r="H124" s="10">
        <f t="shared" ref="H124:I124" si="176">IFERROR(SUMPRODUCT($B$100:$B$123,H100:H123)/$B$124,0)</f>
        <v>0</v>
      </c>
      <c r="I124" s="10">
        <f t="shared" si="176"/>
        <v>0</v>
      </c>
      <c r="J124" s="10">
        <f>IFERROR(SUMPRODUCT($B$100:$B$123,J100:J123)/$B$124,0)</f>
        <v>0</v>
      </c>
      <c r="K124" s="10">
        <f>SUM(K100:K123)</f>
        <v>0</v>
      </c>
      <c r="L124" s="10">
        <f t="shared" ref="L124:M124" si="177">SUM(L100:L123)</f>
        <v>0</v>
      </c>
      <c r="M124" s="10">
        <f t="shared" si="177"/>
        <v>0</v>
      </c>
      <c r="N124" s="23">
        <f>SUM(N100:N123)</f>
        <v>0</v>
      </c>
    </row>
    <row r="126" spans="1:14" x14ac:dyDescent="0.25">
      <c r="A126" s="1" t="s">
        <v>332</v>
      </c>
      <c r="D126" s="2"/>
      <c r="E126" s="2"/>
      <c r="G126" t="s">
        <v>96</v>
      </c>
      <c r="H126" s="20" t="s">
        <v>333</v>
      </c>
    </row>
    <row r="127" spans="1:14" ht="18" x14ac:dyDescent="0.35">
      <c r="A127" s="1"/>
      <c r="B127" s="1" t="s">
        <v>334</v>
      </c>
      <c r="D127" s="124">
        <f>44*F127/12</f>
        <v>187</v>
      </c>
      <c r="E127" s="73" t="s">
        <v>335</v>
      </c>
      <c r="F127" s="62">
        <v>51</v>
      </c>
      <c r="H127" s="20" t="s">
        <v>336</v>
      </c>
    </row>
    <row r="128" spans="1:14" x14ac:dyDescent="0.25">
      <c r="A128" s="1"/>
      <c r="B128" s="1" t="s">
        <v>426</v>
      </c>
      <c r="D128" s="182">
        <v>5.7999999999999996E-3</v>
      </c>
      <c r="E128" s="1"/>
      <c r="F128" s="74" t="s">
        <v>338</v>
      </c>
      <c r="H128" s="20" t="s">
        <v>339</v>
      </c>
    </row>
    <row r="129" spans="1:27" x14ac:dyDescent="0.25">
      <c r="A129" s="1"/>
      <c r="B129" s="1" t="s">
        <v>427</v>
      </c>
      <c r="C129" s="1"/>
      <c r="D129" s="136">
        <v>10</v>
      </c>
      <c r="E129" s="1"/>
      <c r="F129" s="63" t="s">
        <v>239</v>
      </c>
      <c r="G129" s="69">
        <f>10000*(D129/100)*D131</f>
        <v>1400</v>
      </c>
      <c r="H129" s="77"/>
      <c r="R129" s="29" t="s">
        <v>342</v>
      </c>
      <c r="S129" s="29"/>
      <c r="T129" s="343">
        <v>0.10482673846153846</v>
      </c>
      <c r="U129" s="29" t="s">
        <v>343</v>
      </c>
    </row>
    <row r="130" spans="1:27" x14ac:dyDescent="0.25">
      <c r="A130" s="1"/>
      <c r="B130" s="1" t="s">
        <v>428</v>
      </c>
      <c r="C130" s="1"/>
      <c r="D130" s="123" t="e">
        <f>G130/G129</f>
        <v>#DIV/0!</v>
      </c>
      <c r="E130" s="1"/>
      <c r="F130" s="63" t="s">
        <v>429</v>
      </c>
      <c r="G130" s="569" t="e">
        <f>'Soil-errosion2'!AR28</f>
        <v>#DIV/0!</v>
      </c>
      <c r="H130" t="s">
        <v>345</v>
      </c>
      <c r="I130" t="s">
        <v>346</v>
      </c>
      <c r="R130" s="29" t="s">
        <v>347</v>
      </c>
      <c r="S130" s="29"/>
      <c r="T130" s="344">
        <v>719.77</v>
      </c>
      <c r="U130" s="29" t="s">
        <v>348</v>
      </c>
    </row>
    <row r="131" spans="1:27" ht="17.25" x14ac:dyDescent="0.25">
      <c r="A131" s="1"/>
      <c r="B131" s="1" t="s">
        <v>430</v>
      </c>
      <c r="C131" s="1"/>
      <c r="D131" s="136">
        <v>1.4</v>
      </c>
      <c r="E131" s="1"/>
      <c r="F131" t="s">
        <v>350</v>
      </c>
      <c r="G131" s="140" t="e">
        <f>D129*G130/G129</f>
        <v>#DIV/0!</v>
      </c>
      <c r="I131" s="20" t="s">
        <v>351</v>
      </c>
    </row>
    <row r="132" spans="1:27" ht="36" customHeight="1" x14ac:dyDescent="0.25">
      <c r="A132" s="838" t="s">
        <v>101</v>
      </c>
      <c r="B132" s="814" t="s">
        <v>575</v>
      </c>
      <c r="C132" s="814"/>
      <c r="D132" s="814"/>
      <c r="E132" s="814"/>
      <c r="F132" s="814"/>
      <c r="H132" s="76"/>
    </row>
    <row r="133" spans="1:27" ht="57.95" customHeight="1" x14ac:dyDescent="0.25">
      <c r="A133" s="838"/>
      <c r="B133" s="11" t="s">
        <v>353</v>
      </c>
      <c r="C133" s="839" t="s">
        <v>354</v>
      </c>
      <c r="D133" s="839"/>
      <c r="E133" s="839"/>
      <c r="F133" s="839" t="s">
        <v>355</v>
      </c>
      <c r="G133" s="839"/>
      <c r="H133" s="839"/>
      <c r="I133" s="839"/>
      <c r="J133" s="839" t="s">
        <v>356</v>
      </c>
      <c r="K133" s="839"/>
      <c r="L133" s="839"/>
      <c r="M133" s="839"/>
      <c r="N133" s="839" t="s">
        <v>357</v>
      </c>
      <c r="O133" s="839"/>
      <c r="P133" s="839"/>
      <c r="Q133" s="839"/>
      <c r="R133" s="839" t="s">
        <v>358</v>
      </c>
      <c r="S133" s="839" t="s">
        <v>359</v>
      </c>
      <c r="T133" s="839" t="s">
        <v>360</v>
      </c>
      <c r="U133" s="839" t="s">
        <v>361</v>
      </c>
      <c r="V133" s="839" t="s">
        <v>362</v>
      </c>
      <c r="W133" s="839" t="s">
        <v>363</v>
      </c>
      <c r="X133" s="11" t="s">
        <v>364</v>
      </c>
      <c r="Y133" s="11" t="s">
        <v>365</v>
      </c>
      <c r="Z133" s="839" t="s">
        <v>366</v>
      </c>
      <c r="AA133" s="11" t="s">
        <v>367</v>
      </c>
    </row>
    <row r="134" spans="1:27" x14ac:dyDescent="0.25">
      <c r="A134" s="17"/>
      <c r="B134" s="11"/>
      <c r="C134" s="11" t="s">
        <v>234</v>
      </c>
      <c r="D134" s="11" t="s">
        <v>368</v>
      </c>
      <c r="E134" s="11" t="s">
        <v>238</v>
      </c>
      <c r="F134" s="11" t="s">
        <v>234</v>
      </c>
      <c r="G134" s="11" t="s">
        <v>368</v>
      </c>
      <c r="H134" s="11" t="s">
        <v>238</v>
      </c>
      <c r="I134" s="11" t="s">
        <v>120</v>
      </c>
      <c r="J134" s="11" t="s">
        <v>234</v>
      </c>
      <c r="K134" s="11" t="s">
        <v>368</v>
      </c>
      <c r="L134" s="11" t="s">
        <v>238</v>
      </c>
      <c r="M134" s="11" t="s">
        <v>120</v>
      </c>
      <c r="N134" s="11" t="s">
        <v>234</v>
      </c>
      <c r="O134" s="11" t="s">
        <v>368</v>
      </c>
      <c r="P134" s="11" t="s">
        <v>238</v>
      </c>
      <c r="Q134" s="11" t="s">
        <v>120</v>
      </c>
      <c r="R134" s="839"/>
      <c r="S134" s="839"/>
      <c r="T134" s="839"/>
      <c r="U134" s="839"/>
      <c r="V134" s="839"/>
      <c r="W134" s="839"/>
      <c r="X134" s="11"/>
      <c r="Y134" s="11"/>
      <c r="Z134" s="839"/>
    </row>
    <row r="135" spans="1:27" x14ac:dyDescent="0.25">
      <c r="A135" s="13" t="s">
        <v>139</v>
      </c>
      <c r="B135" s="191">
        <v>0</v>
      </c>
      <c r="C135" s="64"/>
      <c r="D135" s="64"/>
      <c r="E135" s="64"/>
      <c r="F135" s="185">
        <f>'Percent-Soil-Carbon-Content'!H4*'Soil-errosion2'!H4</f>
        <v>0</v>
      </c>
      <c r="G135" s="185">
        <f>'Percent-Soil-Carbon-Content'!S4*'Soil-errosion2'!T4</f>
        <v>0</v>
      </c>
      <c r="H135" s="185">
        <f>'Percent-Soil-Carbon-Content'!AD4*'Soil-errosion2'!AF4</f>
        <v>0</v>
      </c>
      <c r="I135" s="185">
        <f>SUMPRODUCT(F135:H135,$C$37:$E$37)</f>
        <v>0</v>
      </c>
      <c r="J135" s="185">
        <f>F135</f>
        <v>0</v>
      </c>
      <c r="K135" s="185">
        <f t="shared" ref="K135:L135" si="178">G135</f>
        <v>0</v>
      </c>
      <c r="L135" s="185">
        <f t="shared" si="178"/>
        <v>0</v>
      </c>
      <c r="M135" s="185">
        <f>SUMPRODUCT(J135:L135,C67:E67)</f>
        <v>0</v>
      </c>
      <c r="N135" s="67">
        <f>J135*C37*$B37</f>
        <v>0</v>
      </c>
      <c r="O135" s="67">
        <f>K135*D37*$B37</f>
        <v>0</v>
      </c>
      <c r="P135" s="67">
        <f>L135*E37*$B37</f>
        <v>0</v>
      </c>
      <c r="Q135" s="24">
        <f>SUM(N135:P135)</f>
        <v>0</v>
      </c>
      <c r="R135" s="349">
        <f>'Value-of-fuel-used-under-CT'!H4</f>
        <v>0</v>
      </c>
      <c r="S135" s="350">
        <f>1000*R135*$T$130/1000000</f>
        <v>0</v>
      </c>
      <c r="T135" s="24">
        <f>Q135+S135</f>
        <v>0</v>
      </c>
      <c r="U135" s="24">
        <f>S135*$D$127</f>
        <v>0</v>
      </c>
      <c r="V135" s="24">
        <f>Q135*$D$127</f>
        <v>0</v>
      </c>
      <c r="W135" s="38">
        <f>T135*$D$127</f>
        <v>0</v>
      </c>
      <c r="X135" s="9">
        <v>0</v>
      </c>
      <c r="Y135" s="9">
        <v>0</v>
      </c>
      <c r="Z135" s="38">
        <f t="shared" ref="Z135:Z159" si="179">B135+W135+X135+Y135</f>
        <v>0</v>
      </c>
    </row>
    <row r="136" spans="1:27" x14ac:dyDescent="0.25">
      <c r="A136" s="13" t="s">
        <v>140</v>
      </c>
      <c r="B136" s="191">
        <v>0</v>
      </c>
      <c r="C136" s="64"/>
      <c r="D136" s="64"/>
      <c r="E136" s="64"/>
      <c r="F136" s="185">
        <f>'Percent-Soil-Carbon-Content'!H5*'Soil-errosion2'!H5</f>
        <v>0</v>
      </c>
      <c r="G136" s="185">
        <f>'Percent-Soil-Carbon-Content'!S5*'Soil-errosion2'!T5</f>
        <v>0</v>
      </c>
      <c r="H136" s="185">
        <f>'Percent-Soil-Carbon-Content'!AD5*'Soil-errosion2'!AF5</f>
        <v>0</v>
      </c>
      <c r="I136" s="185">
        <f t="shared" ref="I136:I158" si="180">SUMPRODUCT(F136:H136,$C$37:$E$37)</f>
        <v>0</v>
      </c>
      <c r="J136" s="185">
        <f t="shared" ref="J136:J158" si="181">F136</f>
        <v>0</v>
      </c>
      <c r="K136" s="185">
        <f t="shared" ref="K136:K158" si="182">G136</f>
        <v>0</v>
      </c>
      <c r="L136" s="185">
        <f t="shared" ref="L136:L158" si="183">H136</f>
        <v>0</v>
      </c>
      <c r="M136" s="185">
        <f t="shared" ref="M136:M158" si="184">SUMPRODUCT(J136:L136,C68:E68)</f>
        <v>0</v>
      </c>
      <c r="N136" s="67">
        <f t="shared" ref="N136:P136" si="185">J136*C38*$B38</f>
        <v>0</v>
      </c>
      <c r="O136" s="67">
        <f t="shared" si="185"/>
        <v>0</v>
      </c>
      <c r="P136" s="67">
        <f t="shared" si="185"/>
        <v>0</v>
      </c>
      <c r="Q136" s="24">
        <f t="shared" ref="Q136:Q158" si="186">SUM(N136:P136)</f>
        <v>0</v>
      </c>
      <c r="R136" s="349">
        <f>'Value-of-fuel-used-under-CT'!H5</f>
        <v>0</v>
      </c>
      <c r="S136" s="350">
        <f t="shared" ref="S136:S158" si="187">1000*R136*$T$130/1000000</f>
        <v>0</v>
      </c>
      <c r="T136" s="24">
        <f t="shared" ref="T136:T158" si="188">Q136+S136</f>
        <v>0</v>
      </c>
      <c r="U136" s="24">
        <f t="shared" ref="U136:U158" si="189">S136*$D$127</f>
        <v>0</v>
      </c>
      <c r="V136" s="24">
        <f t="shared" ref="V136:V158" si="190">Q136*$D$127</f>
        <v>0</v>
      </c>
      <c r="W136" s="38">
        <f t="shared" ref="W136:W158" si="191">T136*$D$127</f>
        <v>0</v>
      </c>
      <c r="X136" s="9">
        <v>0</v>
      </c>
      <c r="Y136" s="9">
        <v>0</v>
      </c>
      <c r="Z136" s="38">
        <f t="shared" ref="Z136:Z158" si="192">B136+W136+X136+Y136</f>
        <v>0</v>
      </c>
    </row>
    <row r="137" spans="1:27" x14ac:dyDescent="0.25">
      <c r="A137" s="13" t="s">
        <v>141</v>
      </c>
      <c r="B137" s="191">
        <v>0</v>
      </c>
      <c r="C137" s="64"/>
      <c r="D137" s="64"/>
      <c r="E137" s="64"/>
      <c r="F137" s="185">
        <f>'Percent-Soil-Carbon-Content'!H6*'Soil-errosion2'!H6</f>
        <v>0</v>
      </c>
      <c r="G137" s="185">
        <f>'Percent-Soil-Carbon-Content'!S6*'Soil-errosion2'!T6</f>
        <v>0</v>
      </c>
      <c r="H137" s="185">
        <f>'Percent-Soil-Carbon-Content'!AD6*'Soil-errosion2'!AF6</f>
        <v>0</v>
      </c>
      <c r="I137" s="185">
        <f t="shared" si="180"/>
        <v>0</v>
      </c>
      <c r="J137" s="185">
        <f t="shared" si="181"/>
        <v>0</v>
      </c>
      <c r="K137" s="185">
        <f t="shared" si="182"/>
        <v>0</v>
      </c>
      <c r="L137" s="185">
        <f t="shared" si="183"/>
        <v>0</v>
      </c>
      <c r="M137" s="185">
        <f t="shared" si="184"/>
        <v>0</v>
      </c>
      <c r="N137" s="67">
        <f t="shared" ref="N137:P137" si="193">J137*C39*$B39</f>
        <v>0</v>
      </c>
      <c r="O137" s="67">
        <f t="shared" si="193"/>
        <v>0</v>
      </c>
      <c r="P137" s="67">
        <f t="shared" si="193"/>
        <v>0</v>
      </c>
      <c r="Q137" s="24">
        <f t="shared" si="186"/>
        <v>0</v>
      </c>
      <c r="R137" s="349">
        <f>'Value-of-fuel-used-under-CT'!H6</f>
        <v>0</v>
      </c>
      <c r="S137" s="350">
        <f t="shared" si="187"/>
        <v>0</v>
      </c>
      <c r="T137" s="24">
        <f t="shared" si="188"/>
        <v>0</v>
      </c>
      <c r="U137" s="24">
        <f t="shared" si="189"/>
        <v>0</v>
      </c>
      <c r="V137" s="24">
        <f t="shared" si="190"/>
        <v>0</v>
      </c>
      <c r="W137" s="38">
        <f t="shared" si="191"/>
        <v>0</v>
      </c>
      <c r="X137" s="9">
        <v>0</v>
      </c>
      <c r="Y137" s="9">
        <v>0</v>
      </c>
      <c r="Z137" s="38">
        <f t="shared" si="192"/>
        <v>0</v>
      </c>
    </row>
    <row r="138" spans="1:27" x14ac:dyDescent="0.25">
      <c r="A138" s="13" t="s">
        <v>142</v>
      </c>
      <c r="B138" s="191">
        <v>0</v>
      </c>
      <c r="C138" s="64"/>
      <c r="D138" s="64"/>
      <c r="E138" s="64"/>
      <c r="F138" s="185">
        <f>'Percent-Soil-Carbon-Content'!H7*'Soil-errosion2'!H7</f>
        <v>0</v>
      </c>
      <c r="G138" s="185">
        <f>'Percent-Soil-Carbon-Content'!S7*'Soil-errosion2'!T7</f>
        <v>0</v>
      </c>
      <c r="H138" s="185">
        <f>'Percent-Soil-Carbon-Content'!AD7*'Soil-errosion2'!AF7</f>
        <v>0</v>
      </c>
      <c r="I138" s="185">
        <f t="shared" si="180"/>
        <v>0</v>
      </c>
      <c r="J138" s="185">
        <f t="shared" si="181"/>
        <v>0</v>
      </c>
      <c r="K138" s="185">
        <f t="shared" si="182"/>
        <v>0</v>
      </c>
      <c r="L138" s="185">
        <f t="shared" si="183"/>
        <v>0</v>
      </c>
      <c r="M138" s="185">
        <f t="shared" si="184"/>
        <v>0</v>
      </c>
      <c r="N138" s="67">
        <f t="shared" ref="N138:P138" si="194">J138*C40*$B40</f>
        <v>0</v>
      </c>
      <c r="O138" s="67">
        <f t="shared" si="194"/>
        <v>0</v>
      </c>
      <c r="P138" s="67">
        <f t="shared" si="194"/>
        <v>0</v>
      </c>
      <c r="Q138" s="24">
        <f t="shared" si="186"/>
        <v>0</v>
      </c>
      <c r="R138" s="349">
        <f>'Value-of-fuel-used-under-CT'!H7</f>
        <v>0</v>
      </c>
      <c r="S138" s="350">
        <f t="shared" si="187"/>
        <v>0</v>
      </c>
      <c r="T138" s="24">
        <f t="shared" si="188"/>
        <v>0</v>
      </c>
      <c r="U138" s="24">
        <f t="shared" si="189"/>
        <v>0</v>
      </c>
      <c r="V138" s="24">
        <f t="shared" si="190"/>
        <v>0</v>
      </c>
      <c r="W138" s="38">
        <f t="shared" si="191"/>
        <v>0</v>
      </c>
      <c r="X138" s="9">
        <v>0</v>
      </c>
      <c r="Y138" s="9">
        <v>0</v>
      </c>
      <c r="Z138" s="38">
        <f t="shared" si="192"/>
        <v>0</v>
      </c>
    </row>
    <row r="139" spans="1:27" x14ac:dyDescent="0.25">
      <c r="A139" s="13" t="s">
        <v>143</v>
      </c>
      <c r="B139" s="191">
        <v>0</v>
      </c>
      <c r="C139" s="64"/>
      <c r="D139" s="64"/>
      <c r="E139" s="64"/>
      <c r="F139" s="185">
        <f>'Percent-Soil-Carbon-Content'!H8*'Soil-errosion2'!H8</f>
        <v>0</v>
      </c>
      <c r="G139" s="185">
        <f>'Percent-Soil-Carbon-Content'!S8*'Soil-errosion2'!T8</f>
        <v>0</v>
      </c>
      <c r="H139" s="185">
        <f>'Percent-Soil-Carbon-Content'!AD8*'Soil-errosion2'!AF8</f>
        <v>0</v>
      </c>
      <c r="I139" s="185">
        <f t="shared" si="180"/>
        <v>0</v>
      </c>
      <c r="J139" s="185">
        <f t="shared" si="181"/>
        <v>0</v>
      </c>
      <c r="K139" s="185">
        <f t="shared" si="182"/>
        <v>0</v>
      </c>
      <c r="L139" s="185">
        <f t="shared" si="183"/>
        <v>0</v>
      </c>
      <c r="M139" s="185">
        <f t="shared" si="184"/>
        <v>0</v>
      </c>
      <c r="N139" s="67">
        <f t="shared" ref="N139:P139" si="195">J139*C41*$B41</f>
        <v>0</v>
      </c>
      <c r="O139" s="67">
        <f t="shared" si="195"/>
        <v>0</v>
      </c>
      <c r="P139" s="67">
        <f t="shared" si="195"/>
        <v>0</v>
      </c>
      <c r="Q139" s="24">
        <f t="shared" si="186"/>
        <v>0</v>
      </c>
      <c r="R139" s="349">
        <f>'Value-of-fuel-used-under-CT'!H8</f>
        <v>0</v>
      </c>
      <c r="S139" s="350">
        <f t="shared" si="187"/>
        <v>0</v>
      </c>
      <c r="T139" s="24">
        <f t="shared" si="188"/>
        <v>0</v>
      </c>
      <c r="U139" s="24">
        <f t="shared" si="189"/>
        <v>0</v>
      </c>
      <c r="V139" s="24">
        <f t="shared" si="190"/>
        <v>0</v>
      </c>
      <c r="W139" s="38">
        <f t="shared" si="191"/>
        <v>0</v>
      </c>
      <c r="X139" s="9">
        <v>0</v>
      </c>
      <c r="Y139" s="9">
        <v>0</v>
      </c>
      <c r="Z139" s="38">
        <f t="shared" si="192"/>
        <v>0</v>
      </c>
    </row>
    <row r="140" spans="1:27" x14ac:dyDescent="0.25">
      <c r="A140" s="13" t="s">
        <v>144</v>
      </c>
      <c r="B140" s="191">
        <v>0</v>
      </c>
      <c r="C140" s="64"/>
      <c r="D140" s="64"/>
      <c r="E140" s="64"/>
      <c r="F140" s="185">
        <f>'Percent-Soil-Carbon-Content'!H9*'Soil-errosion2'!H9</f>
        <v>0</v>
      </c>
      <c r="G140" s="185">
        <f>'Percent-Soil-Carbon-Content'!S9*'Soil-errosion2'!T9</f>
        <v>0</v>
      </c>
      <c r="H140" s="185">
        <f>'Percent-Soil-Carbon-Content'!AD9*'Soil-errosion2'!AF9</f>
        <v>0</v>
      </c>
      <c r="I140" s="185">
        <f t="shared" si="180"/>
        <v>0</v>
      </c>
      <c r="J140" s="185">
        <f t="shared" si="181"/>
        <v>0</v>
      </c>
      <c r="K140" s="185">
        <f t="shared" si="182"/>
        <v>0</v>
      </c>
      <c r="L140" s="185">
        <f t="shared" si="183"/>
        <v>0</v>
      </c>
      <c r="M140" s="185">
        <f t="shared" si="184"/>
        <v>0</v>
      </c>
      <c r="N140" s="67">
        <f t="shared" ref="N140:P140" si="196">J140*C42*$B42</f>
        <v>0</v>
      </c>
      <c r="O140" s="67">
        <f t="shared" si="196"/>
        <v>0</v>
      </c>
      <c r="P140" s="67">
        <f t="shared" si="196"/>
        <v>0</v>
      </c>
      <c r="Q140" s="24">
        <f t="shared" si="186"/>
        <v>0</v>
      </c>
      <c r="R140" s="349">
        <f>'Value-of-fuel-used-under-CT'!H9</f>
        <v>0</v>
      </c>
      <c r="S140" s="350">
        <f t="shared" si="187"/>
        <v>0</v>
      </c>
      <c r="T140" s="24">
        <f t="shared" si="188"/>
        <v>0</v>
      </c>
      <c r="U140" s="24">
        <f t="shared" si="189"/>
        <v>0</v>
      </c>
      <c r="V140" s="24">
        <f t="shared" si="190"/>
        <v>0</v>
      </c>
      <c r="W140" s="38">
        <f t="shared" si="191"/>
        <v>0</v>
      </c>
      <c r="X140" s="9">
        <v>0</v>
      </c>
      <c r="Y140" s="9">
        <v>0</v>
      </c>
      <c r="Z140" s="38">
        <f t="shared" si="192"/>
        <v>0</v>
      </c>
    </row>
    <row r="141" spans="1:27" x14ac:dyDescent="0.25">
      <c r="A141" s="13" t="s">
        <v>145</v>
      </c>
      <c r="B141" s="191">
        <v>0</v>
      </c>
      <c r="C141" s="64"/>
      <c r="D141" s="64"/>
      <c r="E141" s="64"/>
      <c r="F141" s="185">
        <f>'Percent-Soil-Carbon-Content'!H10*'Soil-errosion2'!H10</f>
        <v>0</v>
      </c>
      <c r="G141" s="185">
        <f>'Percent-Soil-Carbon-Content'!S10*'Soil-errosion2'!T10</f>
        <v>0</v>
      </c>
      <c r="H141" s="185">
        <f>'Percent-Soil-Carbon-Content'!AD10*'Soil-errosion2'!AF10</f>
        <v>0</v>
      </c>
      <c r="I141" s="185">
        <f t="shared" si="180"/>
        <v>0</v>
      </c>
      <c r="J141" s="185">
        <f t="shared" si="181"/>
        <v>0</v>
      </c>
      <c r="K141" s="185">
        <f t="shared" si="182"/>
        <v>0</v>
      </c>
      <c r="L141" s="185">
        <f t="shared" si="183"/>
        <v>0</v>
      </c>
      <c r="M141" s="185">
        <f t="shared" si="184"/>
        <v>0</v>
      </c>
      <c r="N141" s="67">
        <f t="shared" ref="N141:P141" si="197">J141*C43*$B43</f>
        <v>0</v>
      </c>
      <c r="O141" s="67">
        <f t="shared" si="197"/>
        <v>0</v>
      </c>
      <c r="P141" s="67">
        <f t="shared" si="197"/>
        <v>0</v>
      </c>
      <c r="Q141" s="24">
        <f t="shared" si="186"/>
        <v>0</v>
      </c>
      <c r="R141" s="349">
        <f>'Value-of-fuel-used-under-CT'!H10</f>
        <v>0</v>
      </c>
      <c r="S141" s="350">
        <f t="shared" si="187"/>
        <v>0</v>
      </c>
      <c r="T141" s="24">
        <f t="shared" si="188"/>
        <v>0</v>
      </c>
      <c r="U141" s="24">
        <f t="shared" si="189"/>
        <v>0</v>
      </c>
      <c r="V141" s="24">
        <f t="shared" si="190"/>
        <v>0</v>
      </c>
      <c r="W141" s="38">
        <f t="shared" si="191"/>
        <v>0</v>
      </c>
      <c r="X141" s="9">
        <v>0</v>
      </c>
      <c r="Y141" s="9">
        <v>0</v>
      </c>
      <c r="Z141" s="38">
        <f t="shared" si="192"/>
        <v>0</v>
      </c>
    </row>
    <row r="142" spans="1:27" x14ac:dyDescent="0.25">
      <c r="A142" s="13" t="s">
        <v>146</v>
      </c>
      <c r="B142" s="191">
        <v>0</v>
      </c>
      <c r="C142" s="64"/>
      <c r="D142" s="64"/>
      <c r="E142" s="64"/>
      <c r="F142" s="185">
        <f>'Percent-Soil-Carbon-Content'!H11*'Soil-errosion2'!H11</f>
        <v>0</v>
      </c>
      <c r="G142" s="185">
        <f>'Percent-Soil-Carbon-Content'!S11*'Soil-errosion2'!T11</f>
        <v>0</v>
      </c>
      <c r="H142" s="185">
        <f>'Percent-Soil-Carbon-Content'!AD11*'Soil-errosion2'!AF11</f>
        <v>0</v>
      </c>
      <c r="I142" s="185">
        <f t="shared" si="180"/>
        <v>0</v>
      </c>
      <c r="J142" s="185">
        <f t="shared" si="181"/>
        <v>0</v>
      </c>
      <c r="K142" s="185">
        <f t="shared" si="182"/>
        <v>0</v>
      </c>
      <c r="L142" s="185">
        <f t="shared" si="183"/>
        <v>0</v>
      </c>
      <c r="M142" s="185">
        <f t="shared" si="184"/>
        <v>0</v>
      </c>
      <c r="N142" s="67">
        <f t="shared" ref="N142:P142" si="198">J142*C44*$B44</f>
        <v>0</v>
      </c>
      <c r="O142" s="67">
        <f t="shared" si="198"/>
        <v>0</v>
      </c>
      <c r="P142" s="67">
        <f t="shared" si="198"/>
        <v>0</v>
      </c>
      <c r="Q142" s="24">
        <f t="shared" si="186"/>
        <v>0</v>
      </c>
      <c r="R142" s="349">
        <f>'Value-of-fuel-used-under-CT'!H11</f>
        <v>0</v>
      </c>
      <c r="S142" s="350">
        <f t="shared" si="187"/>
        <v>0</v>
      </c>
      <c r="T142" s="24">
        <f t="shared" si="188"/>
        <v>0</v>
      </c>
      <c r="U142" s="24">
        <f t="shared" si="189"/>
        <v>0</v>
      </c>
      <c r="V142" s="24">
        <f t="shared" si="190"/>
        <v>0</v>
      </c>
      <c r="W142" s="38">
        <f t="shared" si="191"/>
        <v>0</v>
      </c>
      <c r="X142" s="9">
        <v>0</v>
      </c>
      <c r="Y142" s="9">
        <v>0</v>
      </c>
      <c r="Z142" s="38">
        <f t="shared" si="192"/>
        <v>0</v>
      </c>
    </row>
    <row r="143" spans="1:27" x14ac:dyDescent="0.25">
      <c r="A143" s="13" t="s">
        <v>147</v>
      </c>
      <c r="B143" s="191">
        <v>0</v>
      </c>
      <c r="C143" s="64"/>
      <c r="D143" s="64"/>
      <c r="E143" s="64"/>
      <c r="F143" s="185">
        <f>'Percent-Soil-Carbon-Content'!H12*'Soil-errosion2'!H12</f>
        <v>0</v>
      </c>
      <c r="G143" s="185">
        <f>'Percent-Soil-Carbon-Content'!S12*'Soil-errosion2'!T12</f>
        <v>0</v>
      </c>
      <c r="H143" s="185">
        <f>'Percent-Soil-Carbon-Content'!AD12*'Soil-errosion2'!AF12</f>
        <v>0</v>
      </c>
      <c r="I143" s="185">
        <f t="shared" si="180"/>
        <v>0</v>
      </c>
      <c r="J143" s="185">
        <f t="shared" si="181"/>
        <v>0</v>
      </c>
      <c r="K143" s="185">
        <f t="shared" si="182"/>
        <v>0</v>
      </c>
      <c r="L143" s="185">
        <f t="shared" si="183"/>
        <v>0</v>
      </c>
      <c r="M143" s="185">
        <f t="shared" si="184"/>
        <v>0</v>
      </c>
      <c r="N143" s="67">
        <f t="shared" ref="N143:P143" si="199">J143*C45*$B45</f>
        <v>0</v>
      </c>
      <c r="O143" s="67">
        <f t="shared" si="199"/>
        <v>0</v>
      </c>
      <c r="P143" s="67">
        <f t="shared" si="199"/>
        <v>0</v>
      </c>
      <c r="Q143" s="24">
        <f t="shared" si="186"/>
        <v>0</v>
      </c>
      <c r="R143" s="349">
        <f>'Value-of-fuel-used-under-CT'!H12</f>
        <v>0</v>
      </c>
      <c r="S143" s="350">
        <f t="shared" si="187"/>
        <v>0</v>
      </c>
      <c r="T143" s="24">
        <f t="shared" si="188"/>
        <v>0</v>
      </c>
      <c r="U143" s="24">
        <f t="shared" si="189"/>
        <v>0</v>
      </c>
      <c r="V143" s="24">
        <f t="shared" si="190"/>
        <v>0</v>
      </c>
      <c r="W143" s="38">
        <f t="shared" si="191"/>
        <v>0</v>
      </c>
      <c r="X143" s="9">
        <v>0</v>
      </c>
      <c r="Y143" s="9">
        <v>0</v>
      </c>
      <c r="Z143" s="38">
        <f t="shared" si="192"/>
        <v>0</v>
      </c>
    </row>
    <row r="144" spans="1:27" x14ac:dyDescent="0.25">
      <c r="A144" s="13" t="s">
        <v>148</v>
      </c>
      <c r="B144" s="191">
        <v>0</v>
      </c>
      <c r="C144" s="64"/>
      <c r="D144" s="64"/>
      <c r="E144" s="64"/>
      <c r="F144" s="185">
        <f>'Percent-Soil-Carbon-Content'!H13*'Soil-errosion2'!H13</f>
        <v>0</v>
      </c>
      <c r="G144" s="185">
        <f>'Percent-Soil-Carbon-Content'!S13*'Soil-errosion2'!T13</f>
        <v>0</v>
      </c>
      <c r="H144" s="185">
        <f>'Percent-Soil-Carbon-Content'!AD13*'Soil-errosion2'!AF13</f>
        <v>0</v>
      </c>
      <c r="I144" s="185">
        <f t="shared" si="180"/>
        <v>0</v>
      </c>
      <c r="J144" s="185">
        <f t="shared" si="181"/>
        <v>0</v>
      </c>
      <c r="K144" s="185">
        <f t="shared" si="182"/>
        <v>0</v>
      </c>
      <c r="L144" s="185">
        <f t="shared" si="183"/>
        <v>0</v>
      </c>
      <c r="M144" s="185">
        <f t="shared" si="184"/>
        <v>0</v>
      </c>
      <c r="N144" s="67">
        <f t="shared" ref="N144:P144" si="200">J144*C46*$B46</f>
        <v>0</v>
      </c>
      <c r="O144" s="67">
        <f t="shared" si="200"/>
        <v>0</v>
      </c>
      <c r="P144" s="67">
        <f t="shared" si="200"/>
        <v>0</v>
      </c>
      <c r="Q144" s="24">
        <f t="shared" si="186"/>
        <v>0</v>
      </c>
      <c r="R144" s="349">
        <f>'Value-of-fuel-used-under-CT'!H13</f>
        <v>0</v>
      </c>
      <c r="S144" s="350">
        <f t="shared" si="187"/>
        <v>0</v>
      </c>
      <c r="T144" s="24">
        <f t="shared" si="188"/>
        <v>0</v>
      </c>
      <c r="U144" s="24">
        <f t="shared" si="189"/>
        <v>0</v>
      </c>
      <c r="V144" s="24">
        <f t="shared" si="190"/>
        <v>0</v>
      </c>
      <c r="W144" s="38">
        <f t="shared" si="191"/>
        <v>0</v>
      </c>
      <c r="X144" s="9">
        <v>0</v>
      </c>
      <c r="Y144" s="9">
        <v>0</v>
      </c>
      <c r="Z144" s="38">
        <f t="shared" si="192"/>
        <v>0</v>
      </c>
    </row>
    <row r="145" spans="1:27" x14ac:dyDescent="0.25">
      <c r="A145" s="13" t="s">
        <v>149</v>
      </c>
      <c r="B145" s="191">
        <v>0</v>
      </c>
      <c r="C145" s="64"/>
      <c r="D145" s="64"/>
      <c r="E145" s="64"/>
      <c r="F145" s="185">
        <f>'Percent-Soil-Carbon-Content'!H14*'Soil-errosion2'!H14</f>
        <v>0</v>
      </c>
      <c r="G145" s="185">
        <f>'Percent-Soil-Carbon-Content'!S14*'Soil-errosion2'!T14</f>
        <v>0</v>
      </c>
      <c r="H145" s="185">
        <f>'Percent-Soil-Carbon-Content'!AD14*'Soil-errosion2'!AF14</f>
        <v>0</v>
      </c>
      <c r="I145" s="185">
        <f t="shared" si="180"/>
        <v>0</v>
      </c>
      <c r="J145" s="185">
        <f t="shared" si="181"/>
        <v>0</v>
      </c>
      <c r="K145" s="185">
        <f t="shared" si="182"/>
        <v>0</v>
      </c>
      <c r="L145" s="185">
        <f t="shared" si="183"/>
        <v>0</v>
      </c>
      <c r="M145" s="185">
        <f t="shared" si="184"/>
        <v>0</v>
      </c>
      <c r="N145" s="67">
        <f t="shared" ref="N145:P145" si="201">J145*C47*$B47</f>
        <v>0</v>
      </c>
      <c r="O145" s="67">
        <f t="shared" si="201"/>
        <v>0</v>
      </c>
      <c r="P145" s="67">
        <f t="shared" si="201"/>
        <v>0</v>
      </c>
      <c r="Q145" s="24">
        <f t="shared" si="186"/>
        <v>0</v>
      </c>
      <c r="R145" s="349">
        <f>'Value-of-fuel-used-under-CT'!H14</f>
        <v>0</v>
      </c>
      <c r="S145" s="350">
        <f t="shared" si="187"/>
        <v>0</v>
      </c>
      <c r="T145" s="24">
        <f t="shared" si="188"/>
        <v>0</v>
      </c>
      <c r="U145" s="24">
        <f t="shared" si="189"/>
        <v>0</v>
      </c>
      <c r="V145" s="24">
        <f t="shared" si="190"/>
        <v>0</v>
      </c>
      <c r="W145" s="38">
        <f t="shared" si="191"/>
        <v>0</v>
      </c>
      <c r="X145" s="9">
        <v>0</v>
      </c>
      <c r="Y145" s="9">
        <v>0</v>
      </c>
      <c r="Z145" s="38">
        <f t="shared" si="192"/>
        <v>0</v>
      </c>
    </row>
    <row r="146" spans="1:27" x14ac:dyDescent="0.25">
      <c r="A146" s="13" t="s">
        <v>150</v>
      </c>
      <c r="B146" s="191">
        <v>0</v>
      </c>
      <c r="C146" s="64"/>
      <c r="D146" s="64"/>
      <c r="E146" s="64"/>
      <c r="F146" s="185">
        <f>'Percent-Soil-Carbon-Content'!H15*'Soil-errosion2'!H15</f>
        <v>0</v>
      </c>
      <c r="G146" s="185">
        <f>'Percent-Soil-Carbon-Content'!S15*'Soil-errosion2'!T15</f>
        <v>0</v>
      </c>
      <c r="H146" s="185">
        <f>'Percent-Soil-Carbon-Content'!AD15*'Soil-errosion2'!AF15</f>
        <v>0</v>
      </c>
      <c r="I146" s="185">
        <f t="shared" si="180"/>
        <v>0</v>
      </c>
      <c r="J146" s="185">
        <f t="shared" si="181"/>
        <v>0</v>
      </c>
      <c r="K146" s="185">
        <f t="shared" si="182"/>
        <v>0</v>
      </c>
      <c r="L146" s="185">
        <f t="shared" si="183"/>
        <v>0</v>
      </c>
      <c r="M146" s="185">
        <f t="shared" si="184"/>
        <v>0</v>
      </c>
      <c r="N146" s="67">
        <f t="shared" ref="N146:P146" si="202">J146*C48*$B48</f>
        <v>0</v>
      </c>
      <c r="O146" s="67">
        <f t="shared" si="202"/>
        <v>0</v>
      </c>
      <c r="P146" s="67">
        <f t="shared" si="202"/>
        <v>0</v>
      </c>
      <c r="Q146" s="24">
        <f t="shared" si="186"/>
        <v>0</v>
      </c>
      <c r="R146" s="349">
        <f>'Value-of-fuel-used-under-CT'!H15</f>
        <v>0</v>
      </c>
      <c r="S146" s="350">
        <f t="shared" si="187"/>
        <v>0</v>
      </c>
      <c r="T146" s="24">
        <f t="shared" si="188"/>
        <v>0</v>
      </c>
      <c r="U146" s="24">
        <f t="shared" si="189"/>
        <v>0</v>
      </c>
      <c r="V146" s="24">
        <f t="shared" si="190"/>
        <v>0</v>
      </c>
      <c r="W146" s="38">
        <f t="shared" si="191"/>
        <v>0</v>
      </c>
      <c r="X146" s="9">
        <v>0</v>
      </c>
      <c r="Y146" s="9">
        <v>0</v>
      </c>
      <c r="Z146" s="38">
        <f t="shared" si="192"/>
        <v>0</v>
      </c>
    </row>
    <row r="147" spans="1:27" x14ac:dyDescent="0.25">
      <c r="A147" s="13" t="s">
        <v>151</v>
      </c>
      <c r="B147" s="191">
        <v>0</v>
      </c>
      <c r="C147" s="64"/>
      <c r="D147" s="64"/>
      <c r="E147" s="64"/>
      <c r="F147" s="185">
        <f>'Percent-Soil-Carbon-Content'!H16*'Soil-errosion2'!H16</f>
        <v>0</v>
      </c>
      <c r="G147" s="185">
        <f>'Percent-Soil-Carbon-Content'!S16*'Soil-errosion2'!T16</f>
        <v>0</v>
      </c>
      <c r="H147" s="185">
        <f>'Percent-Soil-Carbon-Content'!AD16*'Soil-errosion2'!AF16</f>
        <v>0</v>
      </c>
      <c r="I147" s="185">
        <f t="shared" si="180"/>
        <v>0</v>
      </c>
      <c r="J147" s="185">
        <f t="shared" si="181"/>
        <v>0</v>
      </c>
      <c r="K147" s="185">
        <f t="shared" si="182"/>
        <v>0</v>
      </c>
      <c r="L147" s="185">
        <f t="shared" si="183"/>
        <v>0</v>
      </c>
      <c r="M147" s="185">
        <f t="shared" si="184"/>
        <v>0</v>
      </c>
      <c r="N147" s="67">
        <f t="shared" ref="N147:P147" si="203">J147*C49*$B49</f>
        <v>0</v>
      </c>
      <c r="O147" s="67">
        <f t="shared" si="203"/>
        <v>0</v>
      </c>
      <c r="P147" s="67">
        <f t="shared" si="203"/>
        <v>0</v>
      </c>
      <c r="Q147" s="24">
        <f t="shared" si="186"/>
        <v>0</v>
      </c>
      <c r="R147" s="349">
        <f>'Value-of-fuel-used-under-CT'!H16</f>
        <v>0</v>
      </c>
      <c r="S147" s="350">
        <f t="shared" si="187"/>
        <v>0</v>
      </c>
      <c r="T147" s="24">
        <f t="shared" si="188"/>
        <v>0</v>
      </c>
      <c r="U147" s="24">
        <f t="shared" si="189"/>
        <v>0</v>
      </c>
      <c r="V147" s="24">
        <f t="shared" si="190"/>
        <v>0</v>
      </c>
      <c r="W147" s="38">
        <f t="shared" si="191"/>
        <v>0</v>
      </c>
      <c r="X147" s="9">
        <v>0</v>
      </c>
      <c r="Y147" s="9">
        <v>0</v>
      </c>
      <c r="Z147" s="38">
        <f t="shared" si="192"/>
        <v>0</v>
      </c>
    </row>
    <row r="148" spans="1:27" x14ac:dyDescent="0.25">
      <c r="A148" s="13" t="s">
        <v>152</v>
      </c>
      <c r="B148" s="191">
        <v>0</v>
      </c>
      <c r="C148" s="64"/>
      <c r="D148" s="64"/>
      <c r="E148" s="64"/>
      <c r="F148" s="185">
        <f>'Percent-Soil-Carbon-Content'!H17*'Soil-errosion2'!H17</f>
        <v>0</v>
      </c>
      <c r="G148" s="185">
        <f>'Percent-Soil-Carbon-Content'!S17*'Soil-errosion2'!T17</f>
        <v>0</v>
      </c>
      <c r="H148" s="185">
        <f>'Percent-Soil-Carbon-Content'!AD17*'Soil-errosion2'!AF17</f>
        <v>0</v>
      </c>
      <c r="I148" s="185">
        <f t="shared" si="180"/>
        <v>0</v>
      </c>
      <c r="J148" s="185">
        <f t="shared" si="181"/>
        <v>0</v>
      </c>
      <c r="K148" s="185">
        <f t="shared" si="182"/>
        <v>0</v>
      </c>
      <c r="L148" s="185">
        <f t="shared" si="183"/>
        <v>0</v>
      </c>
      <c r="M148" s="185">
        <f t="shared" si="184"/>
        <v>0</v>
      </c>
      <c r="N148" s="67">
        <f t="shared" ref="N148:P148" si="204">J148*C50*$B50</f>
        <v>0</v>
      </c>
      <c r="O148" s="67">
        <f t="shared" si="204"/>
        <v>0</v>
      </c>
      <c r="P148" s="67">
        <f t="shared" si="204"/>
        <v>0</v>
      </c>
      <c r="Q148" s="24">
        <f t="shared" si="186"/>
        <v>0</v>
      </c>
      <c r="R148" s="349">
        <f>'Value-of-fuel-used-under-CT'!H17</f>
        <v>0</v>
      </c>
      <c r="S148" s="350">
        <f t="shared" si="187"/>
        <v>0</v>
      </c>
      <c r="T148" s="24">
        <f t="shared" si="188"/>
        <v>0</v>
      </c>
      <c r="U148" s="24">
        <f t="shared" si="189"/>
        <v>0</v>
      </c>
      <c r="V148" s="24">
        <f t="shared" si="190"/>
        <v>0</v>
      </c>
      <c r="W148" s="38">
        <f t="shared" si="191"/>
        <v>0</v>
      </c>
      <c r="X148" s="9">
        <v>0</v>
      </c>
      <c r="Y148" s="9">
        <v>0</v>
      </c>
      <c r="Z148" s="38">
        <f t="shared" si="192"/>
        <v>0</v>
      </c>
    </row>
    <row r="149" spans="1:27" x14ac:dyDescent="0.25">
      <c r="A149" s="13" t="s">
        <v>153</v>
      </c>
      <c r="B149" s="191">
        <v>0</v>
      </c>
      <c r="C149" s="64"/>
      <c r="D149" s="64"/>
      <c r="E149" s="64"/>
      <c r="F149" s="185">
        <f>'Percent-Soil-Carbon-Content'!H18*'Soil-errosion2'!H18</f>
        <v>0</v>
      </c>
      <c r="G149" s="185">
        <f>'Percent-Soil-Carbon-Content'!S18*'Soil-errosion2'!T18</f>
        <v>0</v>
      </c>
      <c r="H149" s="185">
        <f>'Percent-Soil-Carbon-Content'!AD18*'Soil-errosion2'!AF18</f>
        <v>0</v>
      </c>
      <c r="I149" s="185">
        <f t="shared" si="180"/>
        <v>0</v>
      </c>
      <c r="J149" s="185">
        <f t="shared" si="181"/>
        <v>0</v>
      </c>
      <c r="K149" s="185">
        <f t="shared" si="182"/>
        <v>0</v>
      </c>
      <c r="L149" s="185">
        <f t="shared" si="183"/>
        <v>0</v>
      </c>
      <c r="M149" s="185">
        <f t="shared" si="184"/>
        <v>0</v>
      </c>
      <c r="N149" s="67">
        <f t="shared" ref="N149:P149" si="205">J149*C51*$B51</f>
        <v>0</v>
      </c>
      <c r="O149" s="67">
        <f t="shared" si="205"/>
        <v>0</v>
      </c>
      <c r="P149" s="67">
        <f t="shared" si="205"/>
        <v>0</v>
      </c>
      <c r="Q149" s="24">
        <f t="shared" si="186"/>
        <v>0</v>
      </c>
      <c r="R149" s="349">
        <f>'Value-of-fuel-used-under-CT'!H18</f>
        <v>0</v>
      </c>
      <c r="S149" s="350">
        <f t="shared" si="187"/>
        <v>0</v>
      </c>
      <c r="T149" s="24">
        <f t="shared" si="188"/>
        <v>0</v>
      </c>
      <c r="U149" s="24">
        <f t="shared" si="189"/>
        <v>0</v>
      </c>
      <c r="V149" s="24">
        <f t="shared" si="190"/>
        <v>0</v>
      </c>
      <c r="W149" s="38">
        <f t="shared" si="191"/>
        <v>0</v>
      </c>
      <c r="X149" s="9">
        <v>0</v>
      </c>
      <c r="Y149" s="9">
        <v>0</v>
      </c>
      <c r="Z149" s="38">
        <f t="shared" si="192"/>
        <v>0</v>
      </c>
    </row>
    <row r="150" spans="1:27" x14ac:dyDescent="0.25">
      <c r="A150" s="13" t="s">
        <v>154</v>
      </c>
      <c r="B150" s="191">
        <v>0</v>
      </c>
      <c r="C150" s="64"/>
      <c r="D150" s="64"/>
      <c r="E150" s="64"/>
      <c r="F150" s="185">
        <f>'Percent-Soil-Carbon-Content'!H19*'Soil-errosion2'!H19</f>
        <v>0</v>
      </c>
      <c r="G150" s="185">
        <f>'Percent-Soil-Carbon-Content'!S19*'Soil-errosion2'!T19</f>
        <v>0</v>
      </c>
      <c r="H150" s="185">
        <f>'Percent-Soil-Carbon-Content'!AD19*'Soil-errosion2'!AF19</f>
        <v>0</v>
      </c>
      <c r="I150" s="185">
        <f t="shared" si="180"/>
        <v>0</v>
      </c>
      <c r="J150" s="185">
        <f t="shared" si="181"/>
        <v>0</v>
      </c>
      <c r="K150" s="185">
        <f t="shared" si="182"/>
        <v>0</v>
      </c>
      <c r="L150" s="185">
        <f t="shared" si="183"/>
        <v>0</v>
      </c>
      <c r="M150" s="185">
        <f t="shared" si="184"/>
        <v>0</v>
      </c>
      <c r="N150" s="67">
        <f t="shared" ref="N150:P150" si="206">J150*C52*$B52</f>
        <v>0</v>
      </c>
      <c r="O150" s="67">
        <f t="shared" si="206"/>
        <v>0</v>
      </c>
      <c r="P150" s="67">
        <f t="shared" si="206"/>
        <v>0</v>
      </c>
      <c r="Q150" s="24">
        <f t="shared" si="186"/>
        <v>0</v>
      </c>
      <c r="R150" s="349">
        <f>'Value-of-fuel-used-under-CT'!H19</f>
        <v>0</v>
      </c>
      <c r="S150" s="350">
        <f t="shared" si="187"/>
        <v>0</v>
      </c>
      <c r="T150" s="24">
        <f t="shared" si="188"/>
        <v>0</v>
      </c>
      <c r="U150" s="24">
        <f t="shared" si="189"/>
        <v>0</v>
      </c>
      <c r="V150" s="24">
        <f t="shared" si="190"/>
        <v>0</v>
      </c>
      <c r="W150" s="38">
        <f t="shared" si="191"/>
        <v>0</v>
      </c>
      <c r="X150" s="9">
        <v>0</v>
      </c>
      <c r="Y150" s="9">
        <v>0</v>
      </c>
      <c r="Z150" s="38">
        <f t="shared" si="192"/>
        <v>0</v>
      </c>
    </row>
    <row r="151" spans="1:27" x14ac:dyDescent="0.25">
      <c r="A151" s="13" t="s">
        <v>155</v>
      </c>
      <c r="B151" s="191">
        <v>0</v>
      </c>
      <c r="C151" s="64"/>
      <c r="D151" s="64"/>
      <c r="E151" s="64"/>
      <c r="F151" s="185">
        <f>'Percent-Soil-Carbon-Content'!H20*'Soil-errosion2'!H20</f>
        <v>0</v>
      </c>
      <c r="G151" s="185">
        <f>'Percent-Soil-Carbon-Content'!S20*'Soil-errosion2'!T20</f>
        <v>0</v>
      </c>
      <c r="H151" s="185">
        <f>'Percent-Soil-Carbon-Content'!AD20*'Soil-errosion2'!AF20</f>
        <v>0</v>
      </c>
      <c r="I151" s="185">
        <f t="shared" si="180"/>
        <v>0</v>
      </c>
      <c r="J151" s="185">
        <f t="shared" si="181"/>
        <v>0</v>
      </c>
      <c r="K151" s="185">
        <f t="shared" si="182"/>
        <v>0</v>
      </c>
      <c r="L151" s="185">
        <f t="shared" si="183"/>
        <v>0</v>
      </c>
      <c r="M151" s="185">
        <f t="shared" si="184"/>
        <v>0</v>
      </c>
      <c r="N151" s="67">
        <f t="shared" ref="N151:P151" si="207">J151*C53*$B53</f>
        <v>0</v>
      </c>
      <c r="O151" s="67">
        <f t="shared" si="207"/>
        <v>0</v>
      </c>
      <c r="P151" s="67">
        <f t="shared" si="207"/>
        <v>0</v>
      </c>
      <c r="Q151" s="24">
        <f t="shared" si="186"/>
        <v>0</v>
      </c>
      <c r="R151" s="349">
        <f>'Value-of-fuel-used-under-CT'!H20</f>
        <v>0</v>
      </c>
      <c r="S151" s="350">
        <f t="shared" si="187"/>
        <v>0</v>
      </c>
      <c r="T151" s="24">
        <f t="shared" si="188"/>
        <v>0</v>
      </c>
      <c r="U151" s="24">
        <f t="shared" si="189"/>
        <v>0</v>
      </c>
      <c r="V151" s="24">
        <f t="shared" si="190"/>
        <v>0</v>
      </c>
      <c r="W151" s="38">
        <f t="shared" si="191"/>
        <v>0</v>
      </c>
      <c r="X151" s="9">
        <v>0</v>
      </c>
      <c r="Y151" s="9">
        <v>0</v>
      </c>
      <c r="Z151" s="38">
        <f t="shared" si="192"/>
        <v>0</v>
      </c>
    </row>
    <row r="152" spans="1:27" x14ac:dyDescent="0.25">
      <c r="A152" s="13" t="s">
        <v>156</v>
      </c>
      <c r="B152" s="191">
        <v>0</v>
      </c>
      <c r="C152" s="64"/>
      <c r="D152" s="64"/>
      <c r="E152" s="64"/>
      <c r="F152" s="185">
        <f>'Percent-Soil-Carbon-Content'!H21*'Soil-errosion2'!H21</f>
        <v>0</v>
      </c>
      <c r="G152" s="185">
        <f>'Percent-Soil-Carbon-Content'!S21*'Soil-errosion2'!T21</f>
        <v>0</v>
      </c>
      <c r="H152" s="185">
        <f>'Percent-Soil-Carbon-Content'!AD21*'Soil-errosion2'!AF21</f>
        <v>0</v>
      </c>
      <c r="I152" s="185">
        <f t="shared" si="180"/>
        <v>0</v>
      </c>
      <c r="J152" s="185">
        <f t="shared" si="181"/>
        <v>0</v>
      </c>
      <c r="K152" s="185">
        <f t="shared" si="182"/>
        <v>0</v>
      </c>
      <c r="L152" s="185">
        <f t="shared" si="183"/>
        <v>0</v>
      </c>
      <c r="M152" s="185">
        <f t="shared" si="184"/>
        <v>0</v>
      </c>
      <c r="N152" s="67">
        <f t="shared" ref="N152:P152" si="208">J152*C54*$B54</f>
        <v>0</v>
      </c>
      <c r="O152" s="67">
        <f t="shared" si="208"/>
        <v>0</v>
      </c>
      <c r="P152" s="67">
        <f t="shared" si="208"/>
        <v>0</v>
      </c>
      <c r="Q152" s="24">
        <f t="shared" si="186"/>
        <v>0</v>
      </c>
      <c r="R152" s="349">
        <f>'Value-of-fuel-used-under-CT'!H21</f>
        <v>0</v>
      </c>
      <c r="S152" s="350">
        <f t="shared" si="187"/>
        <v>0</v>
      </c>
      <c r="T152" s="24">
        <f t="shared" si="188"/>
        <v>0</v>
      </c>
      <c r="U152" s="24">
        <f t="shared" si="189"/>
        <v>0</v>
      </c>
      <c r="V152" s="24">
        <f t="shared" si="190"/>
        <v>0</v>
      </c>
      <c r="W152" s="38">
        <f t="shared" si="191"/>
        <v>0</v>
      </c>
      <c r="X152" s="9">
        <v>0</v>
      </c>
      <c r="Y152" s="9">
        <v>0</v>
      </c>
      <c r="Z152" s="38">
        <f t="shared" si="192"/>
        <v>0</v>
      </c>
    </row>
    <row r="153" spans="1:27" x14ac:dyDescent="0.25">
      <c r="A153" s="13" t="s">
        <v>157</v>
      </c>
      <c r="B153" s="191">
        <v>0</v>
      </c>
      <c r="C153" s="64"/>
      <c r="D153" s="64"/>
      <c r="E153" s="64"/>
      <c r="F153" s="185">
        <f>'Percent-Soil-Carbon-Content'!H22*'Soil-errosion2'!H22</f>
        <v>0</v>
      </c>
      <c r="G153" s="185">
        <f>'Percent-Soil-Carbon-Content'!S22*'Soil-errosion2'!T22</f>
        <v>0</v>
      </c>
      <c r="H153" s="185">
        <f>'Percent-Soil-Carbon-Content'!AD22*'Soil-errosion2'!AF22</f>
        <v>0</v>
      </c>
      <c r="I153" s="185">
        <f t="shared" si="180"/>
        <v>0</v>
      </c>
      <c r="J153" s="185">
        <f t="shared" si="181"/>
        <v>0</v>
      </c>
      <c r="K153" s="185">
        <f t="shared" si="182"/>
        <v>0</v>
      </c>
      <c r="L153" s="185">
        <f t="shared" si="183"/>
        <v>0</v>
      </c>
      <c r="M153" s="185">
        <f t="shared" si="184"/>
        <v>0</v>
      </c>
      <c r="N153" s="67">
        <f t="shared" ref="N153:P153" si="209">J153*C55*$B55</f>
        <v>0</v>
      </c>
      <c r="O153" s="67">
        <f t="shared" si="209"/>
        <v>0</v>
      </c>
      <c r="P153" s="67">
        <f t="shared" si="209"/>
        <v>0</v>
      </c>
      <c r="Q153" s="24">
        <f t="shared" si="186"/>
        <v>0</v>
      </c>
      <c r="R153" s="349">
        <f>'Value-of-fuel-used-under-CT'!H22</f>
        <v>0</v>
      </c>
      <c r="S153" s="350">
        <f t="shared" si="187"/>
        <v>0</v>
      </c>
      <c r="T153" s="24">
        <f t="shared" si="188"/>
        <v>0</v>
      </c>
      <c r="U153" s="24">
        <f t="shared" si="189"/>
        <v>0</v>
      </c>
      <c r="V153" s="24">
        <f t="shared" si="190"/>
        <v>0</v>
      </c>
      <c r="W153" s="38">
        <f t="shared" si="191"/>
        <v>0</v>
      </c>
      <c r="X153" s="9">
        <v>0</v>
      </c>
      <c r="Y153" s="9">
        <v>0</v>
      </c>
      <c r="Z153" s="38">
        <f t="shared" si="192"/>
        <v>0</v>
      </c>
    </row>
    <row r="154" spans="1:27" x14ac:dyDescent="0.25">
      <c r="A154" s="13" t="s">
        <v>158</v>
      </c>
      <c r="B154" s="191">
        <v>0</v>
      </c>
      <c r="C154" s="64"/>
      <c r="D154" s="64"/>
      <c r="E154" s="64"/>
      <c r="F154" s="185">
        <f>'Percent-Soil-Carbon-Content'!H23*'Soil-errosion2'!H23</f>
        <v>0</v>
      </c>
      <c r="G154" s="185">
        <f>'Percent-Soil-Carbon-Content'!S23*'Soil-errosion2'!T23</f>
        <v>0</v>
      </c>
      <c r="H154" s="185">
        <f>'Percent-Soil-Carbon-Content'!AD23*'Soil-errosion2'!AF23</f>
        <v>0</v>
      </c>
      <c r="I154" s="185">
        <f t="shared" si="180"/>
        <v>0</v>
      </c>
      <c r="J154" s="185">
        <f t="shared" si="181"/>
        <v>0</v>
      </c>
      <c r="K154" s="185">
        <f t="shared" si="182"/>
        <v>0</v>
      </c>
      <c r="L154" s="185">
        <f t="shared" si="183"/>
        <v>0</v>
      </c>
      <c r="M154" s="185">
        <f t="shared" si="184"/>
        <v>0</v>
      </c>
      <c r="N154" s="67">
        <f t="shared" ref="N154:P154" si="210">J154*C56*$B56</f>
        <v>0</v>
      </c>
      <c r="O154" s="67">
        <f t="shared" si="210"/>
        <v>0</v>
      </c>
      <c r="P154" s="67">
        <f t="shared" si="210"/>
        <v>0</v>
      </c>
      <c r="Q154" s="24">
        <f t="shared" si="186"/>
        <v>0</v>
      </c>
      <c r="R154" s="349">
        <f>'Value-of-fuel-used-under-CT'!H23</f>
        <v>0</v>
      </c>
      <c r="S154" s="350">
        <f t="shared" si="187"/>
        <v>0</v>
      </c>
      <c r="T154" s="24">
        <f t="shared" si="188"/>
        <v>0</v>
      </c>
      <c r="U154" s="24">
        <f t="shared" si="189"/>
        <v>0</v>
      </c>
      <c r="V154" s="24">
        <f t="shared" si="190"/>
        <v>0</v>
      </c>
      <c r="W154" s="38">
        <f t="shared" si="191"/>
        <v>0</v>
      </c>
      <c r="X154" s="9">
        <v>0</v>
      </c>
      <c r="Y154" s="9">
        <v>0</v>
      </c>
      <c r="Z154" s="38">
        <f t="shared" si="192"/>
        <v>0</v>
      </c>
    </row>
    <row r="155" spans="1:27" x14ac:dyDescent="0.25">
      <c r="A155" s="13" t="s">
        <v>159</v>
      </c>
      <c r="B155" s="191">
        <v>0</v>
      </c>
      <c r="C155" s="64"/>
      <c r="D155" s="64"/>
      <c r="E155" s="64"/>
      <c r="F155" s="185">
        <f>'Percent-Soil-Carbon-Content'!H24*'Soil-errosion2'!H24</f>
        <v>0</v>
      </c>
      <c r="G155" s="185">
        <f>'Percent-Soil-Carbon-Content'!S24*'Soil-errosion2'!T24</f>
        <v>0</v>
      </c>
      <c r="H155" s="185">
        <f>'Percent-Soil-Carbon-Content'!AD24*'Soil-errosion2'!AF24</f>
        <v>0</v>
      </c>
      <c r="I155" s="185">
        <f t="shared" si="180"/>
        <v>0</v>
      </c>
      <c r="J155" s="185">
        <f t="shared" si="181"/>
        <v>0</v>
      </c>
      <c r="K155" s="185">
        <f t="shared" si="182"/>
        <v>0</v>
      </c>
      <c r="L155" s="185">
        <f t="shared" si="183"/>
        <v>0</v>
      </c>
      <c r="M155" s="185">
        <f t="shared" si="184"/>
        <v>0</v>
      </c>
      <c r="N155" s="67">
        <f t="shared" ref="N155:P155" si="211">J155*C57*$B57</f>
        <v>0</v>
      </c>
      <c r="O155" s="67">
        <f t="shared" si="211"/>
        <v>0</v>
      </c>
      <c r="P155" s="67">
        <f t="shared" si="211"/>
        <v>0</v>
      </c>
      <c r="Q155" s="24">
        <f t="shared" si="186"/>
        <v>0</v>
      </c>
      <c r="R155" s="349">
        <f>'Value-of-fuel-used-under-CT'!H24</f>
        <v>0</v>
      </c>
      <c r="S155" s="350">
        <f t="shared" si="187"/>
        <v>0</v>
      </c>
      <c r="T155" s="24">
        <f t="shared" si="188"/>
        <v>0</v>
      </c>
      <c r="U155" s="24">
        <f t="shared" si="189"/>
        <v>0</v>
      </c>
      <c r="V155" s="24">
        <f t="shared" si="190"/>
        <v>0</v>
      </c>
      <c r="W155" s="38">
        <f t="shared" si="191"/>
        <v>0</v>
      </c>
      <c r="X155" s="9">
        <v>0</v>
      </c>
      <c r="Y155" s="9">
        <v>0</v>
      </c>
      <c r="Z155" s="38">
        <f t="shared" si="192"/>
        <v>0</v>
      </c>
    </row>
    <row r="156" spans="1:27" x14ac:dyDescent="0.25">
      <c r="A156" s="13" t="s">
        <v>160</v>
      </c>
      <c r="B156" s="191">
        <v>0</v>
      </c>
      <c r="C156" s="64"/>
      <c r="D156" s="64"/>
      <c r="E156" s="64"/>
      <c r="F156" s="185">
        <f>'Percent-Soil-Carbon-Content'!H25*'Soil-errosion2'!H25</f>
        <v>0</v>
      </c>
      <c r="G156" s="185">
        <f>'Percent-Soil-Carbon-Content'!S25*'Soil-errosion2'!T25</f>
        <v>0</v>
      </c>
      <c r="H156" s="185">
        <f>'Percent-Soil-Carbon-Content'!AD25*'Soil-errosion2'!AF25</f>
        <v>0</v>
      </c>
      <c r="I156" s="185">
        <f t="shared" si="180"/>
        <v>0</v>
      </c>
      <c r="J156" s="185">
        <f t="shared" si="181"/>
        <v>0</v>
      </c>
      <c r="K156" s="185">
        <f t="shared" si="182"/>
        <v>0</v>
      </c>
      <c r="L156" s="185">
        <f t="shared" si="183"/>
        <v>0</v>
      </c>
      <c r="M156" s="185">
        <f t="shared" si="184"/>
        <v>0</v>
      </c>
      <c r="N156" s="67">
        <f t="shared" ref="N156:P156" si="212">J156*C58*$B58</f>
        <v>0</v>
      </c>
      <c r="O156" s="67">
        <f t="shared" si="212"/>
        <v>0</v>
      </c>
      <c r="P156" s="67">
        <f t="shared" si="212"/>
        <v>0</v>
      </c>
      <c r="Q156" s="24">
        <f t="shared" si="186"/>
        <v>0</v>
      </c>
      <c r="R156" s="349">
        <f>'Value-of-fuel-used-under-CT'!H25</f>
        <v>0</v>
      </c>
      <c r="S156" s="350">
        <f t="shared" si="187"/>
        <v>0</v>
      </c>
      <c r="T156" s="24">
        <f t="shared" si="188"/>
        <v>0</v>
      </c>
      <c r="U156" s="24">
        <f t="shared" si="189"/>
        <v>0</v>
      </c>
      <c r="V156" s="24">
        <f t="shared" si="190"/>
        <v>0</v>
      </c>
      <c r="W156" s="38">
        <f t="shared" si="191"/>
        <v>0</v>
      </c>
      <c r="X156" s="9">
        <v>0</v>
      </c>
      <c r="Y156" s="9">
        <v>0</v>
      </c>
      <c r="Z156" s="38">
        <f t="shared" si="192"/>
        <v>0</v>
      </c>
    </row>
    <row r="157" spans="1:27" x14ac:dyDescent="0.25">
      <c r="A157" s="13" t="s">
        <v>161</v>
      </c>
      <c r="B157" s="191">
        <v>0</v>
      </c>
      <c r="C157" s="64"/>
      <c r="D157" s="64"/>
      <c r="E157" s="64"/>
      <c r="F157" s="185">
        <f>'Percent-Soil-Carbon-Content'!H26*'Soil-errosion2'!H26</f>
        <v>0</v>
      </c>
      <c r="G157" s="185">
        <f>'Percent-Soil-Carbon-Content'!S26*'Soil-errosion2'!T26</f>
        <v>0</v>
      </c>
      <c r="H157" s="185">
        <f>'Percent-Soil-Carbon-Content'!AD26*'Soil-errosion2'!AF26</f>
        <v>0</v>
      </c>
      <c r="I157" s="185">
        <f t="shared" si="180"/>
        <v>0</v>
      </c>
      <c r="J157" s="185">
        <f t="shared" si="181"/>
        <v>0</v>
      </c>
      <c r="K157" s="185">
        <f t="shared" si="182"/>
        <v>0</v>
      </c>
      <c r="L157" s="185">
        <f t="shared" si="183"/>
        <v>0</v>
      </c>
      <c r="M157" s="185">
        <f t="shared" si="184"/>
        <v>0</v>
      </c>
      <c r="N157" s="67">
        <f t="shared" ref="N157:P157" si="213">J157*C59*$B59</f>
        <v>0</v>
      </c>
      <c r="O157" s="67">
        <f t="shared" si="213"/>
        <v>0</v>
      </c>
      <c r="P157" s="67">
        <f t="shared" si="213"/>
        <v>0</v>
      </c>
      <c r="Q157" s="24">
        <f t="shared" si="186"/>
        <v>0</v>
      </c>
      <c r="R157" s="349">
        <f>'Value-of-fuel-used-under-CT'!H26</f>
        <v>0</v>
      </c>
      <c r="S157" s="350">
        <f t="shared" si="187"/>
        <v>0</v>
      </c>
      <c r="T157" s="24">
        <f t="shared" si="188"/>
        <v>0</v>
      </c>
      <c r="U157" s="24">
        <f t="shared" si="189"/>
        <v>0</v>
      </c>
      <c r="V157" s="24">
        <f t="shared" si="190"/>
        <v>0</v>
      </c>
      <c r="W157" s="38">
        <f t="shared" si="191"/>
        <v>0</v>
      </c>
      <c r="X157" s="9">
        <v>0</v>
      </c>
      <c r="Y157" s="9">
        <v>0</v>
      </c>
      <c r="Z157" s="38">
        <f t="shared" si="192"/>
        <v>0</v>
      </c>
    </row>
    <row r="158" spans="1:27" x14ac:dyDescent="0.25">
      <c r="A158" s="13" t="s">
        <v>162</v>
      </c>
      <c r="B158" s="191">
        <v>0</v>
      </c>
      <c r="C158" s="64"/>
      <c r="D158" s="64"/>
      <c r="E158" s="64"/>
      <c r="F158" s="185">
        <f>'Percent-Soil-Carbon-Content'!H27*'Soil-errosion2'!H27</f>
        <v>0</v>
      </c>
      <c r="G158" s="185">
        <f>'Percent-Soil-Carbon-Content'!S27*'Soil-errosion2'!T27</f>
        <v>0</v>
      </c>
      <c r="H158" s="185">
        <f>'Percent-Soil-Carbon-Content'!AD27*'Soil-errosion2'!AF27</f>
        <v>0</v>
      </c>
      <c r="I158" s="185">
        <f t="shared" si="180"/>
        <v>0</v>
      </c>
      <c r="J158" s="185">
        <f t="shared" si="181"/>
        <v>0</v>
      </c>
      <c r="K158" s="185">
        <f t="shared" si="182"/>
        <v>0</v>
      </c>
      <c r="L158" s="185">
        <f t="shared" si="183"/>
        <v>0</v>
      </c>
      <c r="M158" s="185">
        <f t="shared" si="184"/>
        <v>0</v>
      </c>
      <c r="N158" s="67">
        <f t="shared" ref="N158:P158" si="214">J158*C60*$B60</f>
        <v>0</v>
      </c>
      <c r="O158" s="67">
        <f t="shared" si="214"/>
        <v>0</v>
      </c>
      <c r="P158" s="67">
        <f t="shared" si="214"/>
        <v>0</v>
      </c>
      <c r="Q158" s="24">
        <f t="shared" si="186"/>
        <v>0</v>
      </c>
      <c r="R158" s="349">
        <f>'Value-of-fuel-used-under-CT'!H27</f>
        <v>0</v>
      </c>
      <c r="S158" s="350">
        <f t="shared" si="187"/>
        <v>0</v>
      </c>
      <c r="T158" s="24">
        <f t="shared" si="188"/>
        <v>0</v>
      </c>
      <c r="U158" s="24">
        <f t="shared" si="189"/>
        <v>0</v>
      </c>
      <c r="V158" s="24">
        <f t="shared" si="190"/>
        <v>0</v>
      </c>
      <c r="W158" s="38">
        <f t="shared" si="191"/>
        <v>0</v>
      </c>
      <c r="X158" s="9">
        <v>0</v>
      </c>
      <c r="Y158" s="9">
        <v>0</v>
      </c>
      <c r="Z158" s="38">
        <f t="shared" si="192"/>
        <v>0</v>
      </c>
    </row>
    <row r="159" spans="1:27" s="1" customFormat="1" x14ac:dyDescent="0.25">
      <c r="A159" s="1" t="s">
        <v>163</v>
      </c>
      <c r="B159" s="10">
        <f>SUM(B135:B158)</f>
        <v>0</v>
      </c>
      <c r="C159" s="71" t="e">
        <f>SUMPRODUCT(C135:C158,$B$67:$B$90)/$B$91</f>
        <v>#DIV/0!</v>
      </c>
      <c r="D159" s="71" t="e">
        <f t="shared" ref="D159:L159" si="215">SUMPRODUCT(D135:D158,$B$67:$B$90)/$B$91</f>
        <v>#DIV/0!</v>
      </c>
      <c r="E159" s="71" t="e">
        <f t="shared" si="215"/>
        <v>#DIV/0!</v>
      </c>
      <c r="F159" s="590" t="e">
        <f t="shared" si="215"/>
        <v>#DIV/0!</v>
      </c>
      <c r="G159" s="590" t="e">
        <f t="shared" si="215"/>
        <v>#DIV/0!</v>
      </c>
      <c r="H159" s="590" t="e">
        <f t="shared" si="215"/>
        <v>#DIV/0!</v>
      </c>
      <c r="I159" s="590" t="e">
        <f t="shared" si="215"/>
        <v>#DIV/0!</v>
      </c>
      <c r="J159" s="71" t="e">
        <f t="shared" si="215"/>
        <v>#DIV/0!</v>
      </c>
      <c r="K159" s="71" t="e">
        <f t="shared" si="215"/>
        <v>#DIV/0!</v>
      </c>
      <c r="L159" s="71" t="e">
        <f t="shared" si="215"/>
        <v>#DIV/0!</v>
      </c>
      <c r="M159" s="71" t="e">
        <f>SUMPRODUCT(M135:M158,$B$67:$B$90)/$B$91</f>
        <v>#DIV/0!</v>
      </c>
      <c r="N159" s="23">
        <f>SUM(N135:N158)</f>
        <v>0</v>
      </c>
      <c r="O159" s="24">
        <f>SUM(O135:O158)</f>
        <v>0</v>
      </c>
      <c r="P159" s="24">
        <f>SUM(P135:P158)</f>
        <v>0</v>
      </c>
      <c r="Q159" s="24">
        <f>SUM(N159:P159)</f>
        <v>0</v>
      </c>
      <c r="R159" s="351">
        <f t="shared" ref="R159" si="216">SUM(R135:R158)</f>
        <v>0</v>
      </c>
      <c r="S159" s="351">
        <f t="shared" ref="S159" si="217">SUM(S135:S158)</f>
        <v>0</v>
      </c>
      <c r="T159" s="24">
        <f>Q159+S159</f>
        <v>0</v>
      </c>
      <c r="U159" s="24">
        <f>SUM(U135:U158)</f>
        <v>0</v>
      </c>
      <c r="V159" s="24">
        <f>SUM(V135:V158)</f>
        <v>0</v>
      </c>
      <c r="W159" s="38">
        <f t="shared" ref="W159" si="218">T159*$D$127</f>
        <v>0</v>
      </c>
      <c r="X159" s="10">
        <f t="shared" ref="X159:Y159" si="219">SUM(X135:X158)</f>
        <v>0</v>
      </c>
      <c r="Y159" s="10">
        <f t="shared" si="219"/>
        <v>0</v>
      </c>
      <c r="Z159" s="38">
        <f t="shared" si="179"/>
        <v>0</v>
      </c>
      <c r="AA159" s="68">
        <f>Z159/'Summary-all-crops'!C3</f>
        <v>0</v>
      </c>
    </row>
    <row r="160" spans="1:27" x14ac:dyDescent="0.25">
      <c r="A160" s="1"/>
      <c r="Q160" s="24" t="b">
        <f>SUM(Q135:Q158)=Q159</f>
        <v>1</v>
      </c>
      <c r="R160" s="70"/>
      <c r="V160" s="314" t="b">
        <f>U159+V159-W159&lt;0.1</f>
        <v>1</v>
      </c>
    </row>
    <row r="161" spans="1:6" x14ac:dyDescent="0.25">
      <c r="A161" s="1"/>
      <c r="F161" s="2"/>
    </row>
    <row r="162" spans="1:6" x14ac:dyDescent="0.25">
      <c r="A162" s="1" t="s">
        <v>369</v>
      </c>
    </row>
    <row r="164" spans="1:6" ht="42.6" customHeight="1" x14ac:dyDescent="0.25">
      <c r="A164" s="838" t="s">
        <v>101</v>
      </c>
      <c r="B164" s="839" t="s">
        <v>370</v>
      </c>
      <c r="C164" s="839"/>
      <c r="D164" s="839"/>
      <c r="E164" s="839"/>
    </row>
    <row r="165" spans="1:6" x14ac:dyDescent="0.25">
      <c r="A165" s="838"/>
      <c r="F165" s="11"/>
    </row>
    <row r="166" spans="1:6" x14ac:dyDescent="0.25">
      <c r="A166" s="838"/>
      <c r="B166" s="1" t="s">
        <v>136</v>
      </c>
      <c r="C166" s="1" t="s">
        <v>137</v>
      </c>
      <c r="D166" s="1" t="s">
        <v>289</v>
      </c>
      <c r="E166" s="1" t="s">
        <v>120</v>
      </c>
      <c r="F166" s="11"/>
    </row>
    <row r="167" spans="1:6" x14ac:dyDescent="0.25">
      <c r="A167" s="13" t="s">
        <v>139</v>
      </c>
      <c r="B167" s="45">
        <f>$D$26*(K37)+$E$26*(K67)</f>
        <v>0</v>
      </c>
      <c r="C167" s="45">
        <f>$D$26*(L37)+$E$26*(L67)</f>
        <v>0</v>
      </c>
      <c r="D167" s="45">
        <f>$D$26*(M37)+$E$26*(M67)</f>
        <v>0</v>
      </c>
      <c r="E167" s="23">
        <f>SUM(B167:D167)</f>
        <v>0</v>
      </c>
    </row>
    <row r="168" spans="1:6" x14ac:dyDescent="0.25">
      <c r="A168" s="13" t="s">
        <v>140</v>
      </c>
      <c r="B168" s="45">
        <f t="shared" ref="B168:D168" si="220">$D$26*(K38)+$E$26*(K68)</f>
        <v>0</v>
      </c>
      <c r="C168" s="45">
        <f t="shared" si="220"/>
        <v>0</v>
      </c>
      <c r="D168" s="45">
        <f t="shared" si="220"/>
        <v>0</v>
      </c>
      <c r="E168" s="23">
        <f t="shared" ref="E168:E190" si="221">SUM(B168:D168)</f>
        <v>0</v>
      </c>
    </row>
    <row r="169" spans="1:6" x14ac:dyDescent="0.25">
      <c r="A169" s="13" t="s">
        <v>141</v>
      </c>
      <c r="B169" s="45">
        <f t="shared" ref="B169:D169" si="222">$D$26*(K39)+$E$26*(K69)</f>
        <v>0</v>
      </c>
      <c r="C169" s="45">
        <f t="shared" si="222"/>
        <v>0</v>
      </c>
      <c r="D169" s="45">
        <f t="shared" si="222"/>
        <v>0</v>
      </c>
      <c r="E169" s="23">
        <f t="shared" si="221"/>
        <v>0</v>
      </c>
    </row>
    <row r="170" spans="1:6" x14ac:dyDescent="0.25">
      <c r="A170" s="13" t="s">
        <v>142</v>
      </c>
      <c r="B170" s="45">
        <f t="shared" ref="B170:D170" si="223">$D$26*(K40)+$E$26*(K70)</f>
        <v>0</v>
      </c>
      <c r="C170" s="45">
        <f t="shared" si="223"/>
        <v>0</v>
      </c>
      <c r="D170" s="45">
        <f t="shared" si="223"/>
        <v>0</v>
      </c>
      <c r="E170" s="23">
        <f t="shared" si="221"/>
        <v>0</v>
      </c>
    </row>
    <row r="171" spans="1:6" x14ac:dyDescent="0.25">
      <c r="A171" s="13" t="s">
        <v>143</v>
      </c>
      <c r="B171" s="45">
        <f t="shared" ref="B171:D171" si="224">$D$26*(K41)+$E$26*(K71)</f>
        <v>0</v>
      </c>
      <c r="C171" s="45">
        <f t="shared" si="224"/>
        <v>0</v>
      </c>
      <c r="D171" s="45">
        <f t="shared" si="224"/>
        <v>0</v>
      </c>
      <c r="E171" s="23">
        <f t="shared" si="221"/>
        <v>0</v>
      </c>
    </row>
    <row r="172" spans="1:6" x14ac:dyDescent="0.25">
      <c r="A172" s="13" t="s">
        <v>144</v>
      </c>
      <c r="B172" s="45">
        <f t="shared" ref="B172:D172" si="225">$D$26*(K42)+$E$26*(K72)</f>
        <v>0</v>
      </c>
      <c r="C172" s="45">
        <f t="shared" si="225"/>
        <v>0</v>
      </c>
      <c r="D172" s="45">
        <f t="shared" si="225"/>
        <v>0</v>
      </c>
      <c r="E172" s="23">
        <f t="shared" si="221"/>
        <v>0</v>
      </c>
    </row>
    <row r="173" spans="1:6" x14ac:dyDescent="0.25">
      <c r="A173" s="13" t="s">
        <v>145</v>
      </c>
      <c r="B173" s="45">
        <f t="shared" ref="B173:D173" si="226">$D$26*(K43)+$E$26*(K73)</f>
        <v>0</v>
      </c>
      <c r="C173" s="45">
        <f t="shared" si="226"/>
        <v>0</v>
      </c>
      <c r="D173" s="45">
        <f t="shared" si="226"/>
        <v>0</v>
      </c>
      <c r="E173" s="23">
        <f t="shared" si="221"/>
        <v>0</v>
      </c>
    </row>
    <row r="174" spans="1:6" x14ac:dyDescent="0.25">
      <c r="A174" s="13" t="s">
        <v>146</v>
      </c>
      <c r="B174" s="45">
        <f t="shared" ref="B174:D174" si="227">$D$26*(K44)+$E$26*(K74)</f>
        <v>0</v>
      </c>
      <c r="C174" s="45">
        <f t="shared" si="227"/>
        <v>0</v>
      </c>
      <c r="D174" s="45">
        <f t="shared" si="227"/>
        <v>0</v>
      </c>
      <c r="E174" s="23">
        <f t="shared" si="221"/>
        <v>0</v>
      </c>
    </row>
    <row r="175" spans="1:6" x14ac:dyDescent="0.25">
      <c r="A175" s="13" t="s">
        <v>147</v>
      </c>
      <c r="B175" s="45">
        <f t="shared" ref="B175:D175" si="228">$D$26*(K45)+$E$26*(K75)</f>
        <v>0</v>
      </c>
      <c r="C175" s="45">
        <f t="shared" si="228"/>
        <v>0</v>
      </c>
      <c r="D175" s="45">
        <f t="shared" si="228"/>
        <v>0</v>
      </c>
      <c r="E175" s="23">
        <f t="shared" si="221"/>
        <v>0</v>
      </c>
    </row>
    <row r="176" spans="1:6" x14ac:dyDescent="0.25">
      <c r="A176" s="13" t="s">
        <v>148</v>
      </c>
      <c r="B176" s="45">
        <f t="shared" ref="B176:D176" si="229">$D$26*(K46)+$E$26*(K76)</f>
        <v>0</v>
      </c>
      <c r="C176" s="45">
        <f t="shared" si="229"/>
        <v>0</v>
      </c>
      <c r="D176" s="45">
        <f t="shared" si="229"/>
        <v>0</v>
      </c>
      <c r="E176" s="23">
        <f t="shared" si="221"/>
        <v>0</v>
      </c>
    </row>
    <row r="177" spans="1:8" x14ac:dyDescent="0.25">
      <c r="A177" s="13" t="s">
        <v>149</v>
      </c>
      <c r="B177" s="45">
        <f t="shared" ref="B177:D177" si="230">$D$26*(K47)+$E$26*(K77)</f>
        <v>0</v>
      </c>
      <c r="C177" s="45">
        <f t="shared" si="230"/>
        <v>0</v>
      </c>
      <c r="D177" s="45">
        <f t="shared" si="230"/>
        <v>0</v>
      </c>
      <c r="E177" s="23">
        <f t="shared" si="221"/>
        <v>0</v>
      </c>
    </row>
    <row r="178" spans="1:8" x14ac:dyDescent="0.25">
      <c r="A178" s="13" t="s">
        <v>150</v>
      </c>
      <c r="B178" s="45">
        <f t="shared" ref="B178:D178" si="231">$D$26*(K48)+$E$26*(K78)</f>
        <v>0</v>
      </c>
      <c r="C178" s="45">
        <f t="shared" si="231"/>
        <v>0</v>
      </c>
      <c r="D178" s="45">
        <f t="shared" si="231"/>
        <v>0</v>
      </c>
      <c r="E178" s="23">
        <f t="shared" si="221"/>
        <v>0</v>
      </c>
    </row>
    <row r="179" spans="1:8" x14ac:dyDescent="0.25">
      <c r="A179" s="13" t="s">
        <v>151</v>
      </c>
      <c r="B179" s="45">
        <f t="shared" ref="B179:D179" si="232">$D$26*(K49)+$E$26*(K79)</f>
        <v>0</v>
      </c>
      <c r="C179" s="45">
        <f t="shared" si="232"/>
        <v>0</v>
      </c>
      <c r="D179" s="45">
        <f t="shared" si="232"/>
        <v>0</v>
      </c>
      <c r="E179" s="23">
        <f t="shared" si="221"/>
        <v>0</v>
      </c>
    </row>
    <row r="180" spans="1:8" x14ac:dyDescent="0.25">
      <c r="A180" s="13" t="s">
        <v>152</v>
      </c>
      <c r="B180" s="45">
        <f t="shared" ref="B180:D180" si="233">$D$26*(K50)+$E$26*(K80)</f>
        <v>0</v>
      </c>
      <c r="C180" s="45">
        <f t="shared" si="233"/>
        <v>0</v>
      </c>
      <c r="D180" s="45">
        <f t="shared" si="233"/>
        <v>0</v>
      </c>
      <c r="E180" s="23">
        <f t="shared" si="221"/>
        <v>0</v>
      </c>
    </row>
    <row r="181" spans="1:8" x14ac:dyDescent="0.25">
      <c r="A181" s="13" t="s">
        <v>153</v>
      </c>
      <c r="B181" s="45">
        <f t="shared" ref="B181:D181" si="234">$D$26*(K51)+$E$26*(K81)</f>
        <v>0</v>
      </c>
      <c r="C181" s="45">
        <f t="shared" si="234"/>
        <v>0</v>
      </c>
      <c r="D181" s="45">
        <f t="shared" si="234"/>
        <v>0</v>
      </c>
      <c r="E181" s="23">
        <f t="shared" si="221"/>
        <v>0</v>
      </c>
    </row>
    <row r="182" spans="1:8" x14ac:dyDescent="0.25">
      <c r="A182" s="13" t="s">
        <v>154</v>
      </c>
      <c r="B182" s="45">
        <f t="shared" ref="B182:D182" si="235">$D$26*(K52)+$E$26*(K82)</f>
        <v>0</v>
      </c>
      <c r="C182" s="45">
        <f t="shared" si="235"/>
        <v>0</v>
      </c>
      <c r="D182" s="45">
        <f t="shared" si="235"/>
        <v>0</v>
      </c>
      <c r="E182" s="23">
        <f t="shared" si="221"/>
        <v>0</v>
      </c>
    </row>
    <row r="183" spans="1:8" x14ac:dyDescent="0.25">
      <c r="A183" s="13" t="s">
        <v>155</v>
      </c>
      <c r="B183" s="45">
        <f t="shared" ref="B183:D183" si="236">$D$26*(K53)+$E$26*(K83)</f>
        <v>0</v>
      </c>
      <c r="C183" s="45">
        <f t="shared" si="236"/>
        <v>0</v>
      </c>
      <c r="D183" s="45">
        <f t="shared" si="236"/>
        <v>0</v>
      </c>
      <c r="E183" s="23">
        <f t="shared" si="221"/>
        <v>0</v>
      </c>
    </row>
    <row r="184" spans="1:8" x14ac:dyDescent="0.25">
      <c r="A184" s="13" t="s">
        <v>156</v>
      </c>
      <c r="B184" s="45">
        <f t="shared" ref="B184:D184" si="237">$D$26*(K54)+$E$26*(K84)</f>
        <v>0</v>
      </c>
      <c r="C184" s="45">
        <f t="shared" si="237"/>
        <v>0</v>
      </c>
      <c r="D184" s="45">
        <f t="shared" si="237"/>
        <v>0</v>
      </c>
      <c r="E184" s="23">
        <f t="shared" si="221"/>
        <v>0</v>
      </c>
    </row>
    <row r="185" spans="1:8" x14ac:dyDescent="0.25">
      <c r="A185" s="13" t="s">
        <v>157</v>
      </c>
      <c r="B185" s="45">
        <f t="shared" ref="B185:D185" si="238">$D$26*(K55)+$E$26*(K85)</f>
        <v>0</v>
      </c>
      <c r="C185" s="45">
        <f t="shared" si="238"/>
        <v>0</v>
      </c>
      <c r="D185" s="45">
        <f t="shared" si="238"/>
        <v>0</v>
      </c>
      <c r="E185" s="23">
        <f t="shared" si="221"/>
        <v>0</v>
      </c>
    </row>
    <row r="186" spans="1:8" x14ac:dyDescent="0.25">
      <c r="A186" s="13" t="s">
        <v>158</v>
      </c>
      <c r="B186" s="45">
        <f t="shared" ref="B186:D186" si="239">$D$26*(K56)+$E$26*(K86)</f>
        <v>0</v>
      </c>
      <c r="C186" s="45">
        <f t="shared" si="239"/>
        <v>0</v>
      </c>
      <c r="D186" s="45">
        <f t="shared" si="239"/>
        <v>0</v>
      </c>
      <c r="E186" s="23">
        <f t="shared" si="221"/>
        <v>0</v>
      </c>
    </row>
    <row r="187" spans="1:8" x14ac:dyDescent="0.25">
      <c r="A187" s="13" t="s">
        <v>159</v>
      </c>
      <c r="B187" s="45">
        <f t="shared" ref="B187:D187" si="240">$D$26*(K57)+$E$26*(K87)</f>
        <v>0</v>
      </c>
      <c r="C187" s="45">
        <f t="shared" si="240"/>
        <v>0</v>
      </c>
      <c r="D187" s="45">
        <f t="shared" si="240"/>
        <v>0</v>
      </c>
      <c r="E187" s="23">
        <f t="shared" si="221"/>
        <v>0</v>
      </c>
    </row>
    <row r="188" spans="1:8" x14ac:dyDescent="0.25">
      <c r="A188" s="13" t="s">
        <v>160</v>
      </c>
      <c r="B188" s="45">
        <f t="shared" ref="B188:D188" si="241">$D$26*(K58)+$E$26*(K88)</f>
        <v>0</v>
      </c>
      <c r="C188" s="45">
        <f t="shared" si="241"/>
        <v>0</v>
      </c>
      <c r="D188" s="45">
        <f t="shared" si="241"/>
        <v>0</v>
      </c>
      <c r="E188" s="23">
        <f t="shared" si="221"/>
        <v>0</v>
      </c>
    </row>
    <row r="189" spans="1:8" x14ac:dyDescent="0.25">
      <c r="A189" s="13" t="s">
        <v>161</v>
      </c>
      <c r="B189" s="45">
        <f t="shared" ref="B189:D189" si="242">$D$26*(K59)+$E$26*(K89)</f>
        <v>0</v>
      </c>
      <c r="C189" s="45">
        <f t="shared" si="242"/>
        <v>0</v>
      </c>
      <c r="D189" s="45">
        <f t="shared" si="242"/>
        <v>0</v>
      </c>
      <c r="E189" s="23">
        <f t="shared" si="221"/>
        <v>0</v>
      </c>
    </row>
    <row r="190" spans="1:8" x14ac:dyDescent="0.25">
      <c r="A190" s="13" t="s">
        <v>162</v>
      </c>
      <c r="B190" s="45">
        <f t="shared" ref="B190:D190" si="243">$D$26*(K60)+$E$26*(K90)</f>
        <v>0</v>
      </c>
      <c r="C190" s="45">
        <f t="shared" si="243"/>
        <v>0</v>
      </c>
      <c r="D190" s="45">
        <f t="shared" si="243"/>
        <v>0</v>
      </c>
      <c r="E190" s="23">
        <f t="shared" si="221"/>
        <v>0</v>
      </c>
    </row>
    <row r="191" spans="1:8" x14ac:dyDescent="0.25">
      <c r="A191" s="1" t="s">
        <v>163</v>
      </c>
      <c r="B191" s="23">
        <f>SUM(B167:B190)</f>
        <v>0</v>
      </c>
      <c r="C191" s="23">
        <f t="shared" ref="C191:D191" si="244">SUM(C167:C190)</f>
        <v>0</v>
      </c>
      <c r="D191" s="23">
        <f t="shared" si="244"/>
        <v>0</v>
      </c>
      <c r="E191" s="23">
        <f>SUM(B191:D191)</f>
        <v>0</v>
      </c>
      <c r="G191" s="1"/>
      <c r="H191" s="1"/>
    </row>
    <row r="192" spans="1:8" x14ac:dyDescent="0.25">
      <c r="G192" s="1"/>
      <c r="H192" s="1"/>
    </row>
    <row r="193" spans="1:8" ht="18.75" x14ac:dyDescent="0.3">
      <c r="A193" s="12" t="s">
        <v>432</v>
      </c>
    </row>
    <row r="194" spans="1:8" x14ac:dyDescent="0.25">
      <c r="A194" t="s">
        <v>372</v>
      </c>
      <c r="C194" s="24">
        <f>'Cereals-all-year'!K2</f>
        <v>134280440000</v>
      </c>
    </row>
    <row r="195" spans="1:8" ht="15.75" thickBot="1" x14ac:dyDescent="0.3">
      <c r="A195" t="s">
        <v>373</v>
      </c>
      <c r="C195" s="24">
        <f>'Cereals-all-year'!K3</f>
        <v>46690000000</v>
      </c>
    </row>
    <row r="196" spans="1:8" x14ac:dyDescent="0.25">
      <c r="A196" s="853"/>
      <c r="B196" s="798" t="s">
        <v>374</v>
      </c>
      <c r="C196" s="848"/>
      <c r="D196" s="848"/>
      <c r="E196" s="848"/>
      <c r="F196" s="849"/>
      <c r="G196" s="855" t="s">
        <v>367</v>
      </c>
      <c r="H196" s="22"/>
    </row>
    <row r="197" spans="1:8" x14ac:dyDescent="0.25">
      <c r="A197" s="854"/>
      <c r="B197" s="15" t="s">
        <v>375</v>
      </c>
      <c r="C197" s="16" t="s">
        <v>376</v>
      </c>
      <c r="D197" s="16" t="s">
        <v>377</v>
      </c>
      <c r="E197" s="16" t="s">
        <v>378</v>
      </c>
      <c r="F197" s="16" t="s">
        <v>379</v>
      </c>
      <c r="G197" s="856"/>
      <c r="H197" s="22"/>
    </row>
    <row r="198" spans="1:8" x14ac:dyDescent="0.25">
      <c r="A198" s="13" t="s">
        <v>139</v>
      </c>
      <c r="B198" s="43">
        <f>R37+R67</f>
        <v>0</v>
      </c>
      <c r="C198" s="14">
        <f>N100</f>
        <v>0</v>
      </c>
      <c r="D198" s="14">
        <f>Z135</f>
        <v>0</v>
      </c>
      <c r="E198" s="14">
        <f>E167</f>
        <v>0</v>
      </c>
      <c r="F198" s="48">
        <f>SUM(B198:E198)</f>
        <v>0</v>
      </c>
      <c r="G198" s="150">
        <f>F198/$C$195</f>
        <v>0</v>
      </c>
      <c r="H198" s="61"/>
    </row>
    <row r="199" spans="1:8" x14ac:dyDescent="0.25">
      <c r="A199" s="13" t="s">
        <v>140</v>
      </c>
      <c r="B199" s="43">
        <f t="shared" ref="B199:B221" si="245">R38+R68</f>
        <v>0</v>
      </c>
      <c r="C199" s="14">
        <f t="shared" ref="C199:C221" si="246">N101</f>
        <v>0</v>
      </c>
      <c r="D199" s="14">
        <f t="shared" ref="D199:D221" si="247">Z136</f>
        <v>0</v>
      </c>
      <c r="E199" s="14">
        <f t="shared" ref="E199:E221" si="248">E168</f>
        <v>0</v>
      </c>
      <c r="F199" s="48">
        <f t="shared" ref="F199:F221" si="249">SUM(B199:E199)</f>
        <v>0</v>
      </c>
      <c r="G199" s="150">
        <f t="shared" ref="G199:G221" si="250">F199/$C$195</f>
        <v>0</v>
      </c>
      <c r="H199" s="61"/>
    </row>
    <row r="200" spans="1:8" x14ac:dyDescent="0.25">
      <c r="A200" s="13" t="s">
        <v>141</v>
      </c>
      <c r="B200" s="43">
        <f t="shared" si="245"/>
        <v>0</v>
      </c>
      <c r="C200" s="14">
        <f t="shared" si="246"/>
        <v>0</v>
      </c>
      <c r="D200" s="14">
        <f t="shared" si="247"/>
        <v>0</v>
      </c>
      <c r="E200" s="14">
        <f t="shared" si="248"/>
        <v>0</v>
      </c>
      <c r="F200" s="48">
        <f t="shared" si="249"/>
        <v>0</v>
      </c>
      <c r="G200" s="150">
        <f t="shared" si="250"/>
        <v>0</v>
      </c>
      <c r="H200" s="61"/>
    </row>
    <row r="201" spans="1:8" x14ac:dyDescent="0.25">
      <c r="A201" s="13" t="s">
        <v>142</v>
      </c>
      <c r="B201" s="43">
        <f t="shared" si="245"/>
        <v>0</v>
      </c>
      <c r="C201" s="14">
        <f t="shared" si="246"/>
        <v>0</v>
      </c>
      <c r="D201" s="14">
        <f t="shared" si="247"/>
        <v>0</v>
      </c>
      <c r="E201" s="14">
        <f t="shared" si="248"/>
        <v>0</v>
      </c>
      <c r="F201" s="48">
        <f t="shared" si="249"/>
        <v>0</v>
      </c>
      <c r="G201" s="150">
        <f t="shared" si="250"/>
        <v>0</v>
      </c>
      <c r="H201" s="61"/>
    </row>
    <row r="202" spans="1:8" x14ac:dyDescent="0.25">
      <c r="A202" s="13" t="s">
        <v>143</v>
      </c>
      <c r="B202" s="43">
        <f t="shared" si="245"/>
        <v>0</v>
      </c>
      <c r="C202" s="14">
        <f t="shared" si="246"/>
        <v>0</v>
      </c>
      <c r="D202" s="14">
        <f t="shared" si="247"/>
        <v>0</v>
      </c>
      <c r="E202" s="14">
        <f t="shared" si="248"/>
        <v>0</v>
      </c>
      <c r="F202" s="48">
        <f t="shared" si="249"/>
        <v>0</v>
      </c>
      <c r="G202" s="150">
        <f t="shared" si="250"/>
        <v>0</v>
      </c>
      <c r="H202" s="61"/>
    </row>
    <row r="203" spans="1:8" x14ac:dyDescent="0.25">
      <c r="A203" s="13" t="s">
        <v>144</v>
      </c>
      <c r="B203" s="43">
        <f t="shared" si="245"/>
        <v>0</v>
      </c>
      <c r="C203" s="14">
        <f t="shared" si="246"/>
        <v>0</v>
      </c>
      <c r="D203" s="14">
        <f t="shared" si="247"/>
        <v>0</v>
      </c>
      <c r="E203" s="14">
        <f t="shared" si="248"/>
        <v>0</v>
      </c>
      <c r="F203" s="48">
        <f t="shared" si="249"/>
        <v>0</v>
      </c>
      <c r="G203" s="150">
        <f t="shared" si="250"/>
        <v>0</v>
      </c>
      <c r="H203" s="61"/>
    </row>
    <row r="204" spans="1:8" x14ac:dyDescent="0.25">
      <c r="A204" s="13" t="s">
        <v>145</v>
      </c>
      <c r="B204" s="43">
        <f t="shared" si="245"/>
        <v>0</v>
      </c>
      <c r="C204" s="14">
        <f t="shared" si="246"/>
        <v>0</v>
      </c>
      <c r="D204" s="14">
        <f t="shared" si="247"/>
        <v>0</v>
      </c>
      <c r="E204" s="14">
        <f t="shared" si="248"/>
        <v>0</v>
      </c>
      <c r="F204" s="48">
        <f t="shared" si="249"/>
        <v>0</v>
      </c>
      <c r="G204" s="150">
        <f t="shared" si="250"/>
        <v>0</v>
      </c>
      <c r="H204" s="61"/>
    </row>
    <row r="205" spans="1:8" x14ac:dyDescent="0.25">
      <c r="A205" s="13" t="s">
        <v>146</v>
      </c>
      <c r="B205" s="43">
        <f t="shared" si="245"/>
        <v>0</v>
      </c>
      <c r="C205" s="14">
        <f t="shared" si="246"/>
        <v>0</v>
      </c>
      <c r="D205" s="14">
        <f t="shared" si="247"/>
        <v>0</v>
      </c>
      <c r="E205" s="14">
        <f t="shared" si="248"/>
        <v>0</v>
      </c>
      <c r="F205" s="48">
        <f t="shared" si="249"/>
        <v>0</v>
      </c>
      <c r="G205" s="150">
        <f t="shared" si="250"/>
        <v>0</v>
      </c>
      <c r="H205" s="61"/>
    </row>
    <row r="206" spans="1:8" x14ac:dyDescent="0.25">
      <c r="A206" s="13" t="s">
        <v>147</v>
      </c>
      <c r="B206" s="43">
        <f t="shared" si="245"/>
        <v>0</v>
      </c>
      <c r="C206" s="14">
        <f t="shared" si="246"/>
        <v>0</v>
      </c>
      <c r="D206" s="14">
        <f t="shared" si="247"/>
        <v>0</v>
      </c>
      <c r="E206" s="14">
        <f t="shared" si="248"/>
        <v>0</v>
      </c>
      <c r="F206" s="48">
        <f t="shared" si="249"/>
        <v>0</v>
      </c>
      <c r="G206" s="150">
        <f t="shared" si="250"/>
        <v>0</v>
      </c>
      <c r="H206" s="61"/>
    </row>
    <row r="207" spans="1:8" x14ac:dyDescent="0.25">
      <c r="A207" s="13" t="s">
        <v>148</v>
      </c>
      <c r="B207" s="43">
        <f t="shared" si="245"/>
        <v>0</v>
      </c>
      <c r="C207" s="14">
        <f t="shared" si="246"/>
        <v>0</v>
      </c>
      <c r="D207" s="14">
        <f t="shared" si="247"/>
        <v>0</v>
      </c>
      <c r="E207" s="14">
        <f t="shared" si="248"/>
        <v>0</v>
      </c>
      <c r="F207" s="48">
        <f t="shared" si="249"/>
        <v>0</v>
      </c>
      <c r="G207" s="150">
        <f t="shared" si="250"/>
        <v>0</v>
      </c>
      <c r="H207" s="61"/>
    </row>
    <row r="208" spans="1:8" x14ac:dyDescent="0.25">
      <c r="A208" s="13" t="s">
        <v>149</v>
      </c>
      <c r="B208" s="43">
        <f t="shared" si="245"/>
        <v>0</v>
      </c>
      <c r="C208" s="14">
        <f t="shared" si="246"/>
        <v>0</v>
      </c>
      <c r="D208" s="14">
        <f t="shared" si="247"/>
        <v>0</v>
      </c>
      <c r="E208" s="14">
        <f t="shared" si="248"/>
        <v>0</v>
      </c>
      <c r="F208" s="48">
        <f t="shared" si="249"/>
        <v>0</v>
      </c>
      <c r="G208" s="150">
        <f t="shared" si="250"/>
        <v>0</v>
      </c>
      <c r="H208" s="61"/>
    </row>
    <row r="209" spans="1:17" x14ac:dyDescent="0.25">
      <c r="A209" s="13" t="s">
        <v>150</v>
      </c>
      <c r="B209" s="43">
        <f t="shared" si="245"/>
        <v>0</v>
      </c>
      <c r="C209" s="14">
        <f t="shared" si="246"/>
        <v>0</v>
      </c>
      <c r="D209" s="14">
        <f t="shared" si="247"/>
        <v>0</v>
      </c>
      <c r="E209" s="14">
        <f t="shared" si="248"/>
        <v>0</v>
      </c>
      <c r="F209" s="48">
        <f t="shared" si="249"/>
        <v>0</v>
      </c>
      <c r="G209" s="150">
        <f t="shared" si="250"/>
        <v>0</v>
      </c>
      <c r="H209" s="61"/>
    </row>
    <row r="210" spans="1:17" x14ac:dyDescent="0.25">
      <c r="A210" s="13" t="s">
        <v>151</v>
      </c>
      <c r="B210" s="43">
        <f t="shared" si="245"/>
        <v>0</v>
      </c>
      <c r="C210" s="14">
        <f t="shared" si="246"/>
        <v>0</v>
      </c>
      <c r="D210" s="14">
        <f t="shared" si="247"/>
        <v>0</v>
      </c>
      <c r="E210" s="14">
        <f t="shared" si="248"/>
        <v>0</v>
      </c>
      <c r="F210" s="48">
        <f t="shared" si="249"/>
        <v>0</v>
      </c>
      <c r="G210" s="150">
        <f t="shared" si="250"/>
        <v>0</v>
      </c>
      <c r="H210" s="61"/>
    </row>
    <row r="211" spans="1:17" x14ac:dyDescent="0.25">
      <c r="A211" s="13" t="s">
        <v>152</v>
      </c>
      <c r="B211" s="43">
        <f t="shared" si="245"/>
        <v>0</v>
      </c>
      <c r="C211" s="14">
        <f t="shared" si="246"/>
        <v>0</v>
      </c>
      <c r="D211" s="14">
        <f t="shared" si="247"/>
        <v>0</v>
      </c>
      <c r="E211" s="14">
        <f t="shared" si="248"/>
        <v>0</v>
      </c>
      <c r="F211" s="48">
        <f t="shared" si="249"/>
        <v>0</v>
      </c>
      <c r="G211" s="150">
        <f t="shared" si="250"/>
        <v>0</v>
      </c>
      <c r="H211" s="61"/>
    </row>
    <row r="212" spans="1:17" x14ac:dyDescent="0.25">
      <c r="A212" s="13" t="s">
        <v>153</v>
      </c>
      <c r="B212" s="43">
        <f t="shared" si="245"/>
        <v>0</v>
      </c>
      <c r="C212" s="14">
        <f t="shared" si="246"/>
        <v>0</v>
      </c>
      <c r="D212" s="14">
        <f t="shared" si="247"/>
        <v>0</v>
      </c>
      <c r="E212" s="14">
        <f t="shared" si="248"/>
        <v>0</v>
      </c>
      <c r="F212" s="48">
        <f t="shared" si="249"/>
        <v>0</v>
      </c>
      <c r="G212" s="150">
        <f t="shared" si="250"/>
        <v>0</v>
      </c>
      <c r="H212" s="61"/>
    </row>
    <row r="213" spans="1:17" x14ac:dyDescent="0.25">
      <c r="A213" s="13" t="s">
        <v>154</v>
      </c>
      <c r="B213" s="43">
        <f t="shared" si="245"/>
        <v>0</v>
      </c>
      <c r="C213" s="14">
        <f t="shared" si="246"/>
        <v>0</v>
      </c>
      <c r="D213" s="14">
        <f t="shared" si="247"/>
        <v>0</v>
      </c>
      <c r="E213" s="14">
        <f t="shared" si="248"/>
        <v>0</v>
      </c>
      <c r="F213" s="48">
        <f t="shared" si="249"/>
        <v>0</v>
      </c>
      <c r="G213" s="150">
        <f t="shared" si="250"/>
        <v>0</v>
      </c>
      <c r="H213" s="61"/>
      <c r="K213" s="1"/>
    </row>
    <row r="214" spans="1:17" x14ac:dyDescent="0.25">
      <c r="A214" s="13" t="s">
        <v>155</v>
      </c>
      <c r="B214" s="43">
        <f t="shared" si="245"/>
        <v>0</v>
      </c>
      <c r="C214" s="14">
        <f t="shared" si="246"/>
        <v>0</v>
      </c>
      <c r="D214" s="14">
        <f t="shared" si="247"/>
        <v>0</v>
      </c>
      <c r="E214" s="14">
        <f t="shared" si="248"/>
        <v>0</v>
      </c>
      <c r="F214" s="48">
        <f t="shared" si="249"/>
        <v>0</v>
      </c>
      <c r="G214" s="150">
        <f t="shared" si="250"/>
        <v>0</v>
      </c>
      <c r="H214" s="61"/>
      <c r="O214" t="s">
        <v>385</v>
      </c>
      <c r="P214" t="s">
        <v>386</v>
      </c>
      <c r="Q214" t="s">
        <v>213</v>
      </c>
    </row>
    <row r="215" spans="1:17" x14ac:dyDescent="0.25">
      <c r="A215" s="13" t="s">
        <v>156</v>
      </c>
      <c r="B215" s="43">
        <f t="shared" si="245"/>
        <v>0</v>
      </c>
      <c r="C215" s="14">
        <f t="shared" si="246"/>
        <v>0</v>
      </c>
      <c r="D215" s="14">
        <f t="shared" si="247"/>
        <v>0</v>
      </c>
      <c r="E215" s="14">
        <f t="shared" si="248"/>
        <v>0</v>
      </c>
      <c r="F215" s="48">
        <f t="shared" si="249"/>
        <v>0</v>
      </c>
      <c r="G215" s="150">
        <f t="shared" si="250"/>
        <v>0</v>
      </c>
      <c r="H215" s="61"/>
      <c r="K215" s="186"/>
      <c r="L215" s="186"/>
      <c r="M215" s="186"/>
      <c r="N215" s="186"/>
      <c r="O215" s="186">
        <v>405</v>
      </c>
      <c r="P215" s="186">
        <v>539</v>
      </c>
      <c r="Q215" s="187">
        <f>SUMPRODUCT(K215:P215,K216:P216)/Q216</f>
        <v>450.40662650602405</v>
      </c>
    </row>
    <row r="216" spans="1:17" x14ac:dyDescent="0.25">
      <c r="A216" s="13" t="s">
        <v>157</v>
      </c>
      <c r="B216" s="43">
        <f t="shared" si="245"/>
        <v>0</v>
      </c>
      <c r="C216" s="14">
        <f t="shared" si="246"/>
        <v>0</v>
      </c>
      <c r="D216" s="14">
        <f t="shared" si="247"/>
        <v>0</v>
      </c>
      <c r="E216" s="14">
        <f t="shared" si="248"/>
        <v>0</v>
      </c>
      <c r="F216" s="48">
        <f t="shared" si="249"/>
        <v>0</v>
      </c>
      <c r="G216" s="150">
        <f t="shared" si="250"/>
        <v>0</v>
      </c>
      <c r="H216" s="61"/>
      <c r="O216">
        <v>43.9</v>
      </c>
      <c r="P216">
        <v>22.5</v>
      </c>
      <c r="Q216" s="9">
        <f>SUM(K216:P216)</f>
        <v>66.400000000000006</v>
      </c>
    </row>
    <row r="217" spans="1:17" x14ac:dyDescent="0.25">
      <c r="A217" s="13" t="s">
        <v>158</v>
      </c>
      <c r="B217" s="43">
        <f t="shared" si="245"/>
        <v>0</v>
      </c>
      <c r="C217" s="14">
        <f t="shared" si="246"/>
        <v>0</v>
      </c>
      <c r="D217" s="14">
        <f t="shared" si="247"/>
        <v>0</v>
      </c>
      <c r="E217" s="14">
        <f t="shared" si="248"/>
        <v>0</v>
      </c>
      <c r="F217" s="48">
        <f t="shared" si="249"/>
        <v>0</v>
      </c>
      <c r="G217" s="150">
        <f t="shared" si="250"/>
        <v>0</v>
      </c>
      <c r="H217" s="61"/>
    </row>
    <row r="218" spans="1:17" x14ac:dyDescent="0.25">
      <c r="A218" s="13" t="s">
        <v>159</v>
      </c>
      <c r="B218" s="43">
        <f t="shared" si="245"/>
        <v>0</v>
      </c>
      <c r="C218" s="14">
        <f t="shared" si="246"/>
        <v>0</v>
      </c>
      <c r="D218" s="14">
        <f t="shared" si="247"/>
        <v>0</v>
      </c>
      <c r="E218" s="14">
        <f t="shared" si="248"/>
        <v>0</v>
      </c>
      <c r="F218" s="48">
        <f t="shared" si="249"/>
        <v>0</v>
      </c>
      <c r="G218" s="150">
        <f t="shared" si="250"/>
        <v>0</v>
      </c>
      <c r="H218" s="61"/>
      <c r="K218" s="20"/>
      <c r="O218" s="20" t="s">
        <v>390</v>
      </c>
    </row>
    <row r="219" spans="1:17" x14ac:dyDescent="0.25">
      <c r="A219" s="13" t="s">
        <v>160</v>
      </c>
      <c r="B219" s="43">
        <f t="shared" si="245"/>
        <v>0</v>
      </c>
      <c r="C219" s="14">
        <f t="shared" si="246"/>
        <v>0</v>
      </c>
      <c r="D219" s="14">
        <f t="shared" si="247"/>
        <v>0</v>
      </c>
      <c r="E219" s="14">
        <f t="shared" si="248"/>
        <v>0</v>
      </c>
      <c r="F219" s="48">
        <f t="shared" si="249"/>
        <v>0</v>
      </c>
      <c r="G219" s="150">
        <f t="shared" si="250"/>
        <v>0</v>
      </c>
      <c r="H219" s="61"/>
      <c r="J219" s="838"/>
      <c r="K219" s="838"/>
      <c r="L219" s="838"/>
    </row>
    <row r="220" spans="1:17" x14ac:dyDescent="0.25">
      <c r="A220" s="13" t="s">
        <v>161</v>
      </c>
      <c r="B220" s="43">
        <f t="shared" si="245"/>
        <v>0</v>
      </c>
      <c r="C220" s="14">
        <f t="shared" si="246"/>
        <v>0</v>
      </c>
      <c r="D220" s="14">
        <f t="shared" si="247"/>
        <v>0</v>
      </c>
      <c r="E220" s="14">
        <f t="shared" si="248"/>
        <v>0</v>
      </c>
      <c r="F220" s="48">
        <f t="shared" si="249"/>
        <v>0</v>
      </c>
      <c r="G220" s="150">
        <f t="shared" si="250"/>
        <v>0</v>
      </c>
      <c r="H220" s="61"/>
    </row>
    <row r="221" spans="1:17" x14ac:dyDescent="0.25">
      <c r="A221" s="13" t="s">
        <v>162</v>
      </c>
      <c r="B221" s="43">
        <f t="shared" si="245"/>
        <v>0</v>
      </c>
      <c r="C221" s="14">
        <f t="shared" si="246"/>
        <v>0</v>
      </c>
      <c r="D221" s="14">
        <f t="shared" si="247"/>
        <v>0</v>
      </c>
      <c r="E221" s="14">
        <f t="shared" si="248"/>
        <v>0</v>
      </c>
      <c r="F221" s="48">
        <f t="shared" si="249"/>
        <v>0</v>
      </c>
      <c r="G221" s="150">
        <f t="shared" si="250"/>
        <v>0</v>
      </c>
      <c r="H221" s="61"/>
      <c r="L221" s="188"/>
    </row>
    <row r="222" spans="1:17" x14ac:dyDescent="0.25">
      <c r="A222" s="144" t="s">
        <v>163</v>
      </c>
      <c r="B222" s="46">
        <f>SUM(B198:B221)</f>
        <v>0</v>
      </c>
      <c r="C222" s="46">
        <f t="shared" ref="C222:E222" si="251">SUM(C198:C221)</f>
        <v>0</v>
      </c>
      <c r="D222" s="46">
        <f t="shared" si="251"/>
        <v>0</v>
      </c>
      <c r="E222" s="46">
        <f t="shared" si="251"/>
        <v>0</v>
      </c>
      <c r="F222" s="48">
        <f>SUM(B222:E222)</f>
        <v>0</v>
      </c>
      <c r="G222" s="150">
        <f t="shared" ref="G222" si="252">F222/$C$195</f>
        <v>0</v>
      </c>
      <c r="H222" s="61"/>
    </row>
    <row r="223" spans="1:17" ht="15.75" thickBot="1" x14ac:dyDescent="0.3">
      <c r="A223" s="145" t="s">
        <v>393</v>
      </c>
      <c r="B223" s="165">
        <f>B222/'Summary-all-crops'!$C$3</f>
        <v>0</v>
      </c>
      <c r="C223" s="165">
        <f>C222/'Summary-all-crops'!$C$3</f>
        <v>0</v>
      </c>
      <c r="D223" s="165">
        <f>D222/'Summary-all-crops'!$C$3</f>
        <v>0</v>
      </c>
      <c r="E223" s="165">
        <f>E222/'Summary-all-crops'!$C$3</f>
        <v>0</v>
      </c>
      <c r="F223" s="165">
        <f>F222/'Summary-all-crops'!$C$3</f>
        <v>0</v>
      </c>
      <c r="G223" s="166"/>
    </row>
    <row r="224" spans="1:17" x14ac:dyDescent="0.25">
      <c r="F224" s="92">
        <f>F222*K1</f>
        <v>0</v>
      </c>
      <c r="G224" s="147">
        <f>SUM(F198:F221)-F222</f>
        <v>0</v>
      </c>
    </row>
    <row r="226" spans="1:17" ht="43.35" customHeight="1" x14ac:dyDescent="0.25">
      <c r="A226" s="845" t="s">
        <v>576</v>
      </c>
      <c r="B226" s="845"/>
      <c r="C226" s="845"/>
      <c r="D226" s="845"/>
      <c r="E226" s="845"/>
      <c r="F226" s="845"/>
      <c r="G226" s="845"/>
      <c r="H226" s="845"/>
      <c r="I226" s="845"/>
      <c r="J226" s="845"/>
      <c r="K226" s="845"/>
      <c r="L226" s="845"/>
      <c r="M226" s="845"/>
      <c r="N226" s="845"/>
      <c r="O226" s="845"/>
      <c r="P226" s="845"/>
      <c r="Q226" s="845"/>
    </row>
    <row r="227" spans="1:17" x14ac:dyDescent="0.25">
      <c r="A227" s="24">
        <f>N61</f>
        <v>0</v>
      </c>
      <c r="B227" s="62" t="s">
        <v>577</v>
      </c>
      <c r="C227" s="6"/>
      <c r="D227" s="6"/>
      <c r="E227" s="6"/>
      <c r="F227" s="6"/>
      <c r="G227" s="6"/>
      <c r="H227" s="6"/>
      <c r="I227" s="6"/>
      <c r="J227" s="6"/>
      <c r="K227" s="6"/>
      <c r="L227" s="6"/>
      <c r="M227" s="6"/>
      <c r="N227" s="6"/>
      <c r="O227" s="6"/>
      <c r="P227" s="6"/>
      <c r="Q227" s="6"/>
    </row>
    <row r="228" spans="1:17" x14ac:dyDescent="0.25">
      <c r="A228" s="24">
        <f>N91</f>
        <v>0</v>
      </c>
      <c r="B228" s="62" t="s">
        <v>578</v>
      </c>
      <c r="C228" s="6"/>
      <c r="D228" s="6"/>
      <c r="E228" s="6"/>
      <c r="F228" s="6"/>
      <c r="G228" s="6"/>
      <c r="H228" s="6"/>
      <c r="I228" s="6"/>
      <c r="J228" s="6"/>
      <c r="K228" s="6"/>
      <c r="L228" s="6"/>
      <c r="M228" s="6"/>
      <c r="N228" s="6"/>
      <c r="O228" s="6"/>
      <c r="P228" s="6"/>
      <c r="Q228" s="6"/>
    </row>
    <row r="229" spans="1:17" x14ac:dyDescent="0.25">
      <c r="A229" s="24">
        <f>F222</f>
        <v>0</v>
      </c>
      <c r="B229" s="6" t="s">
        <v>397</v>
      </c>
      <c r="C229" s="24">
        <f>A229*K1</f>
        <v>0</v>
      </c>
      <c r="D229" s="6" t="s">
        <v>398</v>
      </c>
      <c r="E229" s="6"/>
      <c r="F229" s="176">
        <f>G222</f>
        <v>0</v>
      </c>
      <c r="G229" s="6" t="s">
        <v>399</v>
      </c>
      <c r="H229" s="6"/>
      <c r="I229" s="6"/>
      <c r="J229" s="6"/>
      <c r="K229" s="6"/>
      <c r="L229" s="6"/>
      <c r="M229" s="6"/>
      <c r="N229" s="6"/>
      <c r="O229" s="6"/>
      <c r="P229" s="6"/>
      <c r="Q229" s="6"/>
    </row>
  </sheetData>
  <mergeCells count="44">
    <mergeCell ref="AC3:AH6"/>
    <mergeCell ref="J219:L219"/>
    <mergeCell ref="A226:Q226"/>
    <mergeCell ref="W133:W134"/>
    <mergeCell ref="Z133:Z134"/>
    <mergeCell ref="A164:A166"/>
    <mergeCell ref="B164:E164"/>
    <mergeCell ref="A196:A197"/>
    <mergeCell ref="B196:F196"/>
    <mergeCell ref="G196:G197"/>
    <mergeCell ref="A132:A133"/>
    <mergeCell ref="B132:F132"/>
    <mergeCell ref="C133:E133"/>
    <mergeCell ref="F133:I133"/>
    <mergeCell ref="J133:M133"/>
    <mergeCell ref="N133:Q133"/>
    <mergeCell ref="S133:S134"/>
    <mergeCell ref="T133:T134"/>
    <mergeCell ref="U133:U134"/>
    <mergeCell ref="U65:W65"/>
    <mergeCell ref="V133:V134"/>
    <mergeCell ref="A98:A99"/>
    <mergeCell ref="B98:B99"/>
    <mergeCell ref="C98:F98"/>
    <mergeCell ref="G98:J98"/>
    <mergeCell ref="R133:R134"/>
    <mergeCell ref="K98:N98"/>
    <mergeCell ref="B65:B66"/>
    <mergeCell ref="G35:J35"/>
    <mergeCell ref="K35:N35"/>
    <mergeCell ref="O35:R35"/>
    <mergeCell ref="C62:E62"/>
    <mergeCell ref="B35:B36"/>
    <mergeCell ref="C35:F35"/>
    <mergeCell ref="C92:E92"/>
    <mergeCell ref="C65:F65"/>
    <mergeCell ref="G65:J65"/>
    <mergeCell ref="K65:N65"/>
    <mergeCell ref="O65:R65"/>
    <mergeCell ref="A1:E1"/>
    <mergeCell ref="D20:E20"/>
    <mergeCell ref="A21:B21"/>
    <mergeCell ref="A29:D29"/>
    <mergeCell ref="A30:B30"/>
  </mergeCells>
  <hyperlinks>
    <hyperlink ref="O64" r:id="rId1" display="https://www.semanticscholar.org/paper/Differences-in-grain%2Fstraw-ratio%2C-protein-content-Konvalina-Stehno/c8920241b02879926ffb06363c1fe2306dde4d96/figure/4" xr:uid="{4D91733A-F8B4-4A3B-935A-9B5978418B1D}"/>
    <hyperlink ref="X64" r:id="rId2" display="https://www.researchgate.net/publication/317051989_A_Spatially_Explicit_Optimization_Model_for_Agricultural_Straw-Based_Power_Plant_Site_Selection_A_Case_Study_in_Hubei_Province_China/figures?lo=1" xr:uid="{A8A9E583-67B4-4E9B-8795-5C3FE9A4123D}"/>
    <hyperlink ref="O218" r:id="rId3" xr:uid="{09CD1712-A926-4C1B-8AE4-3F933465C0DE}"/>
    <hyperlink ref="H64" r:id="rId4" xr:uid="{409BB478-7826-47AA-B42B-23BA0E29BB95}"/>
    <hyperlink ref="I131" r:id="rId5" xr:uid="{E0DCCA84-3F54-476A-A69F-A71E2770BEDD}"/>
    <hyperlink ref="H126" r:id="rId6" xr:uid="{66F3AE2D-54F4-44C3-9631-29B7ACCDAF49}"/>
    <hyperlink ref="H128" r:id="rId7" location=":~:text=The%20study%2C%20published%20today%20in,estimate%20of%20%2451%20per%20ton. " xr:uid="{97FF8037-1B58-48B7-A213-EB58E87EDC55}"/>
  </hyperlinks>
  <pageMargins left="0.7" right="0.7" top="0.75" bottom="0.75" header="0.3" footer="0.3"/>
  <pageSetup orientation="portrait" r:id="rId8"/>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113BA-4D37-49D7-9399-2B288757CF74}">
  <dimension ref="A1:Z53"/>
  <sheetViews>
    <sheetView topLeftCell="A19" workbookViewId="0">
      <selection activeCell="I51" sqref="I51"/>
    </sheetView>
  </sheetViews>
  <sheetFormatPr defaultColWidth="8.85546875" defaultRowHeight="15" x14ac:dyDescent="0.25"/>
  <cols>
    <col min="1" max="1" width="2.85546875" bestFit="1" customWidth="1"/>
    <col min="2" max="2" width="15" customWidth="1"/>
    <col min="3" max="3" width="8.42578125" customWidth="1"/>
    <col min="5" max="5" width="11.28515625" customWidth="1"/>
    <col min="6" max="6" width="8.5703125" customWidth="1"/>
    <col min="7" max="7" width="10.5703125" customWidth="1"/>
    <col min="8" max="8" width="19.7109375" customWidth="1"/>
    <col min="9" max="9" width="9.140625" bestFit="1" customWidth="1"/>
    <col min="10" max="10" width="10.7109375" customWidth="1"/>
    <col min="11" max="11" width="9.5703125" customWidth="1"/>
    <col min="12" max="15" width="10.5703125" customWidth="1"/>
    <col min="16" max="16" width="9.140625" bestFit="1" customWidth="1"/>
    <col min="17" max="17" width="10.140625" bestFit="1" customWidth="1"/>
    <col min="18" max="18" width="12.28515625" customWidth="1"/>
    <col min="19" max="19" width="13.140625" customWidth="1"/>
    <col min="20" max="20" width="10.5703125" customWidth="1"/>
    <col min="21" max="21" width="11.5703125" customWidth="1"/>
    <col min="22" max="22" width="12.5703125" customWidth="1"/>
    <col min="23" max="23" width="11.7109375" customWidth="1"/>
    <col min="24" max="24" width="13.5703125" customWidth="1"/>
    <col min="25" max="25" width="11.28515625" customWidth="1"/>
    <col min="26" max="26" width="12.85546875" customWidth="1"/>
  </cols>
  <sheetData>
    <row r="1" spans="1:26" x14ac:dyDescent="0.25">
      <c r="C1" s="16"/>
      <c r="D1" s="16"/>
      <c r="E1" s="85"/>
      <c r="F1" s="85"/>
      <c r="G1" s="85"/>
      <c r="H1" s="85"/>
      <c r="I1" s="85"/>
      <c r="J1" s="85"/>
    </row>
    <row r="2" spans="1:26" ht="28.7" customHeight="1" x14ac:dyDescent="0.25">
      <c r="A2" s="834" t="s">
        <v>100</v>
      </c>
      <c r="B2" s="756" t="s">
        <v>101</v>
      </c>
      <c r="C2" s="762" t="s">
        <v>579</v>
      </c>
      <c r="D2" s="763"/>
      <c r="E2" s="763"/>
      <c r="F2" s="763"/>
      <c r="G2" s="763"/>
      <c r="H2" s="763"/>
      <c r="I2" s="763"/>
      <c r="J2" s="770"/>
      <c r="K2" s="762" t="s">
        <v>580</v>
      </c>
      <c r="L2" s="763"/>
      <c r="M2" s="763"/>
      <c r="N2" s="763"/>
      <c r="O2" s="763"/>
      <c r="P2" s="763"/>
      <c r="Q2" s="763"/>
      <c r="R2" s="770"/>
      <c r="S2" s="762" t="s">
        <v>581</v>
      </c>
      <c r="T2" s="763"/>
      <c r="U2" s="763"/>
      <c r="V2" s="763"/>
      <c r="W2" s="763"/>
      <c r="X2" s="763"/>
      <c r="Y2" s="763"/>
      <c r="Z2" s="770"/>
    </row>
    <row r="3" spans="1:26" ht="30" x14ac:dyDescent="0.25">
      <c r="A3" s="835"/>
      <c r="B3" s="756"/>
      <c r="C3" s="210" t="s">
        <v>24</v>
      </c>
      <c r="D3" s="210" t="s">
        <v>26</v>
      </c>
      <c r="E3" s="210" t="s">
        <v>28</v>
      </c>
      <c r="F3" s="210" t="s">
        <v>30</v>
      </c>
      <c r="G3" s="210" t="s">
        <v>582</v>
      </c>
      <c r="H3" s="210" t="s">
        <v>552</v>
      </c>
      <c r="I3" s="210" t="s">
        <v>583</v>
      </c>
      <c r="J3" s="174" t="s">
        <v>584</v>
      </c>
      <c r="K3" s="210" t="s">
        <v>24</v>
      </c>
      <c r="L3" s="210" t="s">
        <v>26</v>
      </c>
      <c r="M3" s="210" t="s">
        <v>28</v>
      </c>
      <c r="N3" s="210" t="s">
        <v>30</v>
      </c>
      <c r="O3" s="210" t="s">
        <v>582</v>
      </c>
      <c r="P3" s="210" t="s">
        <v>552</v>
      </c>
      <c r="Q3" s="210" t="s">
        <v>583</v>
      </c>
      <c r="R3" s="174" t="s">
        <v>585</v>
      </c>
      <c r="S3" s="210" t="s">
        <v>24</v>
      </c>
      <c r="T3" s="210" t="s">
        <v>26</v>
      </c>
      <c r="U3" s="210" t="s">
        <v>28</v>
      </c>
      <c r="V3" s="210" t="s">
        <v>30</v>
      </c>
      <c r="W3" s="210" t="s">
        <v>582</v>
      </c>
      <c r="X3" s="210" t="s">
        <v>552</v>
      </c>
      <c r="Y3" s="210" t="s">
        <v>583</v>
      </c>
      <c r="Z3" s="174" t="s">
        <v>585</v>
      </c>
    </row>
    <row r="4" spans="1:26" x14ac:dyDescent="0.25">
      <c r="A4" s="13">
        <v>1</v>
      </c>
      <c r="B4" s="13" t="s">
        <v>139</v>
      </c>
      <c r="C4" s="710"/>
      <c r="D4" s="710"/>
      <c r="E4" s="711"/>
      <c r="F4" s="711"/>
      <c r="G4" s="711"/>
      <c r="H4" s="164"/>
      <c r="I4" s="253"/>
      <c r="J4" s="173">
        <f t="shared" ref="J4" si="0">SUM(C4:I4)</f>
        <v>0</v>
      </c>
      <c r="K4" s="97">
        <f>1000*C4*$E$50/(1000000)</f>
        <v>0</v>
      </c>
      <c r="L4" s="97">
        <f t="shared" ref="L4:Q19" si="1">1000*D4*$E$50/(1000000)</f>
        <v>0</v>
      </c>
      <c r="M4" s="97">
        <f t="shared" si="1"/>
        <v>0</v>
      </c>
      <c r="N4" s="97">
        <f t="shared" si="1"/>
        <v>0</v>
      </c>
      <c r="O4" s="97">
        <f t="shared" si="1"/>
        <v>0</v>
      </c>
      <c r="P4" s="97">
        <f t="shared" si="1"/>
        <v>0</v>
      </c>
      <c r="Q4" s="97">
        <f t="shared" si="1"/>
        <v>0</v>
      </c>
      <c r="R4" s="173">
        <f t="shared" ref="R4" si="2">SUM(K4:Q4)</f>
        <v>0</v>
      </c>
      <c r="S4" s="97">
        <f>K4*$G$51</f>
        <v>0</v>
      </c>
      <c r="T4" s="97">
        <f t="shared" ref="T4:X4" si="3">L4*$G$51</f>
        <v>0</v>
      </c>
      <c r="U4" s="97">
        <f t="shared" si="3"/>
        <v>0</v>
      </c>
      <c r="V4" s="97">
        <f t="shared" si="3"/>
        <v>0</v>
      </c>
      <c r="W4" s="97">
        <f t="shared" si="3"/>
        <v>0</v>
      </c>
      <c r="X4" s="97">
        <f t="shared" si="3"/>
        <v>0</v>
      </c>
      <c r="Y4" s="97">
        <f>Q4*$G$51</f>
        <v>0</v>
      </c>
      <c r="Z4" s="173">
        <f t="shared" ref="Z4" si="4">SUM(S4:Y4)</f>
        <v>0</v>
      </c>
    </row>
    <row r="5" spans="1:26" x14ac:dyDescent="0.25">
      <c r="A5" s="13">
        <v>2</v>
      </c>
      <c r="B5" s="13" t="s">
        <v>140</v>
      </c>
      <c r="C5" s="710"/>
      <c r="D5" s="710"/>
      <c r="E5" s="711"/>
      <c r="F5" s="711"/>
      <c r="G5" s="711"/>
      <c r="H5" s="164"/>
      <c r="I5" s="253"/>
      <c r="J5" s="173">
        <f t="shared" ref="J5:J27" si="5">SUM(C5:I5)</f>
        <v>0</v>
      </c>
      <c r="K5" s="97">
        <f>1000*C5*$E$50/(1000000)</f>
        <v>0</v>
      </c>
      <c r="L5" s="97">
        <f t="shared" si="1"/>
        <v>0</v>
      </c>
      <c r="M5" s="97">
        <f t="shared" si="1"/>
        <v>0</v>
      </c>
      <c r="N5" s="97">
        <f t="shared" si="1"/>
        <v>0</v>
      </c>
      <c r="O5" s="97">
        <f t="shared" si="1"/>
        <v>0</v>
      </c>
      <c r="P5" s="97">
        <f t="shared" si="1"/>
        <v>0</v>
      </c>
      <c r="Q5" s="97">
        <f t="shared" si="1"/>
        <v>0</v>
      </c>
      <c r="R5" s="173">
        <f t="shared" ref="R5:R27" si="6">SUM(K5:Q5)</f>
        <v>0</v>
      </c>
      <c r="S5" s="97">
        <f t="shared" ref="S5:S27" si="7">K5*$G$51</f>
        <v>0</v>
      </c>
      <c r="T5" s="97">
        <f t="shared" ref="T5:T27" si="8">L5*$G$51</f>
        <v>0</v>
      </c>
      <c r="U5" s="97">
        <f t="shared" ref="U5:U27" si="9">M5*$G$51</f>
        <v>0</v>
      </c>
      <c r="V5" s="97">
        <f t="shared" ref="V5:V27" si="10">N5*$G$51</f>
        <v>0</v>
      </c>
      <c r="W5" s="97">
        <f t="shared" ref="W5:W27" si="11">O5*$G$51</f>
        <v>0</v>
      </c>
      <c r="X5" s="97">
        <f t="shared" ref="X5:X27" si="12">P5*$G$51</f>
        <v>0</v>
      </c>
      <c r="Y5" s="97">
        <f t="shared" ref="Y5:Y27" si="13">Q5*$G$51</f>
        <v>0</v>
      </c>
      <c r="Z5" s="173">
        <f t="shared" ref="Z5:Z27" si="14">SUM(S5:Y5)</f>
        <v>0</v>
      </c>
    </row>
    <row r="6" spans="1:26" x14ac:dyDescent="0.25">
      <c r="A6" s="13">
        <v>3</v>
      </c>
      <c r="B6" s="13" t="s">
        <v>141</v>
      </c>
      <c r="C6" s="710"/>
      <c r="D6" s="710"/>
      <c r="E6" s="711"/>
      <c r="F6" s="711"/>
      <c r="G6" s="711"/>
      <c r="H6" s="164"/>
      <c r="I6" s="253"/>
      <c r="J6" s="173">
        <f t="shared" si="5"/>
        <v>0</v>
      </c>
      <c r="K6" s="97">
        <f t="shared" ref="K6:K27" si="15">1000*C6*$E$50/(1000000)</f>
        <v>0</v>
      </c>
      <c r="L6" s="97">
        <f t="shared" si="1"/>
        <v>0</v>
      </c>
      <c r="M6" s="97">
        <f t="shared" si="1"/>
        <v>0</v>
      </c>
      <c r="N6" s="97">
        <f t="shared" si="1"/>
        <v>0</v>
      </c>
      <c r="O6" s="97">
        <f t="shared" si="1"/>
        <v>0</v>
      </c>
      <c r="P6" s="97">
        <f t="shared" si="1"/>
        <v>0</v>
      </c>
      <c r="Q6" s="97">
        <f t="shared" si="1"/>
        <v>0</v>
      </c>
      <c r="R6" s="173">
        <f t="shared" si="6"/>
        <v>0</v>
      </c>
      <c r="S6" s="97">
        <f t="shared" si="7"/>
        <v>0</v>
      </c>
      <c r="T6" s="97">
        <f t="shared" si="8"/>
        <v>0</v>
      </c>
      <c r="U6" s="97">
        <f t="shared" si="9"/>
        <v>0</v>
      </c>
      <c r="V6" s="97">
        <f t="shared" si="10"/>
        <v>0</v>
      </c>
      <c r="W6" s="97">
        <f t="shared" si="11"/>
        <v>0</v>
      </c>
      <c r="X6" s="97">
        <f t="shared" si="12"/>
        <v>0</v>
      </c>
      <c r="Y6" s="97">
        <f t="shared" si="13"/>
        <v>0</v>
      </c>
      <c r="Z6" s="173">
        <f t="shared" si="14"/>
        <v>0</v>
      </c>
    </row>
    <row r="7" spans="1:26" x14ac:dyDescent="0.25">
      <c r="A7" s="13">
        <v>4</v>
      </c>
      <c r="B7" s="13" t="s">
        <v>142</v>
      </c>
      <c r="C7" s="710"/>
      <c r="D7" s="710"/>
      <c r="E7" s="711"/>
      <c r="F7" s="711"/>
      <c r="G7" s="711"/>
      <c r="H7" s="164"/>
      <c r="I7" s="253"/>
      <c r="J7" s="173">
        <f t="shared" si="5"/>
        <v>0</v>
      </c>
      <c r="K7" s="97">
        <f t="shared" si="15"/>
        <v>0</v>
      </c>
      <c r="L7" s="97">
        <f t="shared" si="1"/>
        <v>0</v>
      </c>
      <c r="M7" s="97">
        <f t="shared" si="1"/>
        <v>0</v>
      </c>
      <c r="N7" s="97">
        <f t="shared" si="1"/>
        <v>0</v>
      </c>
      <c r="O7" s="97">
        <f t="shared" si="1"/>
        <v>0</v>
      </c>
      <c r="P7" s="97">
        <f t="shared" si="1"/>
        <v>0</v>
      </c>
      <c r="Q7" s="97">
        <f t="shared" si="1"/>
        <v>0</v>
      </c>
      <c r="R7" s="173">
        <f t="shared" si="6"/>
        <v>0</v>
      </c>
      <c r="S7" s="97">
        <f t="shared" si="7"/>
        <v>0</v>
      </c>
      <c r="T7" s="97">
        <f t="shared" si="8"/>
        <v>0</v>
      </c>
      <c r="U7" s="97">
        <f t="shared" si="9"/>
        <v>0</v>
      </c>
      <c r="V7" s="97">
        <f t="shared" si="10"/>
        <v>0</v>
      </c>
      <c r="W7" s="97">
        <f t="shared" si="11"/>
        <v>0</v>
      </c>
      <c r="X7" s="97">
        <f t="shared" si="12"/>
        <v>0</v>
      </c>
      <c r="Y7" s="97">
        <f t="shared" si="13"/>
        <v>0</v>
      </c>
      <c r="Z7" s="173">
        <f t="shared" si="14"/>
        <v>0</v>
      </c>
    </row>
    <row r="8" spans="1:26" x14ac:dyDescent="0.25">
      <c r="A8" s="13">
        <v>5</v>
      </c>
      <c r="B8" s="13" t="s">
        <v>143</v>
      </c>
      <c r="C8" s="710"/>
      <c r="D8" s="710"/>
      <c r="E8" s="711"/>
      <c r="F8" s="711"/>
      <c r="G8" s="711"/>
      <c r="H8" s="164"/>
      <c r="I8" s="253"/>
      <c r="J8" s="173">
        <f t="shared" si="5"/>
        <v>0</v>
      </c>
      <c r="K8" s="97">
        <f t="shared" si="15"/>
        <v>0</v>
      </c>
      <c r="L8" s="97">
        <f t="shared" si="1"/>
        <v>0</v>
      </c>
      <c r="M8" s="97">
        <f t="shared" si="1"/>
        <v>0</v>
      </c>
      <c r="N8" s="97">
        <f t="shared" si="1"/>
        <v>0</v>
      </c>
      <c r="O8" s="97">
        <f t="shared" si="1"/>
        <v>0</v>
      </c>
      <c r="P8" s="97">
        <f t="shared" si="1"/>
        <v>0</v>
      </c>
      <c r="Q8" s="97">
        <f t="shared" si="1"/>
        <v>0</v>
      </c>
      <c r="R8" s="173">
        <f t="shared" si="6"/>
        <v>0</v>
      </c>
      <c r="S8" s="97">
        <f t="shared" si="7"/>
        <v>0</v>
      </c>
      <c r="T8" s="97">
        <f t="shared" si="8"/>
        <v>0</v>
      </c>
      <c r="U8" s="97">
        <f t="shared" si="9"/>
        <v>0</v>
      </c>
      <c r="V8" s="97">
        <f t="shared" si="10"/>
        <v>0</v>
      </c>
      <c r="W8" s="97">
        <f t="shared" si="11"/>
        <v>0</v>
      </c>
      <c r="X8" s="97">
        <f t="shared" si="12"/>
        <v>0</v>
      </c>
      <c r="Y8" s="97">
        <f t="shared" si="13"/>
        <v>0</v>
      </c>
      <c r="Z8" s="173">
        <f t="shared" si="14"/>
        <v>0</v>
      </c>
    </row>
    <row r="9" spans="1:26" x14ac:dyDescent="0.25">
      <c r="A9" s="13">
        <v>6</v>
      </c>
      <c r="B9" s="13" t="s">
        <v>144</v>
      </c>
      <c r="C9" s="710"/>
      <c r="D9" s="710"/>
      <c r="E9" s="711"/>
      <c r="F9" s="711"/>
      <c r="G9" s="711"/>
      <c r="H9" s="164"/>
      <c r="I9" s="253"/>
      <c r="J9" s="173">
        <f t="shared" si="5"/>
        <v>0</v>
      </c>
      <c r="K9" s="97">
        <f t="shared" si="15"/>
        <v>0</v>
      </c>
      <c r="L9" s="97">
        <f t="shared" si="1"/>
        <v>0</v>
      </c>
      <c r="M9" s="97">
        <f t="shared" si="1"/>
        <v>0</v>
      </c>
      <c r="N9" s="97">
        <f t="shared" si="1"/>
        <v>0</v>
      </c>
      <c r="O9" s="97">
        <f t="shared" si="1"/>
        <v>0</v>
      </c>
      <c r="P9" s="97">
        <f t="shared" si="1"/>
        <v>0</v>
      </c>
      <c r="Q9" s="97">
        <f t="shared" si="1"/>
        <v>0</v>
      </c>
      <c r="R9" s="173">
        <f t="shared" si="6"/>
        <v>0</v>
      </c>
      <c r="S9" s="97">
        <f t="shared" si="7"/>
        <v>0</v>
      </c>
      <c r="T9" s="97">
        <f t="shared" si="8"/>
        <v>0</v>
      </c>
      <c r="U9" s="97">
        <f t="shared" si="9"/>
        <v>0</v>
      </c>
      <c r="V9" s="97">
        <f t="shared" si="10"/>
        <v>0</v>
      </c>
      <c r="W9" s="97">
        <f t="shared" si="11"/>
        <v>0</v>
      </c>
      <c r="X9" s="97">
        <f t="shared" si="12"/>
        <v>0</v>
      </c>
      <c r="Y9" s="97">
        <f t="shared" si="13"/>
        <v>0</v>
      </c>
      <c r="Z9" s="173">
        <f t="shared" si="14"/>
        <v>0</v>
      </c>
    </row>
    <row r="10" spans="1:26" x14ac:dyDescent="0.25">
      <c r="A10" s="13">
        <v>7</v>
      </c>
      <c r="B10" s="13" t="s">
        <v>145</v>
      </c>
      <c r="C10" s="710"/>
      <c r="D10" s="710"/>
      <c r="E10" s="711"/>
      <c r="F10" s="711"/>
      <c r="G10" s="711"/>
      <c r="H10" s="164"/>
      <c r="I10" s="253"/>
      <c r="J10" s="173">
        <f t="shared" si="5"/>
        <v>0</v>
      </c>
      <c r="K10" s="97">
        <f t="shared" si="15"/>
        <v>0</v>
      </c>
      <c r="L10" s="97">
        <f t="shared" si="1"/>
        <v>0</v>
      </c>
      <c r="M10" s="97">
        <f t="shared" si="1"/>
        <v>0</v>
      </c>
      <c r="N10" s="97">
        <f t="shared" si="1"/>
        <v>0</v>
      </c>
      <c r="O10" s="97">
        <f t="shared" si="1"/>
        <v>0</v>
      </c>
      <c r="P10" s="97">
        <f t="shared" si="1"/>
        <v>0</v>
      </c>
      <c r="Q10" s="97">
        <f t="shared" si="1"/>
        <v>0</v>
      </c>
      <c r="R10" s="173">
        <f t="shared" si="6"/>
        <v>0</v>
      </c>
      <c r="S10" s="97">
        <f t="shared" si="7"/>
        <v>0</v>
      </c>
      <c r="T10" s="97">
        <f t="shared" si="8"/>
        <v>0</v>
      </c>
      <c r="U10" s="97">
        <f t="shared" si="9"/>
        <v>0</v>
      </c>
      <c r="V10" s="97">
        <f t="shared" si="10"/>
        <v>0</v>
      </c>
      <c r="W10" s="97">
        <f t="shared" si="11"/>
        <v>0</v>
      </c>
      <c r="X10" s="97">
        <f t="shared" si="12"/>
        <v>0</v>
      </c>
      <c r="Y10" s="97">
        <f t="shared" si="13"/>
        <v>0</v>
      </c>
      <c r="Z10" s="173">
        <f t="shared" si="14"/>
        <v>0</v>
      </c>
    </row>
    <row r="11" spans="1:26" x14ac:dyDescent="0.25">
      <c r="A11" s="13">
        <v>8</v>
      </c>
      <c r="B11" s="13" t="s">
        <v>146</v>
      </c>
      <c r="C11" s="710"/>
      <c r="D11" s="710"/>
      <c r="E11" s="711"/>
      <c r="F11" s="711"/>
      <c r="G11" s="711"/>
      <c r="H11" s="164"/>
      <c r="I11" s="253"/>
      <c r="J11" s="173">
        <f t="shared" si="5"/>
        <v>0</v>
      </c>
      <c r="K11" s="97">
        <f t="shared" si="15"/>
        <v>0</v>
      </c>
      <c r="L11" s="97">
        <f t="shared" si="1"/>
        <v>0</v>
      </c>
      <c r="M11" s="97">
        <f t="shared" si="1"/>
        <v>0</v>
      </c>
      <c r="N11" s="97">
        <f t="shared" si="1"/>
        <v>0</v>
      </c>
      <c r="O11" s="97">
        <f t="shared" si="1"/>
        <v>0</v>
      </c>
      <c r="P11" s="97">
        <f t="shared" si="1"/>
        <v>0</v>
      </c>
      <c r="Q11" s="97">
        <f t="shared" si="1"/>
        <v>0</v>
      </c>
      <c r="R11" s="173">
        <f t="shared" si="6"/>
        <v>0</v>
      </c>
      <c r="S11" s="97">
        <f t="shared" si="7"/>
        <v>0</v>
      </c>
      <c r="T11" s="97">
        <f t="shared" si="8"/>
        <v>0</v>
      </c>
      <c r="U11" s="97">
        <f t="shared" si="9"/>
        <v>0</v>
      </c>
      <c r="V11" s="97">
        <f t="shared" si="10"/>
        <v>0</v>
      </c>
      <c r="W11" s="97">
        <f t="shared" si="11"/>
        <v>0</v>
      </c>
      <c r="X11" s="97">
        <f t="shared" si="12"/>
        <v>0</v>
      </c>
      <c r="Y11" s="97">
        <f t="shared" si="13"/>
        <v>0</v>
      </c>
      <c r="Z11" s="173">
        <f t="shared" si="14"/>
        <v>0</v>
      </c>
    </row>
    <row r="12" spans="1:26" x14ac:dyDescent="0.25">
      <c r="A12" s="13">
        <v>9</v>
      </c>
      <c r="B12" s="13" t="s">
        <v>147</v>
      </c>
      <c r="C12" s="710"/>
      <c r="D12" s="710"/>
      <c r="E12" s="711"/>
      <c r="F12" s="711"/>
      <c r="G12" s="711"/>
      <c r="H12" s="164"/>
      <c r="I12" s="253"/>
      <c r="J12" s="173">
        <f t="shared" si="5"/>
        <v>0</v>
      </c>
      <c r="K12" s="97">
        <f t="shared" si="15"/>
        <v>0</v>
      </c>
      <c r="L12" s="97">
        <f t="shared" si="1"/>
        <v>0</v>
      </c>
      <c r="M12" s="97">
        <f t="shared" si="1"/>
        <v>0</v>
      </c>
      <c r="N12" s="97">
        <f t="shared" si="1"/>
        <v>0</v>
      </c>
      <c r="O12" s="97">
        <f t="shared" si="1"/>
        <v>0</v>
      </c>
      <c r="P12" s="97">
        <f t="shared" si="1"/>
        <v>0</v>
      </c>
      <c r="Q12" s="97">
        <f t="shared" si="1"/>
        <v>0</v>
      </c>
      <c r="R12" s="173">
        <f t="shared" si="6"/>
        <v>0</v>
      </c>
      <c r="S12" s="97">
        <f t="shared" si="7"/>
        <v>0</v>
      </c>
      <c r="T12" s="97">
        <f t="shared" si="8"/>
        <v>0</v>
      </c>
      <c r="U12" s="97">
        <f t="shared" si="9"/>
        <v>0</v>
      </c>
      <c r="V12" s="97">
        <f t="shared" si="10"/>
        <v>0</v>
      </c>
      <c r="W12" s="97">
        <f t="shared" si="11"/>
        <v>0</v>
      </c>
      <c r="X12" s="97">
        <f t="shared" si="12"/>
        <v>0</v>
      </c>
      <c r="Y12" s="97">
        <f t="shared" si="13"/>
        <v>0</v>
      </c>
      <c r="Z12" s="173">
        <f t="shared" si="14"/>
        <v>0</v>
      </c>
    </row>
    <row r="13" spans="1:26" x14ac:dyDescent="0.25">
      <c r="A13" s="13">
        <v>10</v>
      </c>
      <c r="B13" s="13" t="s">
        <v>148</v>
      </c>
      <c r="C13" s="710"/>
      <c r="D13" s="710"/>
      <c r="E13" s="711"/>
      <c r="F13" s="711"/>
      <c r="G13" s="711"/>
      <c r="H13" s="164"/>
      <c r="I13" s="253"/>
      <c r="J13" s="173">
        <f t="shared" si="5"/>
        <v>0</v>
      </c>
      <c r="K13" s="97">
        <f t="shared" si="15"/>
        <v>0</v>
      </c>
      <c r="L13" s="97">
        <f t="shared" si="1"/>
        <v>0</v>
      </c>
      <c r="M13" s="97">
        <f t="shared" si="1"/>
        <v>0</v>
      </c>
      <c r="N13" s="97">
        <f t="shared" si="1"/>
        <v>0</v>
      </c>
      <c r="O13" s="97">
        <f t="shared" si="1"/>
        <v>0</v>
      </c>
      <c r="P13" s="97">
        <f t="shared" si="1"/>
        <v>0</v>
      </c>
      <c r="Q13" s="97">
        <f t="shared" si="1"/>
        <v>0</v>
      </c>
      <c r="R13" s="173">
        <f t="shared" si="6"/>
        <v>0</v>
      </c>
      <c r="S13" s="97">
        <f t="shared" si="7"/>
        <v>0</v>
      </c>
      <c r="T13" s="97">
        <f t="shared" si="8"/>
        <v>0</v>
      </c>
      <c r="U13" s="97">
        <f t="shared" si="9"/>
        <v>0</v>
      </c>
      <c r="V13" s="97">
        <f t="shared" si="10"/>
        <v>0</v>
      </c>
      <c r="W13" s="97">
        <f t="shared" si="11"/>
        <v>0</v>
      </c>
      <c r="X13" s="97">
        <f t="shared" si="12"/>
        <v>0</v>
      </c>
      <c r="Y13" s="97">
        <f t="shared" si="13"/>
        <v>0</v>
      </c>
      <c r="Z13" s="173">
        <f t="shared" si="14"/>
        <v>0</v>
      </c>
    </row>
    <row r="14" spans="1:26" x14ac:dyDescent="0.25">
      <c r="A14" s="13">
        <v>11</v>
      </c>
      <c r="B14" s="13" t="s">
        <v>149</v>
      </c>
      <c r="C14" s="710"/>
      <c r="D14" s="710"/>
      <c r="E14" s="711"/>
      <c r="F14" s="711"/>
      <c r="G14" s="711"/>
      <c r="H14" s="164"/>
      <c r="I14" s="253"/>
      <c r="J14" s="173">
        <f t="shared" si="5"/>
        <v>0</v>
      </c>
      <c r="K14" s="97">
        <f t="shared" si="15"/>
        <v>0</v>
      </c>
      <c r="L14" s="97">
        <f t="shared" si="1"/>
        <v>0</v>
      </c>
      <c r="M14" s="97">
        <f t="shared" si="1"/>
        <v>0</v>
      </c>
      <c r="N14" s="97">
        <f t="shared" si="1"/>
        <v>0</v>
      </c>
      <c r="O14" s="97">
        <f t="shared" si="1"/>
        <v>0</v>
      </c>
      <c r="P14" s="97">
        <f t="shared" si="1"/>
        <v>0</v>
      </c>
      <c r="Q14" s="97">
        <f t="shared" si="1"/>
        <v>0</v>
      </c>
      <c r="R14" s="173">
        <f t="shared" si="6"/>
        <v>0</v>
      </c>
      <c r="S14" s="97">
        <f t="shared" si="7"/>
        <v>0</v>
      </c>
      <c r="T14" s="97">
        <f t="shared" si="8"/>
        <v>0</v>
      </c>
      <c r="U14" s="97">
        <f t="shared" si="9"/>
        <v>0</v>
      </c>
      <c r="V14" s="97">
        <f t="shared" si="10"/>
        <v>0</v>
      </c>
      <c r="W14" s="97">
        <f t="shared" si="11"/>
        <v>0</v>
      </c>
      <c r="X14" s="97">
        <f t="shared" si="12"/>
        <v>0</v>
      </c>
      <c r="Y14" s="97">
        <f t="shared" si="13"/>
        <v>0</v>
      </c>
      <c r="Z14" s="173">
        <f t="shared" si="14"/>
        <v>0</v>
      </c>
    </row>
    <row r="15" spans="1:26" x14ac:dyDescent="0.25">
      <c r="A15" s="13">
        <v>12</v>
      </c>
      <c r="B15" s="13" t="s">
        <v>150</v>
      </c>
      <c r="C15" s="710"/>
      <c r="D15" s="710"/>
      <c r="E15" s="711"/>
      <c r="F15" s="711"/>
      <c r="G15" s="711"/>
      <c r="H15" s="164"/>
      <c r="I15" s="253"/>
      <c r="J15" s="173">
        <f t="shared" si="5"/>
        <v>0</v>
      </c>
      <c r="K15" s="97">
        <f t="shared" si="15"/>
        <v>0</v>
      </c>
      <c r="L15" s="97">
        <f t="shared" si="1"/>
        <v>0</v>
      </c>
      <c r="M15" s="97">
        <f t="shared" si="1"/>
        <v>0</v>
      </c>
      <c r="N15" s="97">
        <f t="shared" si="1"/>
        <v>0</v>
      </c>
      <c r="O15" s="97">
        <f t="shared" si="1"/>
        <v>0</v>
      </c>
      <c r="P15" s="97">
        <f t="shared" si="1"/>
        <v>0</v>
      </c>
      <c r="Q15" s="97">
        <f t="shared" si="1"/>
        <v>0</v>
      </c>
      <c r="R15" s="173">
        <f t="shared" si="6"/>
        <v>0</v>
      </c>
      <c r="S15" s="97">
        <f t="shared" si="7"/>
        <v>0</v>
      </c>
      <c r="T15" s="97">
        <f t="shared" si="8"/>
        <v>0</v>
      </c>
      <c r="U15" s="97">
        <f t="shared" si="9"/>
        <v>0</v>
      </c>
      <c r="V15" s="97">
        <f t="shared" si="10"/>
        <v>0</v>
      </c>
      <c r="W15" s="97">
        <f t="shared" si="11"/>
        <v>0</v>
      </c>
      <c r="X15" s="97">
        <f t="shared" si="12"/>
        <v>0</v>
      </c>
      <c r="Y15" s="97">
        <f t="shared" si="13"/>
        <v>0</v>
      </c>
      <c r="Z15" s="173">
        <f t="shared" si="14"/>
        <v>0</v>
      </c>
    </row>
    <row r="16" spans="1:26" x14ac:dyDescent="0.25">
      <c r="A16" s="13">
        <v>13</v>
      </c>
      <c r="B16" s="13" t="s">
        <v>151</v>
      </c>
      <c r="C16" s="710"/>
      <c r="D16" s="710"/>
      <c r="E16" s="711"/>
      <c r="F16" s="711"/>
      <c r="G16" s="711"/>
      <c r="H16" s="164"/>
      <c r="I16" s="253"/>
      <c r="J16" s="173">
        <f t="shared" si="5"/>
        <v>0</v>
      </c>
      <c r="K16" s="97">
        <f t="shared" si="15"/>
        <v>0</v>
      </c>
      <c r="L16" s="97">
        <f t="shared" si="1"/>
        <v>0</v>
      </c>
      <c r="M16" s="97">
        <f t="shared" si="1"/>
        <v>0</v>
      </c>
      <c r="N16" s="97">
        <f t="shared" si="1"/>
        <v>0</v>
      </c>
      <c r="O16" s="97">
        <f t="shared" si="1"/>
        <v>0</v>
      </c>
      <c r="P16" s="97">
        <f t="shared" si="1"/>
        <v>0</v>
      </c>
      <c r="Q16" s="97">
        <f t="shared" si="1"/>
        <v>0</v>
      </c>
      <c r="R16" s="173">
        <f t="shared" si="6"/>
        <v>0</v>
      </c>
      <c r="S16" s="97">
        <f t="shared" si="7"/>
        <v>0</v>
      </c>
      <c r="T16" s="97">
        <f t="shared" si="8"/>
        <v>0</v>
      </c>
      <c r="U16" s="97">
        <f t="shared" si="9"/>
        <v>0</v>
      </c>
      <c r="V16" s="97">
        <f t="shared" si="10"/>
        <v>0</v>
      </c>
      <c r="W16" s="97">
        <f t="shared" si="11"/>
        <v>0</v>
      </c>
      <c r="X16" s="97">
        <f t="shared" si="12"/>
        <v>0</v>
      </c>
      <c r="Y16" s="97">
        <f t="shared" si="13"/>
        <v>0</v>
      </c>
      <c r="Z16" s="173">
        <f t="shared" si="14"/>
        <v>0</v>
      </c>
    </row>
    <row r="17" spans="1:26" x14ac:dyDescent="0.25">
      <c r="A17" s="13">
        <v>14</v>
      </c>
      <c r="B17" s="13" t="s">
        <v>152</v>
      </c>
      <c r="C17" s="710"/>
      <c r="D17" s="710"/>
      <c r="E17" s="711"/>
      <c r="F17" s="711"/>
      <c r="G17" s="711"/>
      <c r="H17" s="164"/>
      <c r="I17" s="253"/>
      <c r="J17" s="173">
        <f t="shared" si="5"/>
        <v>0</v>
      </c>
      <c r="K17" s="97">
        <f t="shared" si="15"/>
        <v>0</v>
      </c>
      <c r="L17" s="97">
        <f t="shared" si="1"/>
        <v>0</v>
      </c>
      <c r="M17" s="97">
        <f t="shared" si="1"/>
        <v>0</v>
      </c>
      <c r="N17" s="97">
        <f t="shared" si="1"/>
        <v>0</v>
      </c>
      <c r="O17" s="97">
        <f t="shared" si="1"/>
        <v>0</v>
      </c>
      <c r="P17" s="97">
        <f t="shared" si="1"/>
        <v>0</v>
      </c>
      <c r="Q17" s="97">
        <f t="shared" si="1"/>
        <v>0</v>
      </c>
      <c r="R17" s="173">
        <f t="shared" si="6"/>
        <v>0</v>
      </c>
      <c r="S17" s="97">
        <f t="shared" si="7"/>
        <v>0</v>
      </c>
      <c r="T17" s="97">
        <f t="shared" si="8"/>
        <v>0</v>
      </c>
      <c r="U17" s="97">
        <f t="shared" si="9"/>
        <v>0</v>
      </c>
      <c r="V17" s="97">
        <f t="shared" si="10"/>
        <v>0</v>
      </c>
      <c r="W17" s="97">
        <f t="shared" si="11"/>
        <v>0</v>
      </c>
      <c r="X17" s="97">
        <f t="shared" si="12"/>
        <v>0</v>
      </c>
      <c r="Y17" s="97">
        <f t="shared" si="13"/>
        <v>0</v>
      </c>
      <c r="Z17" s="173">
        <f t="shared" si="14"/>
        <v>0</v>
      </c>
    </row>
    <row r="18" spans="1:26" x14ac:dyDescent="0.25">
      <c r="A18" s="13">
        <v>15</v>
      </c>
      <c r="B18" s="13" t="s">
        <v>153</v>
      </c>
      <c r="C18" s="710"/>
      <c r="D18" s="710"/>
      <c r="E18" s="711"/>
      <c r="F18" s="711"/>
      <c r="G18" s="711"/>
      <c r="H18" s="164"/>
      <c r="I18" s="253"/>
      <c r="J18" s="173">
        <f t="shared" si="5"/>
        <v>0</v>
      </c>
      <c r="K18" s="97">
        <f t="shared" si="15"/>
        <v>0</v>
      </c>
      <c r="L18" s="97">
        <f t="shared" si="1"/>
        <v>0</v>
      </c>
      <c r="M18" s="97">
        <f t="shared" si="1"/>
        <v>0</v>
      </c>
      <c r="N18" s="97">
        <f t="shared" si="1"/>
        <v>0</v>
      </c>
      <c r="O18" s="97">
        <f t="shared" si="1"/>
        <v>0</v>
      </c>
      <c r="P18" s="97">
        <f t="shared" si="1"/>
        <v>0</v>
      </c>
      <c r="Q18" s="97">
        <f t="shared" si="1"/>
        <v>0</v>
      </c>
      <c r="R18" s="173">
        <f t="shared" si="6"/>
        <v>0</v>
      </c>
      <c r="S18" s="97">
        <f t="shared" si="7"/>
        <v>0</v>
      </c>
      <c r="T18" s="97">
        <f t="shared" si="8"/>
        <v>0</v>
      </c>
      <c r="U18" s="97">
        <f t="shared" si="9"/>
        <v>0</v>
      </c>
      <c r="V18" s="97">
        <f t="shared" si="10"/>
        <v>0</v>
      </c>
      <c r="W18" s="97">
        <f t="shared" si="11"/>
        <v>0</v>
      </c>
      <c r="X18" s="97">
        <f t="shared" si="12"/>
        <v>0</v>
      </c>
      <c r="Y18" s="97">
        <f t="shared" si="13"/>
        <v>0</v>
      </c>
      <c r="Z18" s="173">
        <f t="shared" si="14"/>
        <v>0</v>
      </c>
    </row>
    <row r="19" spans="1:26" x14ac:dyDescent="0.25">
      <c r="A19" s="13">
        <v>16</v>
      </c>
      <c r="B19" s="13" t="s">
        <v>154</v>
      </c>
      <c r="C19" s="710"/>
      <c r="D19" s="710"/>
      <c r="E19" s="711"/>
      <c r="F19" s="711"/>
      <c r="G19" s="711"/>
      <c r="H19" s="164"/>
      <c r="I19" s="253"/>
      <c r="J19" s="173">
        <f t="shared" si="5"/>
        <v>0</v>
      </c>
      <c r="K19" s="97">
        <f t="shared" si="15"/>
        <v>0</v>
      </c>
      <c r="L19" s="97">
        <f t="shared" si="1"/>
        <v>0</v>
      </c>
      <c r="M19" s="97">
        <f t="shared" si="1"/>
        <v>0</v>
      </c>
      <c r="N19" s="97">
        <f t="shared" si="1"/>
        <v>0</v>
      </c>
      <c r="O19" s="97">
        <f t="shared" si="1"/>
        <v>0</v>
      </c>
      <c r="P19" s="97">
        <f t="shared" si="1"/>
        <v>0</v>
      </c>
      <c r="Q19" s="97">
        <f t="shared" si="1"/>
        <v>0</v>
      </c>
      <c r="R19" s="173">
        <f t="shared" si="6"/>
        <v>0</v>
      </c>
      <c r="S19" s="97">
        <f t="shared" si="7"/>
        <v>0</v>
      </c>
      <c r="T19" s="97">
        <f t="shared" si="8"/>
        <v>0</v>
      </c>
      <c r="U19" s="97">
        <f t="shared" si="9"/>
        <v>0</v>
      </c>
      <c r="V19" s="97">
        <f t="shared" si="10"/>
        <v>0</v>
      </c>
      <c r="W19" s="97">
        <f t="shared" si="11"/>
        <v>0</v>
      </c>
      <c r="X19" s="97">
        <f t="shared" si="12"/>
        <v>0</v>
      </c>
      <c r="Y19" s="97">
        <f t="shared" si="13"/>
        <v>0</v>
      </c>
      <c r="Z19" s="173">
        <f t="shared" si="14"/>
        <v>0</v>
      </c>
    </row>
    <row r="20" spans="1:26" x14ac:dyDescent="0.25">
      <c r="A20" s="13">
        <v>17</v>
      </c>
      <c r="B20" s="13" t="s">
        <v>155</v>
      </c>
      <c r="C20" s="710"/>
      <c r="D20" s="710"/>
      <c r="E20" s="711"/>
      <c r="F20" s="711"/>
      <c r="G20" s="711"/>
      <c r="H20" s="164"/>
      <c r="I20" s="253"/>
      <c r="J20" s="173">
        <f t="shared" si="5"/>
        <v>0</v>
      </c>
      <c r="K20" s="97">
        <f t="shared" si="15"/>
        <v>0</v>
      </c>
      <c r="L20" s="97">
        <f t="shared" ref="L20:L27" si="16">1000*D20*$E$50/(1000000)</f>
        <v>0</v>
      </c>
      <c r="M20" s="97">
        <f t="shared" ref="M20:M27" si="17">1000*E20*$E$50/(1000000)</f>
        <v>0</v>
      </c>
      <c r="N20" s="97">
        <f t="shared" ref="N20:N27" si="18">1000*F20*$E$50/(1000000)</f>
        <v>0</v>
      </c>
      <c r="O20" s="97">
        <f t="shared" ref="O20:O27" si="19">1000*G20*$E$50/(1000000)</f>
        <v>0</v>
      </c>
      <c r="P20" s="97">
        <f t="shared" ref="P20:P27" si="20">1000*H20*$E$50/(1000000)</f>
        <v>0</v>
      </c>
      <c r="Q20" s="97">
        <f t="shared" ref="Q20:Q27" si="21">1000*I20*$E$50/(1000000)</f>
        <v>0</v>
      </c>
      <c r="R20" s="173">
        <f t="shared" si="6"/>
        <v>0</v>
      </c>
      <c r="S20" s="97">
        <f t="shared" si="7"/>
        <v>0</v>
      </c>
      <c r="T20" s="97">
        <f t="shared" si="8"/>
        <v>0</v>
      </c>
      <c r="U20" s="97">
        <f t="shared" si="9"/>
        <v>0</v>
      </c>
      <c r="V20" s="97">
        <f t="shared" si="10"/>
        <v>0</v>
      </c>
      <c r="W20" s="97">
        <f t="shared" si="11"/>
        <v>0</v>
      </c>
      <c r="X20" s="97">
        <f t="shared" si="12"/>
        <v>0</v>
      </c>
      <c r="Y20" s="97">
        <f t="shared" si="13"/>
        <v>0</v>
      </c>
      <c r="Z20" s="173">
        <f t="shared" si="14"/>
        <v>0</v>
      </c>
    </row>
    <row r="21" spans="1:26" x14ac:dyDescent="0.25">
      <c r="A21" s="13">
        <v>18</v>
      </c>
      <c r="B21" s="13" t="s">
        <v>156</v>
      </c>
      <c r="C21" s="710"/>
      <c r="D21" s="710"/>
      <c r="E21" s="711"/>
      <c r="F21" s="711"/>
      <c r="G21" s="711"/>
      <c r="H21" s="164"/>
      <c r="I21" s="253"/>
      <c r="J21" s="173">
        <f t="shared" si="5"/>
        <v>0</v>
      </c>
      <c r="K21" s="97">
        <f t="shared" si="15"/>
        <v>0</v>
      </c>
      <c r="L21" s="97">
        <f t="shared" si="16"/>
        <v>0</v>
      </c>
      <c r="M21" s="97">
        <f t="shared" si="17"/>
        <v>0</v>
      </c>
      <c r="N21" s="97">
        <f t="shared" si="18"/>
        <v>0</v>
      </c>
      <c r="O21" s="97">
        <f t="shared" si="19"/>
        <v>0</v>
      </c>
      <c r="P21" s="97">
        <f t="shared" si="20"/>
        <v>0</v>
      </c>
      <c r="Q21" s="97">
        <f t="shared" si="21"/>
        <v>0</v>
      </c>
      <c r="R21" s="173">
        <f t="shared" si="6"/>
        <v>0</v>
      </c>
      <c r="S21" s="97">
        <f t="shared" si="7"/>
        <v>0</v>
      </c>
      <c r="T21" s="97">
        <f t="shared" si="8"/>
        <v>0</v>
      </c>
      <c r="U21" s="97">
        <f t="shared" si="9"/>
        <v>0</v>
      </c>
      <c r="V21" s="97">
        <f t="shared" si="10"/>
        <v>0</v>
      </c>
      <c r="W21" s="97">
        <f t="shared" si="11"/>
        <v>0</v>
      </c>
      <c r="X21" s="97">
        <f t="shared" si="12"/>
        <v>0</v>
      </c>
      <c r="Y21" s="97">
        <f t="shared" si="13"/>
        <v>0</v>
      </c>
      <c r="Z21" s="173">
        <f t="shared" si="14"/>
        <v>0</v>
      </c>
    </row>
    <row r="22" spans="1:26" x14ac:dyDescent="0.25">
      <c r="A22" s="13">
        <v>19</v>
      </c>
      <c r="B22" s="13" t="s">
        <v>157</v>
      </c>
      <c r="C22" s="710"/>
      <c r="D22" s="710"/>
      <c r="E22" s="711"/>
      <c r="F22" s="711"/>
      <c r="G22" s="711"/>
      <c r="H22" s="164"/>
      <c r="I22" s="253"/>
      <c r="J22" s="173">
        <f t="shared" si="5"/>
        <v>0</v>
      </c>
      <c r="K22" s="97">
        <f t="shared" si="15"/>
        <v>0</v>
      </c>
      <c r="L22" s="97">
        <f t="shared" si="16"/>
        <v>0</v>
      </c>
      <c r="M22" s="97">
        <f t="shared" si="17"/>
        <v>0</v>
      </c>
      <c r="N22" s="97">
        <f t="shared" si="18"/>
        <v>0</v>
      </c>
      <c r="O22" s="97">
        <f t="shared" si="19"/>
        <v>0</v>
      </c>
      <c r="P22" s="97">
        <f t="shared" si="20"/>
        <v>0</v>
      </c>
      <c r="Q22" s="97">
        <f t="shared" si="21"/>
        <v>0</v>
      </c>
      <c r="R22" s="173">
        <f t="shared" si="6"/>
        <v>0</v>
      </c>
      <c r="S22" s="97">
        <f t="shared" si="7"/>
        <v>0</v>
      </c>
      <c r="T22" s="97">
        <f t="shared" si="8"/>
        <v>0</v>
      </c>
      <c r="U22" s="97">
        <f t="shared" si="9"/>
        <v>0</v>
      </c>
      <c r="V22" s="97">
        <f t="shared" si="10"/>
        <v>0</v>
      </c>
      <c r="W22" s="97">
        <f t="shared" si="11"/>
        <v>0</v>
      </c>
      <c r="X22" s="97">
        <f t="shared" si="12"/>
        <v>0</v>
      </c>
      <c r="Y22" s="97">
        <f t="shared" si="13"/>
        <v>0</v>
      </c>
      <c r="Z22" s="173">
        <f t="shared" si="14"/>
        <v>0</v>
      </c>
    </row>
    <row r="23" spans="1:26" x14ac:dyDescent="0.25">
      <c r="A23" s="13">
        <v>20</v>
      </c>
      <c r="B23" s="13" t="s">
        <v>158</v>
      </c>
      <c r="C23" s="710"/>
      <c r="D23" s="710"/>
      <c r="E23" s="711"/>
      <c r="F23" s="711"/>
      <c r="G23" s="711"/>
      <c r="H23" s="164"/>
      <c r="I23" s="253"/>
      <c r="J23" s="173">
        <f t="shared" si="5"/>
        <v>0</v>
      </c>
      <c r="K23" s="97">
        <f t="shared" si="15"/>
        <v>0</v>
      </c>
      <c r="L23" s="97">
        <f t="shared" si="16"/>
        <v>0</v>
      </c>
      <c r="M23" s="97">
        <f t="shared" si="17"/>
        <v>0</v>
      </c>
      <c r="N23" s="97">
        <f t="shared" si="18"/>
        <v>0</v>
      </c>
      <c r="O23" s="97">
        <f t="shared" si="19"/>
        <v>0</v>
      </c>
      <c r="P23" s="97">
        <f t="shared" si="20"/>
        <v>0</v>
      </c>
      <c r="Q23" s="97">
        <f t="shared" si="21"/>
        <v>0</v>
      </c>
      <c r="R23" s="173">
        <f t="shared" si="6"/>
        <v>0</v>
      </c>
      <c r="S23" s="97">
        <f t="shared" si="7"/>
        <v>0</v>
      </c>
      <c r="T23" s="97">
        <f t="shared" si="8"/>
        <v>0</v>
      </c>
      <c r="U23" s="97">
        <f t="shared" si="9"/>
        <v>0</v>
      </c>
      <c r="V23" s="97">
        <f t="shared" si="10"/>
        <v>0</v>
      </c>
      <c r="W23" s="97">
        <f t="shared" si="11"/>
        <v>0</v>
      </c>
      <c r="X23" s="97">
        <f t="shared" si="12"/>
        <v>0</v>
      </c>
      <c r="Y23" s="97">
        <f t="shared" si="13"/>
        <v>0</v>
      </c>
      <c r="Z23" s="173">
        <f t="shared" si="14"/>
        <v>0</v>
      </c>
    </row>
    <row r="24" spans="1:26" x14ac:dyDescent="0.25">
      <c r="A24" s="13">
        <v>21</v>
      </c>
      <c r="B24" s="13" t="s">
        <v>159</v>
      </c>
      <c r="C24" s="710"/>
      <c r="D24" s="710"/>
      <c r="E24" s="711"/>
      <c r="F24" s="711"/>
      <c r="G24" s="711"/>
      <c r="H24" s="164"/>
      <c r="I24" s="253"/>
      <c r="J24" s="173">
        <f t="shared" si="5"/>
        <v>0</v>
      </c>
      <c r="K24" s="97">
        <f t="shared" si="15"/>
        <v>0</v>
      </c>
      <c r="L24" s="97">
        <f t="shared" si="16"/>
        <v>0</v>
      </c>
      <c r="M24" s="97">
        <f t="shared" si="17"/>
        <v>0</v>
      </c>
      <c r="N24" s="97">
        <f t="shared" si="18"/>
        <v>0</v>
      </c>
      <c r="O24" s="97">
        <f t="shared" si="19"/>
        <v>0</v>
      </c>
      <c r="P24" s="97">
        <f t="shared" si="20"/>
        <v>0</v>
      </c>
      <c r="Q24" s="97">
        <f t="shared" si="21"/>
        <v>0</v>
      </c>
      <c r="R24" s="173">
        <f t="shared" si="6"/>
        <v>0</v>
      </c>
      <c r="S24" s="97">
        <f t="shared" si="7"/>
        <v>0</v>
      </c>
      <c r="T24" s="97">
        <f t="shared" si="8"/>
        <v>0</v>
      </c>
      <c r="U24" s="97">
        <f t="shared" si="9"/>
        <v>0</v>
      </c>
      <c r="V24" s="97">
        <f t="shared" si="10"/>
        <v>0</v>
      </c>
      <c r="W24" s="97">
        <f t="shared" si="11"/>
        <v>0</v>
      </c>
      <c r="X24" s="97">
        <f t="shared" si="12"/>
        <v>0</v>
      </c>
      <c r="Y24" s="97">
        <f t="shared" si="13"/>
        <v>0</v>
      </c>
      <c r="Z24" s="173">
        <f t="shared" si="14"/>
        <v>0</v>
      </c>
    </row>
    <row r="25" spans="1:26" x14ac:dyDescent="0.25">
      <c r="A25" s="13">
        <v>22</v>
      </c>
      <c r="B25" s="13" t="s">
        <v>160</v>
      </c>
      <c r="C25" s="710"/>
      <c r="D25" s="710"/>
      <c r="E25" s="711"/>
      <c r="F25" s="711"/>
      <c r="G25" s="711"/>
      <c r="H25" s="164"/>
      <c r="I25" s="253"/>
      <c r="J25" s="173">
        <f t="shared" si="5"/>
        <v>0</v>
      </c>
      <c r="K25" s="97">
        <f t="shared" si="15"/>
        <v>0</v>
      </c>
      <c r="L25" s="97">
        <f t="shared" si="16"/>
        <v>0</v>
      </c>
      <c r="M25" s="97">
        <f t="shared" si="17"/>
        <v>0</v>
      </c>
      <c r="N25" s="97">
        <f t="shared" si="18"/>
        <v>0</v>
      </c>
      <c r="O25" s="97">
        <f t="shared" si="19"/>
        <v>0</v>
      </c>
      <c r="P25" s="97">
        <f t="shared" si="20"/>
        <v>0</v>
      </c>
      <c r="Q25" s="97">
        <f t="shared" si="21"/>
        <v>0</v>
      </c>
      <c r="R25" s="173">
        <f t="shared" si="6"/>
        <v>0</v>
      </c>
      <c r="S25" s="97">
        <f t="shared" si="7"/>
        <v>0</v>
      </c>
      <c r="T25" s="97">
        <f t="shared" si="8"/>
        <v>0</v>
      </c>
      <c r="U25" s="97">
        <f t="shared" si="9"/>
        <v>0</v>
      </c>
      <c r="V25" s="97">
        <f t="shared" si="10"/>
        <v>0</v>
      </c>
      <c r="W25" s="97">
        <f t="shared" si="11"/>
        <v>0</v>
      </c>
      <c r="X25" s="97">
        <f t="shared" si="12"/>
        <v>0</v>
      </c>
      <c r="Y25" s="97">
        <f t="shared" si="13"/>
        <v>0</v>
      </c>
      <c r="Z25" s="173">
        <f t="shared" si="14"/>
        <v>0</v>
      </c>
    </row>
    <row r="26" spans="1:26" x14ac:dyDescent="0.25">
      <c r="A26" s="13">
        <v>23</v>
      </c>
      <c r="B26" s="13" t="s">
        <v>161</v>
      </c>
      <c r="C26" s="710"/>
      <c r="D26" s="710"/>
      <c r="E26" s="711"/>
      <c r="F26" s="711"/>
      <c r="G26" s="711"/>
      <c r="H26" s="164"/>
      <c r="I26" s="253"/>
      <c r="J26" s="173">
        <f t="shared" si="5"/>
        <v>0</v>
      </c>
      <c r="K26" s="97">
        <f t="shared" si="15"/>
        <v>0</v>
      </c>
      <c r="L26" s="97">
        <f t="shared" si="16"/>
        <v>0</v>
      </c>
      <c r="M26" s="97">
        <f t="shared" si="17"/>
        <v>0</v>
      </c>
      <c r="N26" s="97">
        <f t="shared" si="18"/>
        <v>0</v>
      </c>
      <c r="O26" s="97">
        <f t="shared" si="19"/>
        <v>0</v>
      </c>
      <c r="P26" s="97">
        <f t="shared" si="20"/>
        <v>0</v>
      </c>
      <c r="Q26" s="97">
        <f t="shared" si="21"/>
        <v>0</v>
      </c>
      <c r="R26" s="173">
        <f t="shared" si="6"/>
        <v>0</v>
      </c>
      <c r="S26" s="97">
        <f t="shared" si="7"/>
        <v>0</v>
      </c>
      <c r="T26" s="97">
        <f t="shared" si="8"/>
        <v>0</v>
      </c>
      <c r="U26" s="97">
        <f t="shared" si="9"/>
        <v>0</v>
      </c>
      <c r="V26" s="97">
        <f t="shared" si="10"/>
        <v>0</v>
      </c>
      <c r="W26" s="97">
        <f t="shared" si="11"/>
        <v>0</v>
      </c>
      <c r="X26" s="97">
        <f t="shared" si="12"/>
        <v>0</v>
      </c>
      <c r="Y26" s="97">
        <f t="shared" si="13"/>
        <v>0</v>
      </c>
      <c r="Z26" s="173">
        <f t="shared" si="14"/>
        <v>0</v>
      </c>
    </row>
    <row r="27" spans="1:26" x14ac:dyDescent="0.25">
      <c r="A27" s="13">
        <v>24</v>
      </c>
      <c r="B27" s="13" t="s">
        <v>162</v>
      </c>
      <c r="C27" s="710"/>
      <c r="D27" s="710"/>
      <c r="E27" s="711"/>
      <c r="F27" s="711"/>
      <c r="G27" s="711"/>
      <c r="H27" s="164"/>
      <c r="I27" s="253"/>
      <c r="J27" s="173">
        <f t="shared" si="5"/>
        <v>0</v>
      </c>
      <c r="K27" s="97">
        <f t="shared" si="15"/>
        <v>0</v>
      </c>
      <c r="L27" s="97">
        <f t="shared" si="16"/>
        <v>0</v>
      </c>
      <c r="M27" s="97">
        <f t="shared" si="17"/>
        <v>0</v>
      </c>
      <c r="N27" s="97">
        <f t="shared" si="18"/>
        <v>0</v>
      </c>
      <c r="O27" s="97">
        <f t="shared" si="19"/>
        <v>0</v>
      </c>
      <c r="P27" s="97">
        <f t="shared" si="20"/>
        <v>0</v>
      </c>
      <c r="Q27" s="97">
        <f t="shared" si="21"/>
        <v>0</v>
      </c>
      <c r="R27" s="173">
        <f t="shared" si="6"/>
        <v>0</v>
      </c>
      <c r="S27" s="97">
        <f t="shared" si="7"/>
        <v>0</v>
      </c>
      <c r="T27" s="97">
        <f t="shared" si="8"/>
        <v>0</v>
      </c>
      <c r="U27" s="97">
        <f t="shared" si="9"/>
        <v>0</v>
      </c>
      <c r="V27" s="97">
        <f t="shared" si="10"/>
        <v>0</v>
      </c>
      <c r="W27" s="97">
        <f t="shared" si="11"/>
        <v>0</v>
      </c>
      <c r="X27" s="97">
        <f t="shared" si="12"/>
        <v>0</v>
      </c>
      <c r="Y27" s="97">
        <f t="shared" si="13"/>
        <v>0</v>
      </c>
      <c r="Z27" s="173">
        <f t="shared" si="14"/>
        <v>0</v>
      </c>
    </row>
    <row r="28" spans="1:26" x14ac:dyDescent="0.25">
      <c r="A28" s="822" t="s">
        <v>163</v>
      </c>
      <c r="B28" s="823"/>
      <c r="C28" s="48">
        <f>SUM(C4:C27)</f>
        <v>0</v>
      </c>
      <c r="D28" s="48">
        <f>SUM(D4:D27)</f>
        <v>0</v>
      </c>
      <c r="E28" s="48">
        <f>SUM(E4:E27)</f>
        <v>0</v>
      </c>
      <c r="F28" s="48">
        <f>SUM(F4:F27)</f>
        <v>0</v>
      </c>
      <c r="G28" s="48">
        <f t="shared" ref="G28:I28" si="22">SUM(G4:G27)</f>
        <v>0</v>
      </c>
      <c r="H28" s="48">
        <f t="shared" si="22"/>
        <v>0</v>
      </c>
      <c r="I28" s="48">
        <f t="shared" si="22"/>
        <v>0</v>
      </c>
      <c r="J28" s="48">
        <f>SUM(J4:J27)</f>
        <v>0</v>
      </c>
      <c r="K28" s="48">
        <f>SUM(K4:K27)</f>
        <v>0</v>
      </c>
      <c r="L28" s="48">
        <f>SUM(L4:L27)</f>
        <v>0</v>
      </c>
      <c r="M28" s="48">
        <f>SUM(M4:M27)</f>
        <v>0</v>
      </c>
      <c r="N28" s="48">
        <f>SUM(N4:N27)</f>
        <v>0</v>
      </c>
      <c r="O28" s="48">
        <f t="shared" ref="O28:P28" si="23">SUM(O4:O27)</f>
        <v>0</v>
      </c>
      <c r="P28" s="48">
        <f t="shared" si="23"/>
        <v>0</v>
      </c>
      <c r="Q28" s="48">
        <f t="shared" ref="Q28" si="24">SUM(Q4:Q27)</f>
        <v>0</v>
      </c>
      <c r="R28" s="48">
        <f>SUM(R4:R27)</f>
        <v>0</v>
      </c>
      <c r="S28" s="48">
        <f>SUM(S4:S27)</f>
        <v>0</v>
      </c>
      <c r="T28" s="48">
        <f>SUM(T4:T27)</f>
        <v>0</v>
      </c>
      <c r="U28" s="48">
        <f t="shared" ref="U28:Y28" si="25">SUM(U4:U27)</f>
        <v>0</v>
      </c>
      <c r="V28" s="48">
        <f t="shared" si="25"/>
        <v>0</v>
      </c>
      <c r="W28" s="48">
        <f>SUM(W4:W27)</f>
        <v>0</v>
      </c>
      <c r="X28" s="48">
        <f>SUM(X4:X27)</f>
        <v>0</v>
      </c>
      <c r="Y28" s="48">
        <f t="shared" si="25"/>
        <v>0</v>
      </c>
      <c r="Z28" s="48">
        <f>SUM(Z4:Z27)</f>
        <v>0</v>
      </c>
    </row>
    <row r="29" spans="1:26" x14ac:dyDescent="0.25">
      <c r="C29" s="52"/>
      <c r="F29" s="249" t="b">
        <f>SUM(C28:I28)=J28</f>
        <v>1</v>
      </c>
      <c r="X29" s="249" t="b">
        <f>SUM(S28:Y28)=Z28</f>
        <v>1</v>
      </c>
    </row>
    <row r="30" spans="1:26" hidden="1" x14ac:dyDescent="0.25"/>
    <row r="31" spans="1:26" ht="28.7" hidden="1" customHeight="1" x14ac:dyDescent="0.25">
      <c r="B31" s="756" t="s">
        <v>101</v>
      </c>
      <c r="C31" s="759" t="s">
        <v>586</v>
      </c>
      <c r="D31" s="759"/>
      <c r="E31" s="759"/>
      <c r="F31" s="759"/>
      <c r="G31" s="759"/>
      <c r="H31" s="759"/>
    </row>
    <row r="32" spans="1:26" ht="43.5" hidden="1" customHeight="1" x14ac:dyDescent="0.25">
      <c r="B32" s="756"/>
      <c r="C32" s="16" t="s">
        <v>587</v>
      </c>
      <c r="D32" s="16" t="s">
        <v>588</v>
      </c>
      <c r="E32" s="85" t="s">
        <v>589</v>
      </c>
      <c r="F32" s="85" t="s">
        <v>590</v>
      </c>
      <c r="G32" s="85" t="s">
        <v>591</v>
      </c>
      <c r="H32" s="85" t="s">
        <v>592</v>
      </c>
    </row>
    <row r="33" spans="1:8" hidden="1" x14ac:dyDescent="0.25">
      <c r="A33">
        <v>1</v>
      </c>
      <c r="B33" t="s">
        <v>593</v>
      </c>
      <c r="C33" s="163">
        <v>10667.949433962263</v>
      </c>
      <c r="D33" s="163">
        <v>523.04519119351096</v>
      </c>
      <c r="E33" s="163">
        <v>23813.327999999998</v>
      </c>
      <c r="F33" s="163">
        <v>1624.7149253731345</v>
      </c>
      <c r="G33" s="163">
        <v>2721.7659999999996</v>
      </c>
      <c r="H33" s="163">
        <v>422.10180154418072</v>
      </c>
    </row>
    <row r="34" spans="1:8" hidden="1" x14ac:dyDescent="0.25">
      <c r="A34">
        <v>2</v>
      </c>
      <c r="B34" t="s">
        <v>594</v>
      </c>
      <c r="C34" s="163">
        <v>8578.6747298294122</v>
      </c>
      <c r="D34" s="163">
        <v>177.30223184143372</v>
      </c>
      <c r="E34" s="163">
        <v>19894.109</v>
      </c>
      <c r="F34" s="163">
        <v>1984.3095652173915</v>
      </c>
      <c r="G34" s="163">
        <v>3599.5309999999981</v>
      </c>
      <c r="H34" s="163">
        <v>2078.9733840304184</v>
      </c>
    </row>
    <row r="35" spans="1:8" hidden="1" x14ac:dyDescent="0.25">
      <c r="A35">
        <v>3</v>
      </c>
      <c r="B35" t="s">
        <v>595</v>
      </c>
      <c r="C35" s="163">
        <v>7529.8831921824112</v>
      </c>
      <c r="D35" s="163">
        <v>119.29991959260251</v>
      </c>
      <c r="E35" s="163">
        <v>28825.74</v>
      </c>
      <c r="F35" s="163">
        <v>1475.8442776735462</v>
      </c>
      <c r="G35" s="163">
        <v>3259.1719999999978</v>
      </c>
      <c r="H35" s="163">
        <v>1001.6184655138144</v>
      </c>
    </row>
    <row r="36" spans="1:8" hidden="1" x14ac:dyDescent="0.25">
      <c r="A36">
        <v>4</v>
      </c>
      <c r="B36" t="s">
        <v>596</v>
      </c>
      <c r="C36" s="163">
        <v>23986.200185643564</v>
      </c>
      <c r="D36" s="163">
        <v>1608.6225138742668</v>
      </c>
      <c r="E36" s="163">
        <v>20701.823999999997</v>
      </c>
      <c r="F36" s="163">
        <v>579.83796028755694</v>
      </c>
      <c r="G36" s="163">
        <v>1825.6479999999997</v>
      </c>
      <c r="H36" s="163">
        <v>1279.0232174749278</v>
      </c>
    </row>
    <row r="37" spans="1:8" hidden="1" x14ac:dyDescent="0.25">
      <c r="A37">
        <v>5</v>
      </c>
      <c r="B37" t="s">
        <v>597</v>
      </c>
      <c r="C37" s="163">
        <v>26062.961674876835</v>
      </c>
      <c r="D37" s="163">
        <v>590.67200358004129</v>
      </c>
      <c r="E37" s="163">
        <v>36688.122000000003</v>
      </c>
      <c r="F37" s="163">
        <v>1525.1970074812973</v>
      </c>
      <c r="G37" s="163">
        <v>2383.096</v>
      </c>
      <c r="H37" s="163">
        <v>1356.7755046741634</v>
      </c>
    </row>
    <row r="38" spans="1:8" ht="14.25" hidden="1" customHeight="1" x14ac:dyDescent="0.25">
      <c r="A38">
        <v>6</v>
      </c>
      <c r="B38" t="s">
        <v>598</v>
      </c>
      <c r="C38" s="163">
        <v>4483.9213654847299</v>
      </c>
      <c r="D38" s="163">
        <v>64.180897344503705</v>
      </c>
      <c r="E38" s="163">
        <v>8628.84</v>
      </c>
      <c r="F38" s="163">
        <v>641.37512639029319</v>
      </c>
      <c r="G38" s="163">
        <v>856.73599999999988</v>
      </c>
      <c r="H38" s="163">
        <v>783.20174568537982</v>
      </c>
    </row>
    <row r="39" spans="1:8" hidden="1" x14ac:dyDescent="0.25">
      <c r="A39">
        <v>7</v>
      </c>
      <c r="B39" t="s">
        <v>599</v>
      </c>
      <c r="C39" s="163">
        <v>9216.0004939965693</v>
      </c>
      <c r="D39" s="163">
        <v>259.01361251591356</v>
      </c>
      <c r="E39" s="163">
        <v>17758.71</v>
      </c>
      <c r="F39" s="163">
        <v>1744.5785876993168</v>
      </c>
      <c r="G39" s="163">
        <v>2300.2589999999987</v>
      </c>
      <c r="H39" s="163">
        <v>2223.797955010225</v>
      </c>
    </row>
    <row r="40" spans="1:8" hidden="1" x14ac:dyDescent="0.25">
      <c r="A40">
        <v>8</v>
      </c>
      <c r="B40" t="s">
        <v>600</v>
      </c>
      <c r="C40" s="163">
        <v>18214.931904927998</v>
      </c>
      <c r="D40" s="163">
        <v>1322.668103448276</v>
      </c>
      <c r="E40" s="163">
        <v>19040.588</v>
      </c>
      <c r="F40" s="163">
        <v>3653.7349397590365</v>
      </c>
      <c r="G40" s="163">
        <v>5763</v>
      </c>
      <c r="H40" s="163">
        <v>2899.9905932522256</v>
      </c>
    </row>
    <row r="41" spans="1:8" hidden="1" x14ac:dyDescent="0.25">
      <c r="A41">
        <v>9</v>
      </c>
      <c r="B41" t="s">
        <v>601</v>
      </c>
      <c r="C41" s="163">
        <v>12090.795168980876</v>
      </c>
      <c r="D41" s="163">
        <v>136.36171745814363</v>
      </c>
      <c r="E41" s="163">
        <v>19885.879154917002</v>
      </c>
      <c r="F41" s="163">
        <v>2543.3593850096095</v>
      </c>
      <c r="G41" s="163">
        <v>3004.808</v>
      </c>
      <c r="H41" s="163">
        <v>3648.9079011330068</v>
      </c>
    </row>
    <row r="42" spans="1:8" hidden="1" x14ac:dyDescent="0.25">
      <c r="A42">
        <v>10</v>
      </c>
      <c r="B42" t="s">
        <v>602</v>
      </c>
      <c r="C42" s="163">
        <v>9728.1383717152221</v>
      </c>
      <c r="D42" s="163">
        <v>170.16507240349353</v>
      </c>
      <c r="E42" s="163">
        <v>18987.810999999998</v>
      </c>
      <c r="F42" s="163">
        <v>461.19791666666669</v>
      </c>
      <c r="G42" s="163">
        <v>991.48500000000001</v>
      </c>
      <c r="H42" s="163">
        <v>429.83544303797464</v>
      </c>
    </row>
    <row r="43" spans="1:8" hidden="1" x14ac:dyDescent="0.25">
      <c r="A43">
        <v>11</v>
      </c>
      <c r="B43" t="s">
        <v>603</v>
      </c>
      <c r="C43" s="163">
        <v>13990.564466882834</v>
      </c>
      <c r="D43" s="163">
        <v>396.20414695039966</v>
      </c>
      <c r="E43" s="163">
        <v>20361.330000000002</v>
      </c>
      <c r="F43" s="163">
        <v>2201.4663872674664</v>
      </c>
      <c r="G43" s="163">
        <v>4234.0199999999977</v>
      </c>
      <c r="H43" s="163">
        <v>2421.2191582002902</v>
      </c>
    </row>
    <row r="44" spans="1:8" hidden="1" x14ac:dyDescent="0.25">
      <c r="A44">
        <v>12</v>
      </c>
      <c r="B44" t="s">
        <v>604</v>
      </c>
      <c r="C44" s="163">
        <v>11468.913758621</v>
      </c>
      <c r="D44" s="163">
        <v>189.51002914452252</v>
      </c>
      <c r="E44" s="163">
        <v>21700.473343733083</v>
      </c>
      <c r="F44" s="163">
        <v>2701.5200169755267</v>
      </c>
      <c r="G44" s="163">
        <v>4127.2379999999985</v>
      </c>
      <c r="H44" s="163">
        <v>3684.0114394661582</v>
      </c>
    </row>
    <row r="45" spans="1:8" hidden="1" x14ac:dyDescent="0.25">
      <c r="A45">
        <v>13</v>
      </c>
      <c r="B45" t="s">
        <v>605</v>
      </c>
      <c r="C45" s="163">
        <v>7590.7153243395951</v>
      </c>
      <c r="D45" s="163">
        <v>129.9200123057991</v>
      </c>
      <c r="E45" s="163">
        <v>25466.543999999998</v>
      </c>
      <c r="F45" s="163">
        <v>1190.8074981975483</v>
      </c>
      <c r="G45" s="163">
        <v>2284.9699999999989</v>
      </c>
      <c r="H45" s="163">
        <v>945.45616219100123</v>
      </c>
    </row>
    <row r="46" spans="1:8" hidden="1" x14ac:dyDescent="0.25">
      <c r="B46" s="15" t="s">
        <v>163</v>
      </c>
      <c r="C46" s="48">
        <f>SUM(C33:C45)</f>
        <v>163609.65007144332</v>
      </c>
      <c r="D46" s="48">
        <f t="shared" ref="D46:H46" si="26">SUM(D33:D45)</f>
        <v>5686.9654516529072</v>
      </c>
      <c r="E46" s="48">
        <f t="shared" si="26"/>
        <v>281753.29849865008</v>
      </c>
      <c r="F46" s="48">
        <f t="shared" si="26"/>
        <v>22327.943593998389</v>
      </c>
      <c r="G46" s="48">
        <f t="shared" si="26"/>
        <v>37351.728999999992</v>
      </c>
      <c r="H46" s="48">
        <f t="shared" si="26"/>
        <v>23174.912771213763</v>
      </c>
    </row>
    <row r="47" spans="1:8" hidden="1" x14ac:dyDescent="0.25"/>
    <row r="48" spans="1:8" hidden="1" x14ac:dyDescent="0.25"/>
    <row r="49" spans="2:12" hidden="1" x14ac:dyDescent="0.25"/>
    <row r="50" spans="2:12" x14ac:dyDescent="0.25">
      <c r="B50" s="389" t="s">
        <v>606</v>
      </c>
      <c r="C50" s="32" t="s">
        <v>607</v>
      </c>
      <c r="D50" s="32"/>
      <c r="E50" s="32">
        <v>719.77</v>
      </c>
      <c r="F50" s="32" t="s">
        <v>348</v>
      </c>
      <c r="G50" s="32"/>
      <c r="H50" t="s">
        <v>345</v>
      </c>
    </row>
    <row r="51" spans="2:12" ht="18" x14ac:dyDescent="0.35">
      <c r="D51" s="1" t="s">
        <v>608</v>
      </c>
      <c r="G51" s="124">
        <f>44*I51/12</f>
        <v>187</v>
      </c>
      <c r="H51" s="73" t="s">
        <v>609</v>
      </c>
      <c r="I51" s="136">
        <v>51</v>
      </c>
      <c r="J51" s="20"/>
      <c r="L51" s="20" t="s">
        <v>333</v>
      </c>
    </row>
    <row r="52" spans="2:12" x14ac:dyDescent="0.25">
      <c r="J52" s="20"/>
      <c r="K52" t="s">
        <v>96</v>
      </c>
      <c r="L52" s="20" t="s">
        <v>336</v>
      </c>
    </row>
    <row r="53" spans="2:12" x14ac:dyDescent="0.25">
      <c r="B53" t="s">
        <v>610</v>
      </c>
      <c r="C53" s="390">
        <v>6.9178082191780002</v>
      </c>
      <c r="D53" t="s">
        <v>611</v>
      </c>
      <c r="G53" t="s">
        <v>612</v>
      </c>
      <c r="J53" s="20"/>
      <c r="L53" s="20" t="s">
        <v>339</v>
      </c>
    </row>
  </sheetData>
  <mergeCells count="8">
    <mergeCell ref="S2:Z2"/>
    <mergeCell ref="A28:B28"/>
    <mergeCell ref="B31:B32"/>
    <mergeCell ref="C31:H31"/>
    <mergeCell ref="A2:A3"/>
    <mergeCell ref="B2:B3"/>
    <mergeCell ref="C2:J2"/>
    <mergeCell ref="K2:R2"/>
  </mergeCells>
  <hyperlinks>
    <hyperlink ref="L51" r:id="rId1" xr:uid="{C5B9013C-03C2-4A90-BB92-8C00DD8078AF}"/>
    <hyperlink ref="L53" r:id="rId2" location=":~:text=The%20study%2C%20published%20today%20in,estimate%20of%20%2451%20per%20ton. " xr:uid="{7D02F96C-014E-430C-8348-047D03D6A336}"/>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1A0A0-1806-4A66-8FAE-22A0EE0A2BFF}">
  <dimension ref="A1:O54"/>
  <sheetViews>
    <sheetView topLeftCell="B39" workbookViewId="0">
      <selection activeCell="C23" sqref="C23:E23"/>
    </sheetView>
  </sheetViews>
  <sheetFormatPr defaultRowHeight="15" x14ac:dyDescent="0.25"/>
  <cols>
    <col min="1" max="1" width="24.140625" hidden="1" customWidth="1"/>
    <col min="2" max="2" width="30.5703125" bestFit="1" customWidth="1"/>
    <col min="3" max="3" width="13.42578125" customWidth="1"/>
    <col min="4" max="4" width="13.85546875" customWidth="1"/>
    <col min="5" max="6" width="14.5703125" customWidth="1"/>
    <col min="8" max="8" width="14.85546875" customWidth="1"/>
    <col min="9" max="9" width="16" customWidth="1"/>
    <col min="10" max="10" width="17.42578125" customWidth="1"/>
    <col min="11" max="11" width="14.5703125" bestFit="1" customWidth="1"/>
    <col min="12" max="12" width="14.42578125" customWidth="1"/>
    <col min="13" max="13" width="14.5703125" customWidth="1"/>
  </cols>
  <sheetData>
    <row r="1" spans="1:15" x14ac:dyDescent="0.25">
      <c r="A1" t="s">
        <v>613</v>
      </c>
      <c r="B1" t="s">
        <v>614</v>
      </c>
    </row>
    <row r="2" spans="1:15" ht="14.45" customHeight="1" x14ac:dyDescent="0.25">
      <c r="A2" t="s">
        <v>615</v>
      </c>
      <c r="B2" s="94" t="s">
        <v>616</v>
      </c>
      <c r="C2" s="713"/>
      <c r="E2" s="463"/>
      <c r="F2" s="844" t="s">
        <v>1165</v>
      </c>
      <c r="G2" s="844"/>
      <c r="H2" s="844"/>
      <c r="I2" s="844"/>
      <c r="J2" s="844"/>
      <c r="K2" s="844"/>
    </row>
    <row r="3" spans="1:15" x14ac:dyDescent="0.25">
      <c r="A3" t="s">
        <v>617</v>
      </c>
      <c r="B3" s="391" t="s">
        <v>618</v>
      </c>
      <c r="C3" s="461"/>
      <c r="F3" s="844"/>
      <c r="G3" s="844"/>
      <c r="H3" s="844"/>
      <c r="I3" s="844"/>
      <c r="J3" s="844"/>
      <c r="K3" s="844"/>
    </row>
    <row r="4" spans="1:15" x14ac:dyDescent="0.25">
      <c r="A4" t="s">
        <v>619</v>
      </c>
      <c r="B4" s="391" t="s">
        <v>620</v>
      </c>
      <c r="C4" s="714"/>
      <c r="F4" s="844"/>
      <c r="G4" s="844"/>
      <c r="H4" s="844"/>
      <c r="I4" s="844"/>
      <c r="J4" s="844"/>
      <c r="K4" s="844"/>
    </row>
    <row r="5" spans="1:15" x14ac:dyDescent="0.25">
      <c r="A5" t="s">
        <v>621</v>
      </c>
      <c r="B5" s="392" t="s">
        <v>622</v>
      </c>
      <c r="C5" s="393"/>
      <c r="F5" s="844"/>
      <c r="G5" s="844"/>
      <c r="H5" s="844"/>
      <c r="I5" s="844"/>
      <c r="J5" s="844"/>
      <c r="K5" s="844"/>
    </row>
    <row r="6" spans="1:15" x14ac:dyDescent="0.25">
      <c r="A6" t="s">
        <v>623</v>
      </c>
      <c r="B6" s="392" t="s">
        <v>624</v>
      </c>
      <c r="C6" s="393"/>
      <c r="F6" s="844"/>
      <c r="G6" s="844"/>
      <c r="H6" s="844"/>
      <c r="I6" s="844"/>
      <c r="J6" s="844"/>
      <c r="K6" s="844"/>
    </row>
    <row r="7" spans="1:15" ht="18.600000000000001" customHeight="1" x14ac:dyDescent="0.25">
      <c r="F7" s="2"/>
      <c r="G7" s="2"/>
      <c r="H7" s="2"/>
      <c r="I7" s="2"/>
      <c r="J7" s="2"/>
      <c r="K7" s="2"/>
      <c r="L7" s="464"/>
      <c r="M7" s="464"/>
      <c r="N7" s="464"/>
      <c r="O7" s="464"/>
    </row>
    <row r="8" spans="1:15" ht="18.600000000000001" customHeight="1" x14ac:dyDescent="0.25">
      <c r="B8" s="17" t="s">
        <v>625</v>
      </c>
      <c r="C8" s="17" t="s">
        <v>85</v>
      </c>
      <c r="F8" s="2"/>
      <c r="G8" s="2"/>
      <c r="H8" s="2"/>
      <c r="I8" s="2"/>
      <c r="J8" s="2"/>
      <c r="K8" s="2"/>
      <c r="L8" s="464"/>
      <c r="M8" s="464"/>
      <c r="N8" s="464"/>
      <c r="O8" s="464"/>
    </row>
    <row r="9" spans="1:15" ht="14.45" customHeight="1" x14ac:dyDescent="0.25">
      <c r="B9" t="s">
        <v>626</v>
      </c>
      <c r="F9" s="464"/>
      <c r="G9" s="464"/>
      <c r="H9" s="464"/>
      <c r="I9" s="464"/>
      <c r="J9" s="464"/>
      <c r="K9" s="464"/>
      <c r="L9" s="464"/>
      <c r="M9" s="464"/>
      <c r="N9" s="464"/>
      <c r="O9" s="464"/>
    </row>
    <row r="10" spans="1:15" ht="14.45" customHeight="1" x14ac:dyDescent="0.25">
      <c r="B10" t="s">
        <v>627</v>
      </c>
      <c r="C10" s="715">
        <f>C4</f>
        <v>0</v>
      </c>
      <c r="F10" s="464"/>
      <c r="G10" s="464"/>
      <c r="H10" s="464"/>
      <c r="I10" s="464"/>
      <c r="J10" s="464"/>
      <c r="K10" s="464"/>
      <c r="L10" s="464"/>
      <c r="M10" s="464"/>
      <c r="N10" s="464"/>
      <c r="O10" s="464"/>
    </row>
    <row r="11" spans="1:15" ht="14.45" customHeight="1" x14ac:dyDescent="0.25">
      <c r="B11" t="s">
        <v>628</v>
      </c>
      <c r="C11" s="462"/>
      <c r="F11" s="464"/>
      <c r="G11" s="464"/>
      <c r="H11" s="464"/>
      <c r="I11" s="464"/>
      <c r="J11" s="464"/>
      <c r="K11" s="464"/>
      <c r="L11" s="464"/>
      <c r="M11" s="464"/>
      <c r="N11" s="464"/>
      <c r="O11" s="464"/>
    </row>
    <row r="12" spans="1:15" ht="14.45" customHeight="1" x14ac:dyDescent="0.25">
      <c r="B12" t="s">
        <v>629</v>
      </c>
      <c r="C12" s="462"/>
      <c r="F12" s="464"/>
      <c r="G12" s="464"/>
      <c r="H12" s="464"/>
      <c r="I12" s="464"/>
      <c r="J12" s="464"/>
      <c r="K12" s="464"/>
      <c r="L12" s="464"/>
      <c r="M12" s="464"/>
      <c r="N12" s="464"/>
      <c r="O12" s="464"/>
    </row>
    <row r="13" spans="1:15" ht="14.45" customHeight="1" x14ac:dyDescent="0.25">
      <c r="B13" s="17" t="s">
        <v>120</v>
      </c>
      <c r="C13" s="716">
        <f>C2</f>
        <v>0</v>
      </c>
      <c r="D13">
        <f>C13-C10</f>
        <v>0</v>
      </c>
      <c r="E13" t="s">
        <v>630</v>
      </c>
      <c r="F13" s="464"/>
      <c r="G13" s="464"/>
      <c r="H13" s="464"/>
      <c r="I13" s="464"/>
      <c r="J13" s="464"/>
      <c r="K13" s="464"/>
      <c r="L13" s="464"/>
      <c r="M13" s="464"/>
      <c r="N13" s="464"/>
      <c r="O13" s="464"/>
    </row>
    <row r="14" spans="1:15" ht="14.45" customHeight="1" x14ac:dyDescent="0.25">
      <c r="B14" s="17"/>
      <c r="C14" s="460"/>
      <c r="F14" s="464"/>
      <c r="G14" s="464"/>
      <c r="H14" s="464"/>
      <c r="I14" s="464"/>
      <c r="J14" s="464"/>
      <c r="K14" s="464"/>
      <c r="L14" s="464"/>
      <c r="M14" s="464"/>
      <c r="N14" s="464"/>
      <c r="O14" s="464"/>
    </row>
    <row r="15" spans="1:15" ht="14.45" customHeight="1" x14ac:dyDescent="0.25">
      <c r="B15" t="s">
        <v>631</v>
      </c>
      <c r="C15" s="717"/>
      <c r="F15" s="464"/>
      <c r="G15" s="464"/>
      <c r="H15" s="464"/>
      <c r="I15" s="464"/>
      <c r="J15" s="464"/>
      <c r="K15" s="464"/>
      <c r="L15" s="464"/>
      <c r="M15" s="464"/>
      <c r="N15" s="464"/>
      <c r="O15" s="464"/>
    </row>
    <row r="16" spans="1:15" x14ac:dyDescent="0.25">
      <c r="B16" t="s">
        <v>631</v>
      </c>
      <c r="C16" s="717"/>
    </row>
    <row r="17" spans="2:11" ht="30" x14ac:dyDescent="0.25">
      <c r="B17" s="1" t="s">
        <v>632</v>
      </c>
      <c r="C17" s="26">
        <f>C13*C16/1000000</f>
        <v>0</v>
      </c>
      <c r="H17" s="17" t="s">
        <v>633</v>
      </c>
      <c r="I17" s="22" t="s">
        <v>634</v>
      </c>
      <c r="J17" s="22" t="s">
        <v>635</v>
      </c>
      <c r="K17" s="17" t="s">
        <v>120</v>
      </c>
    </row>
    <row r="18" spans="2:11" x14ac:dyDescent="0.25">
      <c r="B18" s="1" t="s">
        <v>636</v>
      </c>
      <c r="C18" s="38">
        <f>C16*C13</f>
        <v>0</v>
      </c>
      <c r="H18" s="467"/>
      <c r="I18" s="467"/>
      <c r="J18" s="466"/>
      <c r="K18" s="468">
        <f>SUM(H18:J18)</f>
        <v>0</v>
      </c>
    </row>
    <row r="20" spans="2:11" x14ac:dyDescent="0.25">
      <c r="B20" s="1" t="s">
        <v>637</v>
      </c>
      <c r="C20" s="26">
        <f>C17*1000*'Energy conversion factors'!B15/1000</f>
        <v>0</v>
      </c>
    </row>
    <row r="21" spans="2:11" x14ac:dyDescent="0.25">
      <c r="B21" s="1"/>
      <c r="C21" s="35"/>
    </row>
    <row r="22" spans="2:11" ht="30" x14ac:dyDescent="0.25">
      <c r="B22" s="44"/>
      <c r="C22" s="17" t="s">
        <v>633</v>
      </c>
      <c r="D22" s="22" t="s">
        <v>634</v>
      </c>
      <c r="E22" s="22" t="s">
        <v>635</v>
      </c>
      <c r="F22" s="17" t="s">
        <v>120</v>
      </c>
    </row>
    <row r="23" spans="2:11" ht="33" customHeight="1" x14ac:dyDescent="0.25">
      <c r="B23" s="44" t="s">
        <v>638</v>
      </c>
      <c r="C23" s="467"/>
      <c r="D23" s="467"/>
      <c r="E23" s="4"/>
      <c r="F23" s="468">
        <f>SUM(C23:E23)</f>
        <v>0</v>
      </c>
    </row>
    <row r="24" spans="2:11" ht="30" x14ac:dyDescent="0.25">
      <c r="B24" s="44" t="s">
        <v>639</v>
      </c>
      <c r="C24" s="26">
        <f>C23*$F$24</f>
        <v>0</v>
      </c>
      <c r="D24" s="26">
        <f>D23*$F$24</f>
        <v>0</v>
      </c>
      <c r="E24" s="26">
        <f>E23*$F$24</f>
        <v>0</v>
      </c>
      <c r="F24" s="26">
        <f>C20*'Energy conversion factors'!C16</f>
        <v>0</v>
      </c>
      <c r="G24" s="213" t="b">
        <f>C24+D24=F24</f>
        <v>1</v>
      </c>
    </row>
    <row r="25" spans="2:11" x14ac:dyDescent="0.25">
      <c r="D25" s="1"/>
    </row>
    <row r="26" spans="2:11" x14ac:dyDescent="0.25">
      <c r="D26" s="1"/>
    </row>
    <row r="27" spans="2:11" ht="45" x14ac:dyDescent="0.25">
      <c r="C27" s="1" t="s">
        <v>85</v>
      </c>
      <c r="D27" s="1"/>
      <c r="E27" s="857" t="s">
        <v>640</v>
      </c>
      <c r="F27" s="114" t="s">
        <v>641</v>
      </c>
      <c r="G27" s="857" t="s">
        <v>642</v>
      </c>
      <c r="H27" s="114" t="s">
        <v>641</v>
      </c>
      <c r="I27" s="857" t="s">
        <v>643</v>
      </c>
      <c r="J27" s="857" t="s">
        <v>644</v>
      </c>
    </row>
    <row r="28" spans="2:11" ht="14.45" customHeight="1" x14ac:dyDescent="0.25">
      <c r="B28" s="1" t="s">
        <v>101</v>
      </c>
      <c r="C28" s="44" t="s">
        <v>28</v>
      </c>
      <c r="D28" s="44" t="s">
        <v>30</v>
      </c>
      <c r="E28" s="857"/>
      <c r="F28" s="17" t="s">
        <v>28</v>
      </c>
      <c r="G28" s="857"/>
      <c r="H28" s="17" t="s">
        <v>30</v>
      </c>
      <c r="I28" s="857"/>
      <c r="J28" s="857"/>
    </row>
    <row r="29" spans="2:11" x14ac:dyDescent="0.25">
      <c r="B29" t="s">
        <v>139</v>
      </c>
      <c r="C29" s="69">
        <f>'Area&amp;production data'!H5</f>
        <v>0</v>
      </c>
      <c r="D29" s="69">
        <f>'Area&amp;production data'!I5</f>
        <v>0</v>
      </c>
      <c r="E29" s="233" t="e">
        <f>C29/$C$53</f>
        <v>#DIV/0!</v>
      </c>
      <c r="F29" s="140" t="e">
        <f>E29*$C$18*$D$23</f>
        <v>#DIV/0!</v>
      </c>
      <c r="G29" s="233" t="e">
        <f>D29/$D$53</f>
        <v>#DIV/0!</v>
      </c>
      <c r="H29" s="140" t="e">
        <f>G29*$C$18*$C$23</f>
        <v>#DIV/0!</v>
      </c>
      <c r="I29" s="140" t="e">
        <f>F29+H29</f>
        <v>#DIV/0!</v>
      </c>
      <c r="J29" s="140" t="e">
        <f>I29*'Energy conversion factors'!$D$15</f>
        <v>#DIV/0!</v>
      </c>
    </row>
    <row r="30" spans="2:11" x14ac:dyDescent="0.25">
      <c r="B30" t="s">
        <v>140</v>
      </c>
      <c r="C30" s="69">
        <f>'Area&amp;production data'!H6</f>
        <v>0</v>
      </c>
      <c r="D30" s="69">
        <f>'Area&amp;production data'!I6</f>
        <v>0</v>
      </c>
      <c r="E30" s="233" t="e">
        <f t="shared" ref="E30:E53" si="0">C30/$C$53</f>
        <v>#DIV/0!</v>
      </c>
      <c r="F30" s="140" t="e">
        <f t="shared" ref="F30:F52" si="1">E30*$C$18*$D$23</f>
        <v>#DIV/0!</v>
      </c>
      <c r="G30" s="233" t="e">
        <f t="shared" ref="G30:G53" si="2">D30/$D$53</f>
        <v>#DIV/0!</v>
      </c>
      <c r="H30" s="140" t="e">
        <f>G30*$C$18*$C$23</f>
        <v>#DIV/0!</v>
      </c>
      <c r="I30" s="140" t="e">
        <f t="shared" ref="I30:I52" si="3">F30+H30</f>
        <v>#DIV/0!</v>
      </c>
      <c r="J30" s="140" t="e">
        <f>I30*'Energy conversion factors'!$D$15</f>
        <v>#DIV/0!</v>
      </c>
    </row>
    <row r="31" spans="2:11" x14ac:dyDescent="0.25">
      <c r="B31" t="s">
        <v>141</v>
      </c>
      <c r="C31" s="69">
        <f>'Area&amp;production data'!H7</f>
        <v>0</v>
      </c>
      <c r="D31" s="69">
        <f>'Area&amp;production data'!I7</f>
        <v>0</v>
      </c>
      <c r="E31" s="233" t="e">
        <f t="shared" si="0"/>
        <v>#DIV/0!</v>
      </c>
      <c r="F31" s="140" t="e">
        <f t="shared" si="1"/>
        <v>#DIV/0!</v>
      </c>
      <c r="G31" s="233" t="e">
        <f t="shared" si="2"/>
        <v>#DIV/0!</v>
      </c>
      <c r="H31" s="140" t="e">
        <f t="shared" ref="H31:H52" si="4">G31*$C$18*$C$23</f>
        <v>#DIV/0!</v>
      </c>
      <c r="I31" s="140" t="e">
        <f t="shared" si="3"/>
        <v>#DIV/0!</v>
      </c>
      <c r="J31" s="140" t="e">
        <f>I31*'Energy conversion factors'!$D$15</f>
        <v>#DIV/0!</v>
      </c>
    </row>
    <row r="32" spans="2:11" x14ac:dyDescent="0.25">
      <c r="B32" t="s">
        <v>142</v>
      </c>
      <c r="C32" s="69">
        <f>'Area&amp;production data'!H8</f>
        <v>0</v>
      </c>
      <c r="D32" s="69">
        <f>'Area&amp;production data'!I8</f>
        <v>0</v>
      </c>
      <c r="E32" s="233" t="e">
        <f t="shared" si="0"/>
        <v>#DIV/0!</v>
      </c>
      <c r="F32" s="140" t="e">
        <f t="shared" si="1"/>
        <v>#DIV/0!</v>
      </c>
      <c r="G32" s="233" t="e">
        <f t="shared" si="2"/>
        <v>#DIV/0!</v>
      </c>
      <c r="H32" s="140" t="e">
        <f t="shared" si="4"/>
        <v>#DIV/0!</v>
      </c>
      <c r="I32" s="140" t="e">
        <f t="shared" si="3"/>
        <v>#DIV/0!</v>
      </c>
      <c r="J32" s="140" t="e">
        <f>I32*'Energy conversion factors'!$D$15</f>
        <v>#DIV/0!</v>
      </c>
    </row>
    <row r="33" spans="2:10" x14ac:dyDescent="0.25">
      <c r="B33" t="s">
        <v>143</v>
      </c>
      <c r="C33" s="69">
        <f>'Area&amp;production data'!H9</f>
        <v>0</v>
      </c>
      <c r="D33" s="69">
        <f>'Area&amp;production data'!I9</f>
        <v>0</v>
      </c>
      <c r="E33" s="233" t="e">
        <f t="shared" si="0"/>
        <v>#DIV/0!</v>
      </c>
      <c r="F33" s="140" t="e">
        <f t="shared" si="1"/>
        <v>#DIV/0!</v>
      </c>
      <c r="G33" s="233" t="e">
        <f t="shared" si="2"/>
        <v>#DIV/0!</v>
      </c>
      <c r="H33" s="140" t="e">
        <f t="shared" si="4"/>
        <v>#DIV/0!</v>
      </c>
      <c r="I33" s="140" t="e">
        <f t="shared" si="3"/>
        <v>#DIV/0!</v>
      </c>
      <c r="J33" s="140" t="e">
        <f>I33*'Energy conversion factors'!$D$15</f>
        <v>#DIV/0!</v>
      </c>
    </row>
    <row r="34" spans="2:10" x14ac:dyDescent="0.25">
      <c r="B34" t="s">
        <v>144</v>
      </c>
      <c r="C34" s="69">
        <f>'Area&amp;production data'!H10</f>
        <v>0</v>
      </c>
      <c r="D34" s="69">
        <f>'Area&amp;production data'!I10</f>
        <v>0</v>
      </c>
      <c r="E34" s="233" t="e">
        <f t="shared" si="0"/>
        <v>#DIV/0!</v>
      </c>
      <c r="F34" s="140" t="e">
        <f t="shared" si="1"/>
        <v>#DIV/0!</v>
      </c>
      <c r="G34" s="233" t="e">
        <f t="shared" si="2"/>
        <v>#DIV/0!</v>
      </c>
      <c r="H34" s="140" t="e">
        <f t="shared" si="4"/>
        <v>#DIV/0!</v>
      </c>
      <c r="I34" s="140" t="e">
        <f t="shared" si="3"/>
        <v>#DIV/0!</v>
      </c>
      <c r="J34" s="140" t="e">
        <f>I34*'Energy conversion factors'!$D$15</f>
        <v>#DIV/0!</v>
      </c>
    </row>
    <row r="35" spans="2:10" x14ac:dyDescent="0.25">
      <c r="B35" t="s">
        <v>145</v>
      </c>
      <c r="C35" s="69">
        <f>'Area&amp;production data'!H11</f>
        <v>0</v>
      </c>
      <c r="D35" s="69">
        <f>'Area&amp;production data'!I11</f>
        <v>0</v>
      </c>
      <c r="E35" s="233" t="e">
        <f t="shared" si="0"/>
        <v>#DIV/0!</v>
      </c>
      <c r="F35" s="140" t="e">
        <f t="shared" si="1"/>
        <v>#DIV/0!</v>
      </c>
      <c r="G35" s="233" t="e">
        <f t="shared" si="2"/>
        <v>#DIV/0!</v>
      </c>
      <c r="H35" s="140" t="e">
        <f t="shared" si="4"/>
        <v>#DIV/0!</v>
      </c>
      <c r="I35" s="140" t="e">
        <f t="shared" si="3"/>
        <v>#DIV/0!</v>
      </c>
      <c r="J35" s="140" t="e">
        <f>I35*'Energy conversion factors'!$D$15</f>
        <v>#DIV/0!</v>
      </c>
    </row>
    <row r="36" spans="2:10" x14ac:dyDescent="0.25">
      <c r="B36" t="s">
        <v>146</v>
      </c>
      <c r="C36" s="69">
        <f>'Area&amp;production data'!H12</f>
        <v>0</v>
      </c>
      <c r="D36" s="69">
        <f>'Area&amp;production data'!I12</f>
        <v>0</v>
      </c>
      <c r="E36" s="233" t="e">
        <f t="shared" si="0"/>
        <v>#DIV/0!</v>
      </c>
      <c r="F36" s="140" t="e">
        <f t="shared" si="1"/>
        <v>#DIV/0!</v>
      </c>
      <c r="G36" s="233" t="e">
        <f t="shared" si="2"/>
        <v>#DIV/0!</v>
      </c>
      <c r="H36" s="140" t="e">
        <f t="shared" si="4"/>
        <v>#DIV/0!</v>
      </c>
      <c r="I36" s="140" t="e">
        <f t="shared" si="3"/>
        <v>#DIV/0!</v>
      </c>
      <c r="J36" s="140" t="e">
        <f>I36*'Energy conversion factors'!$D$15</f>
        <v>#DIV/0!</v>
      </c>
    </row>
    <row r="37" spans="2:10" x14ac:dyDescent="0.25">
      <c r="B37" t="s">
        <v>147</v>
      </c>
      <c r="C37" s="69">
        <f>'Area&amp;production data'!H13</f>
        <v>0</v>
      </c>
      <c r="D37" s="69">
        <f>'Area&amp;production data'!I13</f>
        <v>0</v>
      </c>
      <c r="E37" s="233" t="e">
        <f t="shared" si="0"/>
        <v>#DIV/0!</v>
      </c>
      <c r="F37" s="140" t="e">
        <f t="shared" si="1"/>
        <v>#DIV/0!</v>
      </c>
      <c r="G37" s="233" t="e">
        <f t="shared" si="2"/>
        <v>#DIV/0!</v>
      </c>
      <c r="H37" s="140" t="e">
        <f t="shared" si="4"/>
        <v>#DIV/0!</v>
      </c>
      <c r="I37" s="140" t="e">
        <f t="shared" si="3"/>
        <v>#DIV/0!</v>
      </c>
      <c r="J37" s="140" t="e">
        <f>I37*'Energy conversion factors'!$D$15</f>
        <v>#DIV/0!</v>
      </c>
    </row>
    <row r="38" spans="2:10" x14ac:dyDescent="0.25">
      <c r="B38" t="s">
        <v>148</v>
      </c>
      <c r="C38" s="69">
        <f>'Area&amp;production data'!H14</f>
        <v>0</v>
      </c>
      <c r="D38" s="69">
        <f>'Area&amp;production data'!I14</f>
        <v>0</v>
      </c>
      <c r="E38" s="233" t="e">
        <f t="shared" si="0"/>
        <v>#DIV/0!</v>
      </c>
      <c r="F38" s="140" t="e">
        <f t="shared" si="1"/>
        <v>#DIV/0!</v>
      </c>
      <c r="G38" s="233" t="e">
        <f t="shared" si="2"/>
        <v>#DIV/0!</v>
      </c>
      <c r="H38" s="140" t="e">
        <f t="shared" si="4"/>
        <v>#DIV/0!</v>
      </c>
      <c r="I38" s="140" t="e">
        <f t="shared" si="3"/>
        <v>#DIV/0!</v>
      </c>
      <c r="J38" s="140" t="e">
        <f>I38*'Energy conversion factors'!$D$15</f>
        <v>#DIV/0!</v>
      </c>
    </row>
    <row r="39" spans="2:10" x14ac:dyDescent="0.25">
      <c r="B39" t="s">
        <v>149</v>
      </c>
      <c r="C39" s="69">
        <f>'Area&amp;production data'!H15</f>
        <v>0</v>
      </c>
      <c r="D39" s="69">
        <f>'Area&amp;production data'!I15</f>
        <v>0</v>
      </c>
      <c r="E39" s="233" t="e">
        <f t="shared" si="0"/>
        <v>#DIV/0!</v>
      </c>
      <c r="F39" s="140" t="e">
        <f t="shared" si="1"/>
        <v>#DIV/0!</v>
      </c>
      <c r="G39" s="233" t="e">
        <f t="shared" si="2"/>
        <v>#DIV/0!</v>
      </c>
      <c r="H39" s="140" t="e">
        <f t="shared" si="4"/>
        <v>#DIV/0!</v>
      </c>
      <c r="I39" s="140" t="e">
        <f t="shared" si="3"/>
        <v>#DIV/0!</v>
      </c>
      <c r="J39" s="140" t="e">
        <f>I39*'Energy conversion factors'!$D$15</f>
        <v>#DIV/0!</v>
      </c>
    </row>
    <row r="40" spans="2:10" x14ac:dyDescent="0.25">
      <c r="B40" t="s">
        <v>150</v>
      </c>
      <c r="C40" s="69">
        <f>'Area&amp;production data'!H16</f>
        <v>0</v>
      </c>
      <c r="D40" s="69">
        <f>'Area&amp;production data'!I16</f>
        <v>0</v>
      </c>
      <c r="E40" s="233" t="e">
        <f t="shared" si="0"/>
        <v>#DIV/0!</v>
      </c>
      <c r="F40" s="140" t="e">
        <f t="shared" si="1"/>
        <v>#DIV/0!</v>
      </c>
      <c r="G40" s="233" t="e">
        <f t="shared" si="2"/>
        <v>#DIV/0!</v>
      </c>
      <c r="H40" s="140" t="e">
        <f t="shared" si="4"/>
        <v>#DIV/0!</v>
      </c>
      <c r="I40" s="140" t="e">
        <f t="shared" si="3"/>
        <v>#DIV/0!</v>
      </c>
      <c r="J40" s="140" t="e">
        <f>I40*'Energy conversion factors'!$D$15</f>
        <v>#DIV/0!</v>
      </c>
    </row>
    <row r="41" spans="2:10" x14ac:dyDescent="0.25">
      <c r="B41" t="s">
        <v>151</v>
      </c>
      <c r="C41" s="69">
        <f>'Area&amp;production data'!H17</f>
        <v>0</v>
      </c>
      <c r="D41" s="69">
        <f>'Area&amp;production data'!I17</f>
        <v>0</v>
      </c>
      <c r="E41" s="233" t="e">
        <f t="shared" si="0"/>
        <v>#DIV/0!</v>
      </c>
      <c r="F41" s="140" t="e">
        <f t="shared" si="1"/>
        <v>#DIV/0!</v>
      </c>
      <c r="G41" s="233" t="e">
        <f t="shared" si="2"/>
        <v>#DIV/0!</v>
      </c>
      <c r="H41" s="140" t="e">
        <f t="shared" si="4"/>
        <v>#DIV/0!</v>
      </c>
      <c r="I41" s="140" t="e">
        <f t="shared" si="3"/>
        <v>#DIV/0!</v>
      </c>
      <c r="J41" s="140" t="e">
        <f>I41*'Energy conversion factors'!$D$15</f>
        <v>#DIV/0!</v>
      </c>
    </row>
    <row r="42" spans="2:10" x14ac:dyDescent="0.25">
      <c r="B42" t="s">
        <v>152</v>
      </c>
      <c r="C42" s="69">
        <f>'Area&amp;production data'!H18</f>
        <v>0</v>
      </c>
      <c r="D42" s="69">
        <f>'Area&amp;production data'!I18</f>
        <v>0</v>
      </c>
      <c r="E42" s="233" t="e">
        <f t="shared" si="0"/>
        <v>#DIV/0!</v>
      </c>
      <c r="F42" s="140" t="e">
        <f t="shared" si="1"/>
        <v>#DIV/0!</v>
      </c>
      <c r="G42" s="233" t="e">
        <f t="shared" si="2"/>
        <v>#DIV/0!</v>
      </c>
      <c r="H42" s="140" t="e">
        <f t="shared" si="4"/>
        <v>#DIV/0!</v>
      </c>
      <c r="I42" s="140" t="e">
        <f t="shared" si="3"/>
        <v>#DIV/0!</v>
      </c>
      <c r="J42" s="140" t="e">
        <f>I42*'Energy conversion factors'!$D$15</f>
        <v>#DIV/0!</v>
      </c>
    </row>
    <row r="43" spans="2:10" x14ac:dyDescent="0.25">
      <c r="B43" t="s">
        <v>153</v>
      </c>
      <c r="C43" s="69">
        <f>'Area&amp;production data'!H19</f>
        <v>0</v>
      </c>
      <c r="D43" s="69">
        <f>'Area&amp;production data'!I19</f>
        <v>0</v>
      </c>
      <c r="E43" s="233" t="e">
        <f t="shared" si="0"/>
        <v>#DIV/0!</v>
      </c>
      <c r="F43" s="140" t="e">
        <f t="shared" si="1"/>
        <v>#DIV/0!</v>
      </c>
      <c r="G43" s="233" t="e">
        <f t="shared" si="2"/>
        <v>#DIV/0!</v>
      </c>
      <c r="H43" s="140" t="e">
        <f t="shared" si="4"/>
        <v>#DIV/0!</v>
      </c>
      <c r="I43" s="140" t="e">
        <f t="shared" si="3"/>
        <v>#DIV/0!</v>
      </c>
      <c r="J43" s="140" t="e">
        <f>I43*'Energy conversion factors'!$D$15</f>
        <v>#DIV/0!</v>
      </c>
    </row>
    <row r="44" spans="2:10" x14ac:dyDescent="0.25">
      <c r="B44" t="s">
        <v>154</v>
      </c>
      <c r="C44" s="69">
        <f>'Area&amp;production data'!H20</f>
        <v>0</v>
      </c>
      <c r="D44" s="69">
        <f>'Area&amp;production data'!I20</f>
        <v>0</v>
      </c>
      <c r="E44" s="233" t="e">
        <f t="shared" si="0"/>
        <v>#DIV/0!</v>
      </c>
      <c r="F44" s="140" t="e">
        <f t="shared" si="1"/>
        <v>#DIV/0!</v>
      </c>
      <c r="G44" s="233" t="e">
        <f t="shared" si="2"/>
        <v>#DIV/0!</v>
      </c>
      <c r="H44" s="140" t="e">
        <f t="shared" si="4"/>
        <v>#DIV/0!</v>
      </c>
      <c r="I44" s="140" t="e">
        <f t="shared" si="3"/>
        <v>#DIV/0!</v>
      </c>
      <c r="J44" s="140" t="e">
        <f>I44*'Energy conversion factors'!$D$15</f>
        <v>#DIV/0!</v>
      </c>
    </row>
    <row r="45" spans="2:10" x14ac:dyDescent="0.25">
      <c r="B45" t="s">
        <v>155</v>
      </c>
      <c r="C45" s="69">
        <f>'Area&amp;production data'!H21</f>
        <v>0</v>
      </c>
      <c r="D45" s="69">
        <f>'Area&amp;production data'!I21</f>
        <v>0</v>
      </c>
      <c r="E45" s="233" t="e">
        <f t="shared" si="0"/>
        <v>#DIV/0!</v>
      </c>
      <c r="F45" s="140" t="e">
        <f t="shared" si="1"/>
        <v>#DIV/0!</v>
      </c>
      <c r="G45" s="233" t="e">
        <f t="shared" si="2"/>
        <v>#DIV/0!</v>
      </c>
      <c r="H45" s="140" t="e">
        <f t="shared" si="4"/>
        <v>#DIV/0!</v>
      </c>
      <c r="I45" s="140" t="e">
        <f t="shared" si="3"/>
        <v>#DIV/0!</v>
      </c>
      <c r="J45" s="140" t="e">
        <f>I45*'Energy conversion factors'!$D$15</f>
        <v>#DIV/0!</v>
      </c>
    </row>
    <row r="46" spans="2:10" x14ac:dyDescent="0.25">
      <c r="B46" t="s">
        <v>156</v>
      </c>
      <c r="C46" s="69">
        <f>'Area&amp;production data'!H22</f>
        <v>0</v>
      </c>
      <c r="D46" s="69">
        <f>'Area&amp;production data'!I22</f>
        <v>0</v>
      </c>
      <c r="E46" s="233" t="e">
        <f t="shared" si="0"/>
        <v>#DIV/0!</v>
      </c>
      <c r="F46" s="140" t="e">
        <f t="shared" si="1"/>
        <v>#DIV/0!</v>
      </c>
      <c r="G46" s="233" t="e">
        <f t="shared" si="2"/>
        <v>#DIV/0!</v>
      </c>
      <c r="H46" s="140" t="e">
        <f t="shared" si="4"/>
        <v>#DIV/0!</v>
      </c>
      <c r="I46" s="140" t="e">
        <f t="shared" si="3"/>
        <v>#DIV/0!</v>
      </c>
      <c r="J46" s="140" t="e">
        <f>I46*'Energy conversion factors'!$D$15</f>
        <v>#DIV/0!</v>
      </c>
    </row>
    <row r="47" spans="2:10" x14ac:dyDescent="0.25">
      <c r="B47" t="s">
        <v>157</v>
      </c>
      <c r="C47" s="69">
        <f>'Area&amp;production data'!H23</f>
        <v>0</v>
      </c>
      <c r="D47" s="69">
        <f>'Area&amp;production data'!I23</f>
        <v>0</v>
      </c>
      <c r="E47" s="233" t="e">
        <f t="shared" si="0"/>
        <v>#DIV/0!</v>
      </c>
      <c r="F47" s="140" t="e">
        <f t="shared" si="1"/>
        <v>#DIV/0!</v>
      </c>
      <c r="G47" s="233" t="e">
        <f t="shared" si="2"/>
        <v>#DIV/0!</v>
      </c>
      <c r="H47" s="140" t="e">
        <f t="shared" si="4"/>
        <v>#DIV/0!</v>
      </c>
      <c r="I47" s="140" t="e">
        <f t="shared" si="3"/>
        <v>#DIV/0!</v>
      </c>
      <c r="J47" s="140" t="e">
        <f>I47*'Energy conversion factors'!$D$15</f>
        <v>#DIV/0!</v>
      </c>
    </row>
    <row r="48" spans="2:10" x14ac:dyDescent="0.25">
      <c r="B48" t="s">
        <v>158</v>
      </c>
      <c r="C48" s="69">
        <f>'Area&amp;production data'!H24</f>
        <v>0</v>
      </c>
      <c r="D48" s="69">
        <f>'Area&amp;production data'!I24</f>
        <v>0</v>
      </c>
      <c r="E48" s="233" t="e">
        <f t="shared" si="0"/>
        <v>#DIV/0!</v>
      </c>
      <c r="F48" s="140" t="e">
        <f t="shared" si="1"/>
        <v>#DIV/0!</v>
      </c>
      <c r="G48" s="233" t="e">
        <f t="shared" si="2"/>
        <v>#DIV/0!</v>
      </c>
      <c r="H48" s="140" t="e">
        <f t="shared" si="4"/>
        <v>#DIV/0!</v>
      </c>
      <c r="I48" s="140" t="e">
        <f t="shared" si="3"/>
        <v>#DIV/0!</v>
      </c>
      <c r="J48" s="140" t="e">
        <f>I48*'Energy conversion factors'!$D$15</f>
        <v>#DIV/0!</v>
      </c>
    </row>
    <row r="49" spans="2:10" x14ac:dyDescent="0.25">
      <c r="B49" t="s">
        <v>159</v>
      </c>
      <c r="C49" s="69">
        <f>'Area&amp;production data'!H25</f>
        <v>0</v>
      </c>
      <c r="D49" s="69">
        <f>'Area&amp;production data'!I25</f>
        <v>0</v>
      </c>
      <c r="E49" s="233" t="e">
        <f t="shared" si="0"/>
        <v>#DIV/0!</v>
      </c>
      <c r="F49" s="140" t="e">
        <f t="shared" si="1"/>
        <v>#DIV/0!</v>
      </c>
      <c r="G49" s="233" t="e">
        <f t="shared" si="2"/>
        <v>#DIV/0!</v>
      </c>
      <c r="H49" s="140" t="e">
        <f t="shared" si="4"/>
        <v>#DIV/0!</v>
      </c>
      <c r="I49" s="140" t="e">
        <f t="shared" si="3"/>
        <v>#DIV/0!</v>
      </c>
      <c r="J49" s="140" t="e">
        <f>I49*'Energy conversion factors'!$D$15</f>
        <v>#DIV/0!</v>
      </c>
    </row>
    <row r="50" spans="2:10" x14ac:dyDescent="0.25">
      <c r="B50" t="s">
        <v>160</v>
      </c>
      <c r="C50" s="69">
        <f>'Area&amp;production data'!H26</f>
        <v>0</v>
      </c>
      <c r="D50" s="69">
        <f>'Area&amp;production data'!I26</f>
        <v>0</v>
      </c>
      <c r="E50" s="233" t="e">
        <f t="shared" si="0"/>
        <v>#DIV/0!</v>
      </c>
      <c r="F50" s="140" t="e">
        <f t="shared" si="1"/>
        <v>#DIV/0!</v>
      </c>
      <c r="G50" s="233" t="e">
        <f t="shared" si="2"/>
        <v>#DIV/0!</v>
      </c>
      <c r="H50" s="140" t="e">
        <f t="shared" si="4"/>
        <v>#DIV/0!</v>
      </c>
      <c r="I50" s="140" t="e">
        <f t="shared" si="3"/>
        <v>#DIV/0!</v>
      </c>
      <c r="J50" s="140" t="e">
        <f>I50*'Energy conversion factors'!$D$15</f>
        <v>#DIV/0!</v>
      </c>
    </row>
    <row r="51" spans="2:10" x14ac:dyDescent="0.25">
      <c r="B51" t="s">
        <v>161</v>
      </c>
      <c r="C51" s="69">
        <f>'Area&amp;production data'!H27</f>
        <v>0</v>
      </c>
      <c r="D51" s="69">
        <f>'Area&amp;production data'!I27</f>
        <v>0</v>
      </c>
      <c r="E51" s="233" t="e">
        <f t="shared" si="0"/>
        <v>#DIV/0!</v>
      </c>
      <c r="F51" s="140" t="e">
        <f t="shared" si="1"/>
        <v>#DIV/0!</v>
      </c>
      <c r="G51" s="233" t="e">
        <f t="shared" si="2"/>
        <v>#DIV/0!</v>
      </c>
      <c r="H51" s="140" t="e">
        <f t="shared" si="4"/>
        <v>#DIV/0!</v>
      </c>
      <c r="I51" s="140" t="e">
        <f t="shared" si="3"/>
        <v>#DIV/0!</v>
      </c>
      <c r="J51" s="140" t="e">
        <f>I51*'Energy conversion factors'!$D$15</f>
        <v>#DIV/0!</v>
      </c>
    </row>
    <row r="52" spans="2:10" x14ac:dyDescent="0.25">
      <c r="B52" t="s">
        <v>162</v>
      </c>
      <c r="C52" s="69">
        <f>'Area&amp;production data'!H28</f>
        <v>0</v>
      </c>
      <c r="D52" s="69">
        <f>'Area&amp;production data'!I28</f>
        <v>0</v>
      </c>
      <c r="E52" s="233" t="e">
        <f t="shared" si="0"/>
        <v>#DIV/0!</v>
      </c>
      <c r="F52" s="140" t="e">
        <f t="shared" si="1"/>
        <v>#DIV/0!</v>
      </c>
      <c r="G52" s="233" t="e">
        <f t="shared" si="2"/>
        <v>#DIV/0!</v>
      </c>
      <c r="H52" s="140" t="e">
        <f t="shared" si="4"/>
        <v>#DIV/0!</v>
      </c>
      <c r="I52" s="140" t="e">
        <f t="shared" si="3"/>
        <v>#DIV/0!</v>
      </c>
      <c r="J52" s="140" t="e">
        <f>I52*'Energy conversion factors'!$D$15</f>
        <v>#DIV/0!</v>
      </c>
    </row>
    <row r="53" spans="2:10" x14ac:dyDescent="0.25">
      <c r="B53" t="s">
        <v>163</v>
      </c>
      <c r="C53" s="23">
        <f>SUM(C29:C52)</f>
        <v>0</v>
      </c>
      <c r="D53" s="23">
        <f>SUM(D29:D52)</f>
        <v>0</v>
      </c>
      <c r="E53" s="233" t="e">
        <f t="shared" si="0"/>
        <v>#DIV/0!</v>
      </c>
      <c r="F53" s="26" t="e">
        <f>SUM(F29:F52)</f>
        <v>#DIV/0!</v>
      </c>
      <c r="G53" s="233" t="e">
        <f t="shared" si="2"/>
        <v>#DIV/0!</v>
      </c>
      <c r="H53" s="26" t="e">
        <f>SUM(H29:H52)</f>
        <v>#DIV/0!</v>
      </c>
      <c r="I53" s="26" t="e">
        <f>SUM(I29:I52)</f>
        <v>#DIV/0!</v>
      </c>
      <c r="J53" s="140" t="e">
        <f>SUM(J29:J52)</f>
        <v>#DIV/0!</v>
      </c>
    </row>
    <row r="54" spans="2:10" x14ac:dyDescent="0.25">
      <c r="F54" s="29" t="e">
        <f>F53=C18*D23</f>
        <v>#DIV/0!</v>
      </c>
      <c r="H54" s="29" t="e">
        <f>ABS(H53-C18*(100%-D23))&lt;0.1</f>
        <v>#DIV/0!</v>
      </c>
      <c r="I54" s="217" t="e">
        <f>F53+H53=C18</f>
        <v>#DIV/0!</v>
      </c>
      <c r="J54" s="217" t="e">
        <f>I53*'Energy conversion factors'!$D$15=J53</f>
        <v>#DIV/0!</v>
      </c>
    </row>
  </sheetData>
  <mergeCells count="5">
    <mergeCell ref="E27:E28"/>
    <mergeCell ref="G27:G28"/>
    <mergeCell ref="I27:I28"/>
    <mergeCell ref="J27:J28"/>
    <mergeCell ref="F2:K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826EA-AB67-428D-A9AF-00F01D1BCA76}">
  <dimension ref="A1:J18"/>
  <sheetViews>
    <sheetView workbookViewId="0">
      <selection activeCell="E16" sqref="E16"/>
    </sheetView>
  </sheetViews>
  <sheetFormatPr defaultRowHeight="15" x14ac:dyDescent="0.25"/>
  <cols>
    <col min="1" max="1" width="23.42578125" customWidth="1"/>
    <col min="2" max="2" width="15.140625" bestFit="1" customWidth="1"/>
    <col min="3" max="3" width="15.5703125" customWidth="1"/>
    <col min="4" max="4" width="19.140625" customWidth="1"/>
    <col min="5" max="5" width="15.5703125" bestFit="1" customWidth="1"/>
  </cols>
  <sheetData>
    <row r="1" spans="1:10" x14ac:dyDescent="0.25">
      <c r="C1" t="s">
        <v>645</v>
      </c>
    </row>
    <row r="2" spans="1:10" x14ac:dyDescent="0.25">
      <c r="A2" t="s">
        <v>646</v>
      </c>
      <c r="B2" t="s">
        <v>647</v>
      </c>
      <c r="D2" t="s">
        <v>648</v>
      </c>
      <c r="E2" t="s">
        <v>345</v>
      </c>
      <c r="F2" s="20" t="s">
        <v>649</v>
      </c>
    </row>
    <row r="3" spans="1:10" x14ac:dyDescent="0.25">
      <c r="A3" t="s">
        <v>650</v>
      </c>
      <c r="B3">
        <v>1</v>
      </c>
      <c r="C3" t="s">
        <v>651</v>
      </c>
      <c r="D3" s="69">
        <f>1.3*10^8</f>
        <v>130000000</v>
      </c>
    </row>
    <row r="4" spans="1:10" x14ac:dyDescent="0.25">
      <c r="A4" t="s">
        <v>650</v>
      </c>
      <c r="B4" s="9">
        <f>B3*J4</f>
        <v>3.7854100000000002</v>
      </c>
      <c r="C4" t="s">
        <v>652</v>
      </c>
      <c r="D4" s="69">
        <f>1.3*10^8</f>
        <v>130000000</v>
      </c>
      <c r="F4" t="s">
        <v>1262</v>
      </c>
      <c r="J4">
        <v>3.7854100000000002</v>
      </c>
    </row>
    <row r="5" spans="1:10" x14ac:dyDescent="0.25">
      <c r="A5" t="s">
        <v>650</v>
      </c>
      <c r="B5">
        <v>1</v>
      </c>
      <c r="C5" t="s">
        <v>653</v>
      </c>
      <c r="D5" s="140">
        <f>D4/B4</f>
        <v>34342382.991538562</v>
      </c>
    </row>
    <row r="6" spans="1:10" x14ac:dyDescent="0.25">
      <c r="A6" t="s">
        <v>654</v>
      </c>
      <c r="B6">
        <v>1</v>
      </c>
      <c r="C6" t="s">
        <v>655</v>
      </c>
      <c r="D6" s="69">
        <f>3.6*10^6</f>
        <v>3600000</v>
      </c>
    </row>
    <row r="8" spans="1:10" x14ac:dyDescent="0.25">
      <c r="A8" t="s">
        <v>656</v>
      </c>
      <c r="B8" t="s">
        <v>657</v>
      </c>
      <c r="C8" t="s">
        <v>656</v>
      </c>
      <c r="D8" s="718">
        <f>D5/D6</f>
        <v>9.5395508309829342</v>
      </c>
      <c r="E8" t="s">
        <v>658</v>
      </c>
    </row>
    <row r="9" spans="1:10" x14ac:dyDescent="0.25">
      <c r="A9" t="s">
        <v>656</v>
      </c>
      <c r="B9" t="s">
        <v>658</v>
      </c>
      <c r="C9" t="s">
        <v>656</v>
      </c>
      <c r="D9" s="718">
        <f>1/D8</f>
        <v>0.10482673846153846</v>
      </c>
      <c r="E9" t="s">
        <v>657</v>
      </c>
    </row>
    <row r="12" spans="1:10" ht="15.75" x14ac:dyDescent="0.25">
      <c r="A12" s="465" t="s">
        <v>659</v>
      </c>
      <c r="B12">
        <v>835</v>
      </c>
      <c r="C12" t="s">
        <v>660</v>
      </c>
      <c r="D12" t="s">
        <v>345</v>
      </c>
      <c r="E12" s="20" t="s">
        <v>661</v>
      </c>
    </row>
    <row r="13" spans="1:10" x14ac:dyDescent="0.25">
      <c r="A13" t="s">
        <v>662</v>
      </c>
      <c r="B13" s="119">
        <v>0.86199999999999999</v>
      </c>
      <c r="C13" t="s">
        <v>663</v>
      </c>
    </row>
    <row r="14" spans="1:10" x14ac:dyDescent="0.25">
      <c r="A14" t="s">
        <v>664</v>
      </c>
      <c r="B14">
        <f>B13*B12</f>
        <v>719.77</v>
      </c>
      <c r="C14" t="s">
        <v>348</v>
      </c>
    </row>
    <row r="15" spans="1:10" x14ac:dyDescent="0.25">
      <c r="A15" t="s">
        <v>665</v>
      </c>
      <c r="B15" s="324">
        <f>D9*B14</f>
        <v>75.451141542461542</v>
      </c>
      <c r="C15" t="s">
        <v>348</v>
      </c>
      <c r="D15" s="1">
        <f>B15/1000000</f>
        <v>7.5451141542461542E-5</v>
      </c>
      <c r="E15" t="s">
        <v>666</v>
      </c>
    </row>
    <row r="16" spans="1:10" ht="18" x14ac:dyDescent="0.35">
      <c r="A16" s="1" t="s">
        <v>334</v>
      </c>
      <c r="C16" s="124">
        <f>44*E16/12</f>
        <v>187</v>
      </c>
      <c r="D16" s="73" t="s">
        <v>335</v>
      </c>
      <c r="E16" s="136">
        <v>51</v>
      </c>
      <c r="G16" s="20" t="s">
        <v>333</v>
      </c>
    </row>
    <row r="17" spans="6:7" x14ac:dyDescent="0.25">
      <c r="F17" t="s">
        <v>96</v>
      </c>
      <c r="G17" s="20" t="s">
        <v>336</v>
      </c>
    </row>
    <row r="18" spans="6:7" x14ac:dyDescent="0.25">
      <c r="G18" s="20" t="s">
        <v>339</v>
      </c>
    </row>
  </sheetData>
  <hyperlinks>
    <hyperlink ref="F2" r:id="rId1" xr:uid="{7DD0A469-7EA9-47C1-B319-015FB3F507AD}"/>
    <hyperlink ref="E12" r:id="rId2" location=":~:text=1%20liter%20of%20diesel%20weighs,of%20CO2%2Fliter%20diesel. " xr:uid="{0BE50625-2B0A-4A4F-B9F9-9581A65009A7}"/>
    <hyperlink ref="G16" r:id="rId3" xr:uid="{B0E5FAE6-1C1B-4E4C-B671-24E4193D28E7}"/>
    <hyperlink ref="G18" r:id="rId4" location=":~:text=The%20study%2C%20published%20today%20in,estimate%20of%20%2451%20per%20ton. " xr:uid="{80205F9B-3BE6-4E31-AB4F-23959FE13352}"/>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7FB89-4358-4DD2-ABD1-A9167F9E276C}">
  <dimension ref="A1:N82"/>
  <sheetViews>
    <sheetView topLeftCell="A67" workbookViewId="0">
      <selection activeCell="C81" sqref="C81"/>
    </sheetView>
  </sheetViews>
  <sheetFormatPr defaultRowHeight="15" x14ac:dyDescent="0.25"/>
  <cols>
    <col min="2" max="2" width="36.42578125" customWidth="1"/>
    <col min="3" max="3" width="20.5703125" customWidth="1"/>
    <col min="4" max="4" width="14.85546875" bestFit="1" customWidth="1"/>
    <col min="5" max="7" width="17.42578125" bestFit="1" customWidth="1"/>
    <col min="8" max="8" width="18.42578125" bestFit="1" customWidth="1"/>
    <col min="9" max="9" width="14.85546875" bestFit="1" customWidth="1"/>
    <col min="10" max="10" width="18.42578125" bestFit="1" customWidth="1"/>
    <col min="11" max="11" width="13" customWidth="1"/>
    <col min="12" max="12" width="13.85546875" customWidth="1"/>
    <col min="13" max="13" width="12.85546875" customWidth="1"/>
    <col min="14" max="14" width="16.140625" customWidth="1"/>
    <col min="15" max="15" width="13.140625" customWidth="1"/>
    <col min="17" max="17" width="14.5703125" bestFit="1" customWidth="1"/>
  </cols>
  <sheetData>
    <row r="1" spans="1:9" ht="18.75" x14ac:dyDescent="0.3">
      <c r="A1" s="12" t="s">
        <v>667</v>
      </c>
      <c r="H1" s="76"/>
    </row>
    <row r="2" spans="1:9" x14ac:dyDescent="0.25">
      <c r="A2" t="s">
        <v>372</v>
      </c>
      <c r="C2" s="24">
        <f>'Cereals-all-year'!K2</f>
        <v>134280440000</v>
      </c>
      <c r="H2" s="175"/>
      <c r="I2" s="30"/>
    </row>
    <row r="3" spans="1:9" ht="15.75" thickBot="1" x14ac:dyDescent="0.3">
      <c r="A3" t="s">
        <v>373</v>
      </c>
      <c r="C3" s="24">
        <f>'Cereals-all-year'!K3</f>
        <v>46690000000</v>
      </c>
    </row>
    <row r="4" spans="1:9" x14ac:dyDescent="0.25">
      <c r="B4" s="853" t="s">
        <v>668</v>
      </c>
      <c r="C4" s="798" t="s">
        <v>669</v>
      </c>
      <c r="D4" s="848"/>
      <c r="E4" s="848"/>
      <c r="F4" s="848"/>
      <c r="G4" s="849"/>
      <c r="H4" s="855" t="s">
        <v>367</v>
      </c>
    </row>
    <row r="5" spans="1:9" ht="45" x14ac:dyDescent="0.25">
      <c r="B5" s="854"/>
      <c r="C5" s="87" t="s">
        <v>375</v>
      </c>
      <c r="D5" s="85" t="s">
        <v>376</v>
      </c>
      <c r="E5" s="85" t="s">
        <v>377</v>
      </c>
      <c r="F5" s="85" t="s">
        <v>378</v>
      </c>
      <c r="G5" s="85" t="s">
        <v>379</v>
      </c>
      <c r="H5" s="856"/>
    </row>
    <row r="6" spans="1:9" x14ac:dyDescent="0.25">
      <c r="B6" s="143" t="s">
        <v>24</v>
      </c>
      <c r="C6" s="43" t="e">
        <f>'Cereals-all-year'!B219</f>
        <v>#DIV/0!</v>
      </c>
      <c r="D6" s="43">
        <f>'Cereals-all-year'!C219</f>
        <v>0</v>
      </c>
      <c r="E6" s="43">
        <f>'Cereals-all-year'!D219</f>
        <v>0</v>
      </c>
      <c r="F6" s="43" t="e">
        <f>'Cereals-all-year'!E219</f>
        <v>#DIV/0!</v>
      </c>
      <c r="G6" s="46" t="e">
        <f>SUM(C6:F6)</f>
        <v>#DIV/0!</v>
      </c>
      <c r="H6" s="150" t="e">
        <f>G6/$C$3</f>
        <v>#DIV/0!</v>
      </c>
    </row>
    <row r="7" spans="1:9" x14ac:dyDescent="0.25">
      <c r="B7" s="143" t="s">
        <v>26</v>
      </c>
      <c r="C7" s="43" t="e">
        <f>'Legumes-all-year'!B222</f>
        <v>#DIV/0!</v>
      </c>
      <c r="D7" s="43">
        <f>'Legumes-all-year'!C222</f>
        <v>0</v>
      </c>
      <c r="E7" s="43">
        <f>'Legumes-all-year'!D222</f>
        <v>0</v>
      </c>
      <c r="F7" s="43" t="e">
        <f>'Legumes-all-year'!E222</f>
        <v>#DIV/0!</v>
      </c>
      <c r="G7" s="46" t="e">
        <f t="shared" ref="G7:G12" si="0">SUM(C7:F7)</f>
        <v>#DIV/0!</v>
      </c>
      <c r="H7" s="150" t="e">
        <f t="shared" ref="H7:H11" si="1">G7/$C$3</f>
        <v>#DIV/0!</v>
      </c>
    </row>
    <row r="8" spans="1:9" x14ac:dyDescent="0.25">
      <c r="B8" s="143" t="s">
        <v>28</v>
      </c>
      <c r="C8" s="43" t="e">
        <f>'Vegetables-all-year'!B222</f>
        <v>#DIV/0!</v>
      </c>
      <c r="D8" s="43">
        <f>'Vegetables-all-year'!C222</f>
        <v>0</v>
      </c>
      <c r="E8" s="43" t="e">
        <f>'Vegetables-all-year'!D222</f>
        <v>#DIV/0!</v>
      </c>
      <c r="F8" s="43" t="e">
        <f>'Vegetables-all-year'!E222</f>
        <v>#DIV/0!</v>
      </c>
      <c r="G8" s="46" t="e">
        <f t="shared" si="0"/>
        <v>#DIV/0!</v>
      </c>
      <c r="H8" s="150" t="e">
        <f>G8/$C$3</f>
        <v>#DIV/0!</v>
      </c>
    </row>
    <row r="9" spans="1:9" ht="15.75" thickBot="1" x14ac:dyDescent="0.3">
      <c r="B9" s="143" t="s">
        <v>30</v>
      </c>
      <c r="C9" s="43" t="e">
        <f>'Fruits-all-year'!B225</f>
        <v>#DIV/0!</v>
      </c>
      <c r="D9" s="43">
        <f>'Fruits-all-year'!C225</f>
        <v>0</v>
      </c>
      <c r="E9" s="43" t="e">
        <f>'Fruits-all-year'!D225</f>
        <v>#DIV/0!</v>
      </c>
      <c r="F9" s="43" t="e">
        <f>'Fruits-all-year'!E225</f>
        <v>#DIV/0!</v>
      </c>
      <c r="G9" s="46" t="e">
        <f t="shared" si="0"/>
        <v>#DIV/0!</v>
      </c>
      <c r="H9" s="150" t="e">
        <f>G9/$C$3</f>
        <v>#DIV/0!</v>
      </c>
    </row>
    <row r="10" spans="1:9" ht="15.75" thickBot="1" x14ac:dyDescent="0.3">
      <c r="B10" s="177" t="s">
        <v>670</v>
      </c>
      <c r="C10" s="43" t="e">
        <f>'Annual-forages-all-year'!B222</f>
        <v>#DIV/0!</v>
      </c>
      <c r="D10" s="43">
        <f>'Annual-forages-all-year'!C222</f>
        <v>0</v>
      </c>
      <c r="E10" s="43">
        <f>'Annual-forages-all-year'!D222</f>
        <v>0</v>
      </c>
      <c r="F10" s="43" t="e">
        <f>'Annual-forages-all-year'!E222</f>
        <v>#DIV/0!</v>
      </c>
      <c r="G10" s="46" t="e">
        <f t="shared" si="0"/>
        <v>#DIV/0!</v>
      </c>
      <c r="H10" s="150" t="e">
        <f>G10/$C$3</f>
        <v>#DIV/0!</v>
      </c>
    </row>
    <row r="11" spans="1:9" x14ac:dyDescent="0.25">
      <c r="B11" s="143" t="s">
        <v>131</v>
      </c>
      <c r="C11" s="43">
        <f>'Alfalfa-all-year'!B222</f>
        <v>0</v>
      </c>
      <c r="D11" s="43">
        <f>'Alfalfa-all-year'!C222</f>
        <v>0</v>
      </c>
      <c r="E11" s="43">
        <f>'Alfalfa-all-year'!D222</f>
        <v>0</v>
      </c>
      <c r="F11" s="43">
        <f>'Alfalfa-all-year'!E222</f>
        <v>0</v>
      </c>
      <c r="G11" s="46">
        <f t="shared" si="0"/>
        <v>0</v>
      </c>
      <c r="H11" s="150">
        <f t="shared" si="1"/>
        <v>0</v>
      </c>
    </row>
    <row r="12" spans="1:9" x14ac:dyDescent="0.25">
      <c r="B12" s="144" t="s">
        <v>163</v>
      </c>
      <c r="C12" s="46" t="e">
        <f>SUM(C6:C11)</f>
        <v>#DIV/0!</v>
      </c>
      <c r="D12" s="46">
        <f>SUM(D6:D11)</f>
        <v>0</v>
      </c>
      <c r="E12" s="46" t="e">
        <f>SUM(E6:E11)</f>
        <v>#DIV/0!</v>
      </c>
      <c r="F12" s="46" t="e">
        <f>SUM(F6:F11)</f>
        <v>#DIV/0!</v>
      </c>
      <c r="G12" s="46" t="e">
        <f t="shared" si="0"/>
        <v>#DIV/0!</v>
      </c>
      <c r="H12" s="150" t="e">
        <f t="shared" ref="H12" si="2">G12/$C$3</f>
        <v>#DIV/0!</v>
      </c>
      <c r="I12" s="338" t="e">
        <f>C12/I76</f>
        <v>#DIV/0!</v>
      </c>
    </row>
    <row r="13" spans="1:9" x14ac:dyDescent="0.25">
      <c r="B13" s="478" t="s">
        <v>671</v>
      </c>
      <c r="C13" s="335" t="e">
        <f>C12/$G$12</f>
        <v>#DIV/0!</v>
      </c>
      <c r="D13" s="335" t="e">
        <f t="shared" ref="D13:G13" si="3">D12/$G$12</f>
        <v>#DIV/0!</v>
      </c>
      <c r="E13" s="335" t="e">
        <f t="shared" si="3"/>
        <v>#DIV/0!</v>
      </c>
      <c r="F13" s="335" t="e">
        <f t="shared" si="3"/>
        <v>#DIV/0!</v>
      </c>
      <c r="G13" s="335" t="e">
        <f t="shared" si="3"/>
        <v>#DIV/0!</v>
      </c>
      <c r="H13" s="474"/>
      <c r="I13" s="38"/>
    </row>
    <row r="14" spans="1:9" ht="15.75" thickBot="1" x14ac:dyDescent="0.3">
      <c r="B14" s="146" t="s">
        <v>393</v>
      </c>
      <c r="C14" s="165" t="e">
        <f>C12/$C$3</f>
        <v>#DIV/0!</v>
      </c>
      <c r="D14" s="165">
        <f t="shared" ref="D14:G14" si="4">D12/$C$3</f>
        <v>0</v>
      </c>
      <c r="E14" s="165" t="e">
        <f t="shared" si="4"/>
        <v>#DIV/0!</v>
      </c>
      <c r="F14" s="165" t="e">
        <f t="shared" si="4"/>
        <v>#DIV/0!</v>
      </c>
      <c r="G14" s="165" t="e">
        <f t="shared" si="4"/>
        <v>#DIV/0!</v>
      </c>
      <c r="H14" s="167"/>
    </row>
    <row r="15" spans="1:9" x14ac:dyDescent="0.25">
      <c r="G15" s="92" t="e">
        <f>G12*9.7</f>
        <v>#DIV/0!</v>
      </c>
    </row>
    <row r="16" spans="1:9" ht="16.5" thickBot="1" x14ac:dyDescent="0.3">
      <c r="A16" s="148" t="s">
        <v>667</v>
      </c>
    </row>
    <row r="17" spans="2:11" ht="15.75" thickBot="1" x14ac:dyDescent="0.3">
      <c r="B17" s="861" t="s">
        <v>101</v>
      </c>
      <c r="C17" s="469" t="s">
        <v>672</v>
      </c>
      <c r="D17" s="470"/>
      <c r="E17" s="470"/>
      <c r="F17" s="470"/>
      <c r="G17" s="470"/>
      <c r="H17" s="470"/>
      <c r="I17" s="470"/>
      <c r="J17" s="471"/>
    </row>
    <row r="18" spans="2:11" ht="15.75" thickBot="1" x14ac:dyDescent="0.3">
      <c r="B18" s="862"/>
      <c r="C18" s="203" t="s">
        <v>24</v>
      </c>
      <c r="D18" s="203" t="s">
        <v>26</v>
      </c>
      <c r="E18" s="177" t="s">
        <v>28</v>
      </c>
      <c r="F18" s="177" t="s">
        <v>30</v>
      </c>
      <c r="G18" s="177" t="s">
        <v>670</v>
      </c>
      <c r="H18" s="299" t="s">
        <v>552</v>
      </c>
      <c r="I18" s="178" t="s">
        <v>673</v>
      </c>
      <c r="J18" s="192" t="s">
        <v>393</v>
      </c>
      <c r="K18" s="193"/>
    </row>
    <row r="19" spans="2:11" ht="15.75" thickBot="1" x14ac:dyDescent="0.3">
      <c r="B19" s="15" t="s">
        <v>139</v>
      </c>
      <c r="C19" s="472" t="e">
        <f>'Cereals-all-year'!F195</f>
        <v>#DIV/0!</v>
      </c>
      <c r="D19" s="472" t="e">
        <f>'Legumes-all-year'!F198</f>
        <v>#DIV/0!</v>
      </c>
      <c r="E19" s="472" t="e">
        <f>'Vegetables-all-year'!F198</f>
        <v>#DIV/0!</v>
      </c>
      <c r="F19" s="472" t="e">
        <f>'Fruits-all-year'!F201</f>
        <v>#DIV/0!</v>
      </c>
      <c r="G19" s="472" t="e">
        <f>'Annual-forages-all-year'!F198</f>
        <v>#DIV/0!</v>
      </c>
      <c r="H19" s="472">
        <f>'Alfalfa-all-year'!F198</f>
        <v>0</v>
      </c>
      <c r="I19" s="473" t="e">
        <f>SUM(C19:H19)</f>
        <v>#DIV/0!</v>
      </c>
      <c r="J19" s="168" t="e">
        <f>I19/$C$3</f>
        <v>#DIV/0!</v>
      </c>
    </row>
    <row r="20" spans="2:11" ht="15.75" thickBot="1" x14ac:dyDescent="0.3">
      <c r="B20" s="15" t="s">
        <v>140</v>
      </c>
      <c r="C20" s="472" t="e">
        <f>'Cereals-all-year'!F196</f>
        <v>#DIV/0!</v>
      </c>
      <c r="D20" s="472" t="e">
        <f>'Legumes-all-year'!F199</f>
        <v>#DIV/0!</v>
      </c>
      <c r="E20" s="472" t="e">
        <f>'Vegetables-all-year'!F199</f>
        <v>#DIV/0!</v>
      </c>
      <c r="F20" s="472" t="e">
        <f>'Fruits-all-year'!F202</f>
        <v>#DIV/0!</v>
      </c>
      <c r="G20" s="472" t="e">
        <f>'Annual-forages-all-year'!F199</f>
        <v>#DIV/0!</v>
      </c>
      <c r="H20" s="472">
        <f>'Alfalfa-all-year'!F199</f>
        <v>0</v>
      </c>
      <c r="I20" s="473" t="e">
        <f t="shared" ref="I20:I42" si="5">SUM(C20:H20)</f>
        <v>#DIV/0!</v>
      </c>
      <c r="J20" s="168" t="e">
        <f t="shared" ref="J20:J42" si="6">I20/$C$3</f>
        <v>#DIV/0!</v>
      </c>
    </row>
    <row r="21" spans="2:11" ht="15.75" thickBot="1" x14ac:dyDescent="0.3">
      <c r="B21" s="15" t="s">
        <v>141</v>
      </c>
      <c r="C21" s="472" t="e">
        <f>'Cereals-all-year'!F197</f>
        <v>#DIV/0!</v>
      </c>
      <c r="D21" s="472" t="e">
        <f>'Legumes-all-year'!F200</f>
        <v>#DIV/0!</v>
      </c>
      <c r="E21" s="472" t="e">
        <f>'Vegetables-all-year'!F200</f>
        <v>#DIV/0!</v>
      </c>
      <c r="F21" s="472" t="e">
        <f>'Fruits-all-year'!F203</f>
        <v>#DIV/0!</v>
      </c>
      <c r="G21" s="472" t="e">
        <f>'Annual-forages-all-year'!F200</f>
        <v>#DIV/0!</v>
      </c>
      <c r="H21" s="472">
        <f>'Alfalfa-all-year'!F200</f>
        <v>0</v>
      </c>
      <c r="I21" s="473" t="e">
        <f t="shared" si="5"/>
        <v>#DIV/0!</v>
      </c>
      <c r="J21" s="168" t="e">
        <f t="shared" si="6"/>
        <v>#DIV/0!</v>
      </c>
    </row>
    <row r="22" spans="2:11" ht="15.75" thickBot="1" x14ac:dyDescent="0.3">
      <c r="B22" s="15" t="s">
        <v>142</v>
      </c>
      <c r="C22" s="472" t="e">
        <f>'Cereals-all-year'!F198</f>
        <v>#DIV/0!</v>
      </c>
      <c r="D22" s="472" t="e">
        <f>'Legumes-all-year'!F201</f>
        <v>#DIV/0!</v>
      </c>
      <c r="E22" s="472" t="e">
        <f>'Vegetables-all-year'!F201</f>
        <v>#DIV/0!</v>
      </c>
      <c r="F22" s="472" t="e">
        <f>'Fruits-all-year'!F204</f>
        <v>#DIV/0!</v>
      </c>
      <c r="G22" s="472" t="e">
        <f>'Annual-forages-all-year'!F201</f>
        <v>#DIV/0!</v>
      </c>
      <c r="H22" s="472">
        <f>'Alfalfa-all-year'!F201</f>
        <v>0</v>
      </c>
      <c r="I22" s="473" t="e">
        <f t="shared" si="5"/>
        <v>#DIV/0!</v>
      </c>
      <c r="J22" s="168" t="e">
        <f t="shared" si="6"/>
        <v>#DIV/0!</v>
      </c>
    </row>
    <row r="23" spans="2:11" ht="15.75" thickBot="1" x14ac:dyDescent="0.3">
      <c r="B23" s="15" t="s">
        <v>143</v>
      </c>
      <c r="C23" s="472" t="e">
        <f>'Cereals-all-year'!F199</f>
        <v>#DIV/0!</v>
      </c>
      <c r="D23" s="472" t="e">
        <f>'Legumes-all-year'!F202</f>
        <v>#DIV/0!</v>
      </c>
      <c r="E23" s="472" t="e">
        <f>'Vegetables-all-year'!F202</f>
        <v>#DIV/0!</v>
      </c>
      <c r="F23" s="472" t="e">
        <f>'Fruits-all-year'!F205</f>
        <v>#DIV/0!</v>
      </c>
      <c r="G23" s="472" t="e">
        <f>'Annual-forages-all-year'!F202</f>
        <v>#DIV/0!</v>
      </c>
      <c r="H23" s="472">
        <f>'Alfalfa-all-year'!F202</f>
        <v>0</v>
      </c>
      <c r="I23" s="473" t="e">
        <f t="shared" si="5"/>
        <v>#DIV/0!</v>
      </c>
      <c r="J23" s="168" t="e">
        <f t="shared" si="6"/>
        <v>#DIV/0!</v>
      </c>
    </row>
    <row r="24" spans="2:11" ht="15.75" thickBot="1" x14ac:dyDescent="0.3">
      <c r="B24" s="15" t="s">
        <v>144</v>
      </c>
      <c r="C24" s="472" t="e">
        <f>'Cereals-all-year'!F200</f>
        <v>#DIV/0!</v>
      </c>
      <c r="D24" s="472" t="e">
        <f>'Legumes-all-year'!F203</f>
        <v>#DIV/0!</v>
      </c>
      <c r="E24" s="472" t="e">
        <f>'Vegetables-all-year'!F203</f>
        <v>#DIV/0!</v>
      </c>
      <c r="F24" s="472" t="e">
        <f>'Fruits-all-year'!F206</f>
        <v>#DIV/0!</v>
      </c>
      <c r="G24" s="472" t="e">
        <f>'Annual-forages-all-year'!F203</f>
        <v>#DIV/0!</v>
      </c>
      <c r="H24" s="472">
        <f>'Alfalfa-all-year'!F203</f>
        <v>0</v>
      </c>
      <c r="I24" s="473" t="e">
        <f t="shared" si="5"/>
        <v>#DIV/0!</v>
      </c>
      <c r="J24" s="168" t="e">
        <f t="shared" si="6"/>
        <v>#DIV/0!</v>
      </c>
    </row>
    <row r="25" spans="2:11" ht="15.75" thickBot="1" x14ac:dyDescent="0.3">
      <c r="B25" s="15" t="s">
        <v>145</v>
      </c>
      <c r="C25" s="472" t="e">
        <f>'Cereals-all-year'!F201</f>
        <v>#DIV/0!</v>
      </c>
      <c r="D25" s="472" t="e">
        <f>'Legumes-all-year'!F204</f>
        <v>#DIV/0!</v>
      </c>
      <c r="E25" s="472" t="e">
        <f>'Vegetables-all-year'!F204</f>
        <v>#DIV/0!</v>
      </c>
      <c r="F25" s="472" t="e">
        <f>'Fruits-all-year'!F207</f>
        <v>#DIV/0!</v>
      </c>
      <c r="G25" s="472" t="e">
        <f>'Annual-forages-all-year'!F204</f>
        <v>#DIV/0!</v>
      </c>
      <c r="H25" s="472">
        <f>'Alfalfa-all-year'!F204</f>
        <v>0</v>
      </c>
      <c r="I25" s="473" t="e">
        <f t="shared" si="5"/>
        <v>#DIV/0!</v>
      </c>
      <c r="J25" s="168" t="e">
        <f t="shared" si="6"/>
        <v>#DIV/0!</v>
      </c>
    </row>
    <row r="26" spans="2:11" ht="15.75" thickBot="1" x14ac:dyDescent="0.3">
      <c r="B26" s="15" t="s">
        <v>146</v>
      </c>
      <c r="C26" s="472" t="e">
        <f>'Cereals-all-year'!F202</f>
        <v>#DIV/0!</v>
      </c>
      <c r="D26" s="472" t="e">
        <f>'Legumes-all-year'!F205</f>
        <v>#DIV/0!</v>
      </c>
      <c r="E26" s="472" t="e">
        <f>'Vegetables-all-year'!F205</f>
        <v>#DIV/0!</v>
      </c>
      <c r="F26" s="472" t="e">
        <f>'Fruits-all-year'!F208</f>
        <v>#DIV/0!</v>
      </c>
      <c r="G26" s="472" t="e">
        <f>'Annual-forages-all-year'!F205</f>
        <v>#DIV/0!</v>
      </c>
      <c r="H26" s="472">
        <f>'Alfalfa-all-year'!F205</f>
        <v>0</v>
      </c>
      <c r="I26" s="473" t="e">
        <f t="shared" si="5"/>
        <v>#DIV/0!</v>
      </c>
      <c r="J26" s="168" t="e">
        <f t="shared" si="6"/>
        <v>#DIV/0!</v>
      </c>
    </row>
    <row r="27" spans="2:11" ht="15.75" thickBot="1" x14ac:dyDescent="0.3">
      <c r="B27" s="15" t="s">
        <v>147</v>
      </c>
      <c r="C27" s="472" t="e">
        <f>'Cereals-all-year'!F203</f>
        <v>#DIV/0!</v>
      </c>
      <c r="D27" s="472" t="e">
        <f>'Legumes-all-year'!F206</f>
        <v>#DIV/0!</v>
      </c>
      <c r="E27" s="472" t="e">
        <f>'Vegetables-all-year'!F206</f>
        <v>#DIV/0!</v>
      </c>
      <c r="F27" s="472" t="e">
        <f>'Fruits-all-year'!F209</f>
        <v>#DIV/0!</v>
      </c>
      <c r="G27" s="472" t="e">
        <f>'Annual-forages-all-year'!F206</f>
        <v>#DIV/0!</v>
      </c>
      <c r="H27" s="472">
        <f>'Alfalfa-all-year'!F206</f>
        <v>0</v>
      </c>
      <c r="I27" s="473" t="e">
        <f t="shared" si="5"/>
        <v>#DIV/0!</v>
      </c>
      <c r="J27" s="168" t="e">
        <f t="shared" si="6"/>
        <v>#DIV/0!</v>
      </c>
    </row>
    <row r="28" spans="2:11" ht="15.75" thickBot="1" x14ac:dyDescent="0.3">
      <c r="B28" s="15" t="s">
        <v>148</v>
      </c>
      <c r="C28" s="472" t="e">
        <f>'Cereals-all-year'!F204</f>
        <v>#DIV/0!</v>
      </c>
      <c r="D28" s="472" t="e">
        <f>'Legumes-all-year'!F207</f>
        <v>#DIV/0!</v>
      </c>
      <c r="E28" s="472" t="e">
        <f>'Vegetables-all-year'!F207</f>
        <v>#DIV/0!</v>
      </c>
      <c r="F28" s="472" t="e">
        <f>'Fruits-all-year'!F210</f>
        <v>#DIV/0!</v>
      </c>
      <c r="G28" s="472" t="e">
        <f>'Annual-forages-all-year'!F207</f>
        <v>#DIV/0!</v>
      </c>
      <c r="H28" s="472">
        <f>'Alfalfa-all-year'!F207</f>
        <v>0</v>
      </c>
      <c r="I28" s="473" t="e">
        <f t="shared" si="5"/>
        <v>#DIV/0!</v>
      </c>
      <c r="J28" s="168" t="e">
        <f t="shared" si="6"/>
        <v>#DIV/0!</v>
      </c>
    </row>
    <row r="29" spans="2:11" ht="15.75" thickBot="1" x14ac:dyDescent="0.3">
      <c r="B29" s="15" t="s">
        <v>149</v>
      </c>
      <c r="C29" s="472" t="e">
        <f>'Cereals-all-year'!F205</f>
        <v>#DIV/0!</v>
      </c>
      <c r="D29" s="472" t="e">
        <f>'Legumes-all-year'!F208</f>
        <v>#DIV/0!</v>
      </c>
      <c r="E29" s="472" t="e">
        <f>'Vegetables-all-year'!F208</f>
        <v>#DIV/0!</v>
      </c>
      <c r="F29" s="472" t="e">
        <f>'Fruits-all-year'!F211</f>
        <v>#DIV/0!</v>
      </c>
      <c r="G29" s="472" t="e">
        <f>'Annual-forages-all-year'!F208</f>
        <v>#DIV/0!</v>
      </c>
      <c r="H29" s="472">
        <f>'Alfalfa-all-year'!F208</f>
        <v>0</v>
      </c>
      <c r="I29" s="473" t="e">
        <f t="shared" si="5"/>
        <v>#DIV/0!</v>
      </c>
      <c r="J29" s="168" t="e">
        <f t="shared" si="6"/>
        <v>#DIV/0!</v>
      </c>
    </row>
    <row r="30" spans="2:11" ht="15.75" thickBot="1" x14ac:dyDescent="0.3">
      <c r="B30" s="15" t="s">
        <v>150</v>
      </c>
      <c r="C30" s="472" t="e">
        <f>'Cereals-all-year'!F206</f>
        <v>#DIV/0!</v>
      </c>
      <c r="D30" s="472" t="e">
        <f>'Legumes-all-year'!F209</f>
        <v>#DIV/0!</v>
      </c>
      <c r="E30" s="472" t="e">
        <f>'Vegetables-all-year'!F209</f>
        <v>#DIV/0!</v>
      </c>
      <c r="F30" s="472" t="e">
        <f>'Fruits-all-year'!F212</f>
        <v>#DIV/0!</v>
      </c>
      <c r="G30" s="472" t="e">
        <f>'Annual-forages-all-year'!F209</f>
        <v>#DIV/0!</v>
      </c>
      <c r="H30" s="472">
        <f>'Alfalfa-all-year'!F209</f>
        <v>0</v>
      </c>
      <c r="I30" s="473" t="e">
        <f t="shared" si="5"/>
        <v>#DIV/0!</v>
      </c>
      <c r="J30" s="168" t="e">
        <f t="shared" si="6"/>
        <v>#DIV/0!</v>
      </c>
    </row>
    <row r="31" spans="2:11" ht="15.75" thickBot="1" x14ac:dyDescent="0.3">
      <c r="B31" s="15" t="s">
        <v>151</v>
      </c>
      <c r="C31" s="472" t="e">
        <f>'Cereals-all-year'!F207</f>
        <v>#DIV/0!</v>
      </c>
      <c r="D31" s="472" t="e">
        <f>'Legumes-all-year'!F210</f>
        <v>#DIV/0!</v>
      </c>
      <c r="E31" s="472" t="e">
        <f>'Vegetables-all-year'!F210</f>
        <v>#DIV/0!</v>
      </c>
      <c r="F31" s="472" t="e">
        <f>'Fruits-all-year'!F213</f>
        <v>#DIV/0!</v>
      </c>
      <c r="G31" s="472" t="e">
        <f>'Annual-forages-all-year'!F210</f>
        <v>#DIV/0!</v>
      </c>
      <c r="H31" s="472">
        <f>'Alfalfa-all-year'!F210</f>
        <v>0</v>
      </c>
      <c r="I31" s="473" t="e">
        <f t="shared" si="5"/>
        <v>#DIV/0!</v>
      </c>
      <c r="J31" s="168" t="e">
        <f t="shared" si="6"/>
        <v>#DIV/0!</v>
      </c>
    </row>
    <row r="32" spans="2:11" ht="15.75" thickBot="1" x14ac:dyDescent="0.3">
      <c r="B32" s="15" t="s">
        <v>152</v>
      </c>
      <c r="C32" s="472" t="e">
        <f>'Cereals-all-year'!F208</f>
        <v>#DIV/0!</v>
      </c>
      <c r="D32" s="472" t="e">
        <f>'Legumes-all-year'!F211</f>
        <v>#DIV/0!</v>
      </c>
      <c r="E32" s="472" t="e">
        <f>'Vegetables-all-year'!F211</f>
        <v>#DIV/0!</v>
      </c>
      <c r="F32" s="472" t="e">
        <f>'Fruits-all-year'!F214</f>
        <v>#DIV/0!</v>
      </c>
      <c r="G32" s="472" t="e">
        <f>'Annual-forages-all-year'!F211</f>
        <v>#DIV/0!</v>
      </c>
      <c r="H32" s="472">
        <f>'Alfalfa-all-year'!F211</f>
        <v>0</v>
      </c>
      <c r="I32" s="473" t="e">
        <f t="shared" si="5"/>
        <v>#DIV/0!</v>
      </c>
      <c r="J32" s="168" t="e">
        <f t="shared" si="6"/>
        <v>#DIV/0!</v>
      </c>
    </row>
    <row r="33" spans="2:10" ht="15.75" thickBot="1" x14ac:dyDescent="0.3">
      <c r="B33" s="15" t="s">
        <v>153</v>
      </c>
      <c r="C33" s="472" t="e">
        <f>'Cereals-all-year'!F209</f>
        <v>#DIV/0!</v>
      </c>
      <c r="D33" s="472" t="e">
        <f>'Legumes-all-year'!F212</f>
        <v>#DIV/0!</v>
      </c>
      <c r="E33" s="472" t="e">
        <f>'Vegetables-all-year'!F212</f>
        <v>#DIV/0!</v>
      </c>
      <c r="F33" s="472" t="e">
        <f>'Fruits-all-year'!F215</f>
        <v>#DIV/0!</v>
      </c>
      <c r="G33" s="472" t="e">
        <f>'Annual-forages-all-year'!F212</f>
        <v>#DIV/0!</v>
      </c>
      <c r="H33" s="472">
        <f>'Alfalfa-all-year'!F212</f>
        <v>0</v>
      </c>
      <c r="I33" s="473" t="e">
        <f t="shared" si="5"/>
        <v>#DIV/0!</v>
      </c>
      <c r="J33" s="168" t="e">
        <f t="shared" si="6"/>
        <v>#DIV/0!</v>
      </c>
    </row>
    <row r="34" spans="2:10" ht="15.75" thickBot="1" x14ac:dyDescent="0.3">
      <c r="B34" s="15" t="s">
        <v>154</v>
      </c>
      <c r="C34" s="472" t="e">
        <f>'Cereals-all-year'!F210</f>
        <v>#DIV/0!</v>
      </c>
      <c r="D34" s="472" t="e">
        <f>'Legumes-all-year'!F213</f>
        <v>#DIV/0!</v>
      </c>
      <c r="E34" s="472" t="e">
        <f>'Vegetables-all-year'!F213</f>
        <v>#DIV/0!</v>
      </c>
      <c r="F34" s="472" t="e">
        <f>'Fruits-all-year'!F216</f>
        <v>#DIV/0!</v>
      </c>
      <c r="G34" s="472" t="e">
        <f>'Annual-forages-all-year'!F213</f>
        <v>#DIV/0!</v>
      </c>
      <c r="H34" s="472">
        <f>'Alfalfa-all-year'!F213</f>
        <v>0</v>
      </c>
      <c r="I34" s="473" t="e">
        <f t="shared" si="5"/>
        <v>#DIV/0!</v>
      </c>
      <c r="J34" s="168" t="e">
        <f t="shared" si="6"/>
        <v>#DIV/0!</v>
      </c>
    </row>
    <row r="35" spans="2:10" ht="15.75" thickBot="1" x14ac:dyDescent="0.3">
      <c r="B35" s="15" t="s">
        <v>155</v>
      </c>
      <c r="C35" s="472" t="e">
        <f>'Cereals-all-year'!F211</f>
        <v>#DIV/0!</v>
      </c>
      <c r="D35" s="472" t="e">
        <f>'Legumes-all-year'!F214</f>
        <v>#DIV/0!</v>
      </c>
      <c r="E35" s="472" t="e">
        <f>'Vegetables-all-year'!F214</f>
        <v>#DIV/0!</v>
      </c>
      <c r="F35" s="472" t="e">
        <f>'Fruits-all-year'!F217</f>
        <v>#DIV/0!</v>
      </c>
      <c r="G35" s="472" t="e">
        <f>'Annual-forages-all-year'!F214</f>
        <v>#DIV/0!</v>
      </c>
      <c r="H35" s="472">
        <f>'Alfalfa-all-year'!F214</f>
        <v>0</v>
      </c>
      <c r="I35" s="473" t="e">
        <f t="shared" si="5"/>
        <v>#DIV/0!</v>
      </c>
      <c r="J35" s="168" t="e">
        <f t="shared" si="6"/>
        <v>#DIV/0!</v>
      </c>
    </row>
    <row r="36" spans="2:10" ht="15.75" thickBot="1" x14ac:dyDescent="0.3">
      <c r="B36" s="15" t="s">
        <v>156</v>
      </c>
      <c r="C36" s="472" t="e">
        <f>'Cereals-all-year'!F212</f>
        <v>#DIV/0!</v>
      </c>
      <c r="D36" s="472" t="e">
        <f>'Legumes-all-year'!F215</f>
        <v>#DIV/0!</v>
      </c>
      <c r="E36" s="472" t="e">
        <f>'Vegetables-all-year'!F215</f>
        <v>#DIV/0!</v>
      </c>
      <c r="F36" s="472" t="e">
        <f>'Fruits-all-year'!F218</f>
        <v>#DIV/0!</v>
      </c>
      <c r="G36" s="472" t="e">
        <f>'Annual-forages-all-year'!F215</f>
        <v>#DIV/0!</v>
      </c>
      <c r="H36" s="472">
        <f>'Alfalfa-all-year'!F215</f>
        <v>0</v>
      </c>
      <c r="I36" s="473" t="e">
        <f t="shared" si="5"/>
        <v>#DIV/0!</v>
      </c>
      <c r="J36" s="168" t="e">
        <f t="shared" si="6"/>
        <v>#DIV/0!</v>
      </c>
    </row>
    <row r="37" spans="2:10" ht="15.75" thickBot="1" x14ac:dyDescent="0.3">
      <c r="B37" s="15" t="s">
        <v>157</v>
      </c>
      <c r="C37" s="472" t="e">
        <f>'Cereals-all-year'!F213</f>
        <v>#DIV/0!</v>
      </c>
      <c r="D37" s="472" t="e">
        <f>'Legumes-all-year'!F216</f>
        <v>#DIV/0!</v>
      </c>
      <c r="E37" s="472" t="e">
        <f>'Vegetables-all-year'!F216</f>
        <v>#DIV/0!</v>
      </c>
      <c r="F37" s="472" t="e">
        <f>'Fruits-all-year'!F219</f>
        <v>#DIV/0!</v>
      </c>
      <c r="G37" s="472" t="e">
        <f>'Annual-forages-all-year'!F216</f>
        <v>#DIV/0!</v>
      </c>
      <c r="H37" s="472">
        <f>'Alfalfa-all-year'!F216</f>
        <v>0</v>
      </c>
      <c r="I37" s="473" t="e">
        <f t="shared" si="5"/>
        <v>#DIV/0!</v>
      </c>
      <c r="J37" s="168" t="e">
        <f t="shared" si="6"/>
        <v>#DIV/0!</v>
      </c>
    </row>
    <row r="38" spans="2:10" ht="15.75" thickBot="1" x14ac:dyDescent="0.3">
      <c r="B38" s="15" t="s">
        <v>158</v>
      </c>
      <c r="C38" s="472" t="e">
        <f>'Cereals-all-year'!F214</f>
        <v>#DIV/0!</v>
      </c>
      <c r="D38" s="472" t="e">
        <f>'Legumes-all-year'!F217</f>
        <v>#DIV/0!</v>
      </c>
      <c r="E38" s="472" t="e">
        <f>'Vegetables-all-year'!F217</f>
        <v>#DIV/0!</v>
      </c>
      <c r="F38" s="472" t="e">
        <f>'Fruits-all-year'!F220</f>
        <v>#DIV/0!</v>
      </c>
      <c r="G38" s="472" t="e">
        <f>'Annual-forages-all-year'!F217</f>
        <v>#DIV/0!</v>
      </c>
      <c r="H38" s="472">
        <f>'Alfalfa-all-year'!F217</f>
        <v>0</v>
      </c>
      <c r="I38" s="473" t="e">
        <f t="shared" si="5"/>
        <v>#DIV/0!</v>
      </c>
      <c r="J38" s="168" t="e">
        <f t="shared" si="6"/>
        <v>#DIV/0!</v>
      </c>
    </row>
    <row r="39" spans="2:10" ht="15.75" thickBot="1" x14ac:dyDescent="0.3">
      <c r="B39" s="15" t="s">
        <v>159</v>
      </c>
      <c r="C39" s="472" t="e">
        <f>'Cereals-all-year'!F215</f>
        <v>#DIV/0!</v>
      </c>
      <c r="D39" s="472" t="e">
        <f>'Legumes-all-year'!F218</f>
        <v>#DIV/0!</v>
      </c>
      <c r="E39" s="472" t="e">
        <f>'Vegetables-all-year'!F218</f>
        <v>#DIV/0!</v>
      </c>
      <c r="F39" s="472" t="e">
        <f>'Fruits-all-year'!F221</f>
        <v>#DIV/0!</v>
      </c>
      <c r="G39" s="472" t="e">
        <f>'Annual-forages-all-year'!F218</f>
        <v>#DIV/0!</v>
      </c>
      <c r="H39" s="472">
        <f>'Alfalfa-all-year'!F218</f>
        <v>0</v>
      </c>
      <c r="I39" s="473" t="e">
        <f t="shared" si="5"/>
        <v>#DIV/0!</v>
      </c>
      <c r="J39" s="168" t="e">
        <f t="shared" si="6"/>
        <v>#DIV/0!</v>
      </c>
    </row>
    <row r="40" spans="2:10" ht="15.75" thickBot="1" x14ac:dyDescent="0.3">
      <c r="B40" s="15" t="s">
        <v>160</v>
      </c>
      <c r="C40" s="472" t="e">
        <f>'Cereals-all-year'!F216</f>
        <v>#DIV/0!</v>
      </c>
      <c r="D40" s="472" t="e">
        <f>'Legumes-all-year'!F219</f>
        <v>#DIV/0!</v>
      </c>
      <c r="E40" s="472" t="e">
        <f>'Vegetables-all-year'!F219</f>
        <v>#DIV/0!</v>
      </c>
      <c r="F40" s="472" t="e">
        <f>'Fruits-all-year'!F222</f>
        <v>#DIV/0!</v>
      </c>
      <c r="G40" s="472" t="e">
        <f>'Annual-forages-all-year'!F219</f>
        <v>#DIV/0!</v>
      </c>
      <c r="H40" s="472">
        <f>'Alfalfa-all-year'!F219</f>
        <v>0</v>
      </c>
      <c r="I40" s="473" t="e">
        <f t="shared" si="5"/>
        <v>#DIV/0!</v>
      </c>
      <c r="J40" s="168" t="e">
        <f t="shared" si="6"/>
        <v>#DIV/0!</v>
      </c>
    </row>
    <row r="41" spans="2:10" ht="15.75" thickBot="1" x14ac:dyDescent="0.3">
      <c r="B41" s="15" t="s">
        <v>161</v>
      </c>
      <c r="C41" s="472" t="e">
        <f>'Cereals-all-year'!F217</f>
        <v>#DIV/0!</v>
      </c>
      <c r="D41" s="472" t="e">
        <f>'Legumes-all-year'!F220</f>
        <v>#DIV/0!</v>
      </c>
      <c r="E41" s="472" t="e">
        <f>'Vegetables-all-year'!F220</f>
        <v>#DIV/0!</v>
      </c>
      <c r="F41" s="472" t="e">
        <f>'Fruits-all-year'!F223</f>
        <v>#DIV/0!</v>
      </c>
      <c r="G41" s="472" t="e">
        <f>'Annual-forages-all-year'!F220</f>
        <v>#DIV/0!</v>
      </c>
      <c r="H41" s="472">
        <f>'Alfalfa-all-year'!F220</f>
        <v>0</v>
      </c>
      <c r="I41" s="473" t="e">
        <f t="shared" si="5"/>
        <v>#DIV/0!</v>
      </c>
      <c r="J41" s="168" t="e">
        <f t="shared" si="6"/>
        <v>#DIV/0!</v>
      </c>
    </row>
    <row r="42" spans="2:10" ht="15.75" thickBot="1" x14ac:dyDescent="0.3">
      <c r="B42" s="15" t="s">
        <v>162</v>
      </c>
      <c r="C42" s="472" t="e">
        <f>'Cereals-all-year'!F218</f>
        <v>#DIV/0!</v>
      </c>
      <c r="D42" s="472" t="e">
        <f>'Legumes-all-year'!F221</f>
        <v>#DIV/0!</v>
      </c>
      <c r="E42" s="472" t="e">
        <f>'Vegetables-all-year'!F221</f>
        <v>#DIV/0!</v>
      </c>
      <c r="F42" s="472" t="e">
        <f>'Fruits-all-year'!F224</f>
        <v>#DIV/0!</v>
      </c>
      <c r="G42" s="472" t="e">
        <f>'Annual-forages-all-year'!F221</f>
        <v>#DIV/0!</v>
      </c>
      <c r="H42" s="472">
        <f>'Alfalfa-all-year'!F221</f>
        <v>0</v>
      </c>
      <c r="I42" s="473" t="e">
        <f t="shared" si="5"/>
        <v>#DIV/0!</v>
      </c>
      <c r="J42" s="168" t="e">
        <f t="shared" si="6"/>
        <v>#DIV/0!</v>
      </c>
    </row>
    <row r="43" spans="2:10" ht="15.75" thickBot="1" x14ac:dyDescent="0.3">
      <c r="B43" s="179" t="str">
        <f>'Cereals-all-year'!A219</f>
        <v>Total Tunisia</v>
      </c>
      <c r="C43" s="473" t="e">
        <f>SUM(C19:C42)</f>
        <v>#DIV/0!</v>
      </c>
      <c r="D43" s="473" t="e">
        <f t="shared" ref="D43:H43" si="7">SUM(D19:D42)</f>
        <v>#DIV/0!</v>
      </c>
      <c r="E43" s="473" t="e">
        <f t="shared" si="7"/>
        <v>#DIV/0!</v>
      </c>
      <c r="F43" s="473" t="e">
        <f t="shared" si="7"/>
        <v>#DIV/0!</v>
      </c>
      <c r="G43" s="473" t="e">
        <f t="shared" si="7"/>
        <v>#DIV/0!</v>
      </c>
      <c r="H43" s="473">
        <f t="shared" si="7"/>
        <v>0</v>
      </c>
      <c r="I43" s="473" t="e">
        <f t="shared" ref="I43" si="8">SUM(C43:H43)</f>
        <v>#DIV/0!</v>
      </c>
      <c r="J43" s="168" t="e">
        <f t="shared" ref="J43" si="9">I43/$C$3</f>
        <v>#DIV/0!</v>
      </c>
    </row>
    <row r="44" spans="2:10" ht="15.75" thickBot="1" x14ac:dyDescent="0.3">
      <c r="B44" s="204" t="s">
        <v>367</v>
      </c>
      <c r="C44" s="387" t="e">
        <f t="shared" ref="C44:H44" si="10">C43/$C$3</f>
        <v>#DIV/0!</v>
      </c>
      <c r="D44" s="387" t="e">
        <f t="shared" si="10"/>
        <v>#DIV/0!</v>
      </c>
      <c r="E44" s="387" t="e">
        <f t="shared" si="10"/>
        <v>#DIV/0!</v>
      </c>
      <c r="F44" s="387" t="e">
        <f t="shared" si="10"/>
        <v>#DIV/0!</v>
      </c>
      <c r="G44" s="387" t="e">
        <f t="shared" si="10"/>
        <v>#DIV/0!</v>
      </c>
      <c r="H44" s="387">
        <f t="shared" si="10"/>
        <v>0</v>
      </c>
      <c r="I44" s="396" t="e">
        <f>SUM(C44:H44)</f>
        <v>#DIV/0!</v>
      </c>
      <c r="J44" s="474"/>
    </row>
    <row r="45" spans="2:10" ht="15.75" thickBot="1" x14ac:dyDescent="0.3">
      <c r="B45" s="178" t="s">
        <v>674</v>
      </c>
      <c r="C45" s="212" t="e">
        <f t="shared" ref="C45:I45" si="11">C44/$I$44</f>
        <v>#DIV/0!</v>
      </c>
      <c r="D45" s="212" t="e">
        <f t="shared" si="11"/>
        <v>#DIV/0!</v>
      </c>
      <c r="E45" s="212" t="e">
        <f t="shared" si="11"/>
        <v>#DIV/0!</v>
      </c>
      <c r="F45" s="212" t="e">
        <f t="shared" si="11"/>
        <v>#DIV/0!</v>
      </c>
      <c r="G45" s="212" t="e">
        <f t="shared" si="11"/>
        <v>#DIV/0!</v>
      </c>
      <c r="H45" s="212" t="e">
        <f t="shared" si="11"/>
        <v>#DIV/0!</v>
      </c>
      <c r="I45" s="212" t="e">
        <f t="shared" si="11"/>
        <v>#DIV/0!</v>
      </c>
      <c r="J45" s="207"/>
    </row>
    <row r="46" spans="2:10" x14ac:dyDescent="0.25">
      <c r="C46" t="e">
        <f>RANK(C43,$C$43:$H$43)</f>
        <v>#DIV/0!</v>
      </c>
      <c r="D46" t="e">
        <f t="shared" ref="D46:H46" si="12">RANK(D43,$C$43:$H$43)</f>
        <v>#DIV/0!</v>
      </c>
      <c r="E46" t="e">
        <f t="shared" si="12"/>
        <v>#DIV/0!</v>
      </c>
      <c r="F46" s="1" t="e">
        <f t="shared" si="12"/>
        <v>#DIV/0!</v>
      </c>
      <c r="G46" t="e">
        <f t="shared" si="12"/>
        <v>#DIV/0!</v>
      </c>
      <c r="H46" t="e">
        <f t="shared" si="12"/>
        <v>#DIV/0!</v>
      </c>
    </row>
    <row r="49" spans="1:14" ht="16.5" thickBot="1" x14ac:dyDescent="0.3">
      <c r="A49" s="148" t="s">
        <v>675</v>
      </c>
    </row>
    <row r="50" spans="1:14" ht="36" customHeight="1" thickBot="1" x14ac:dyDescent="0.3">
      <c r="B50" s="859" t="s">
        <v>101</v>
      </c>
      <c r="C50" s="469" t="s">
        <v>676</v>
      </c>
      <c r="D50" s="470"/>
      <c r="E50" s="470"/>
      <c r="F50" s="470"/>
      <c r="G50" s="470"/>
      <c r="H50" s="470"/>
      <c r="I50" s="864" t="s">
        <v>673</v>
      </c>
      <c r="J50" s="821" t="s">
        <v>677</v>
      </c>
      <c r="K50" s="855" t="s">
        <v>678</v>
      </c>
      <c r="L50" s="863" t="s">
        <v>679</v>
      </c>
      <c r="M50" s="857" t="s">
        <v>680</v>
      </c>
      <c r="N50" s="858" t="s">
        <v>681</v>
      </c>
    </row>
    <row r="51" spans="1:14" ht="15.75" thickBot="1" x14ac:dyDescent="0.3">
      <c r="B51" s="860"/>
      <c r="C51" s="299" t="s">
        <v>24</v>
      </c>
      <c r="D51" s="299" t="s">
        <v>26</v>
      </c>
      <c r="E51" s="299" t="s">
        <v>28</v>
      </c>
      <c r="F51" s="299" t="s">
        <v>30</v>
      </c>
      <c r="G51" s="299" t="s">
        <v>670</v>
      </c>
      <c r="H51" s="299" t="s">
        <v>552</v>
      </c>
      <c r="I51" s="865"/>
      <c r="J51" s="759"/>
      <c r="K51" s="856"/>
      <c r="L51" s="863"/>
      <c r="M51" s="857"/>
      <c r="N51" s="858"/>
    </row>
    <row r="52" spans="1:14" x14ac:dyDescent="0.25">
      <c r="B52" s="179" t="str">
        <f>B19</f>
        <v>Tunis</v>
      </c>
      <c r="C52" s="472">
        <f>'Cereals-all-year'!N34</f>
        <v>0</v>
      </c>
      <c r="D52" s="472">
        <f>'Legumes-all-year'!N37</f>
        <v>0</v>
      </c>
      <c r="E52" s="472">
        <f>'Vegetables-all-year'!N37</f>
        <v>0</v>
      </c>
      <c r="F52" s="472">
        <f>'Fruits-all-year'!N40</f>
        <v>0</v>
      </c>
      <c r="G52" s="472">
        <f>'Annual-forages-all-year'!N37</f>
        <v>0</v>
      </c>
      <c r="H52" s="472">
        <f>'Alfalfa-all-year'!N37</f>
        <v>0</v>
      </c>
      <c r="I52" s="475">
        <f t="shared" ref="I52" si="13">SUM(C52:H52)</f>
        <v>0</v>
      </c>
      <c r="J52" s="42" t="e">
        <f>I52/$I$76</f>
        <v>#DIV/0!</v>
      </c>
      <c r="K52" s="594" t="e">
        <f>I52/'Area&amp;production data'!AG5</f>
        <v>#DIV/0!</v>
      </c>
      <c r="L52" s="9">
        <f>RANK(I52,$I$52:$I$75)</f>
        <v>1</v>
      </c>
      <c r="M52" s="9" t="e">
        <f>RANK(K52,$K$52:$K$75)</f>
        <v>#DIV/0!</v>
      </c>
      <c r="N52" s="51" t="e">
        <f>I52/'Area&amp;production data'!AG5</f>
        <v>#DIV/0!</v>
      </c>
    </row>
    <row r="53" spans="1:14" x14ac:dyDescent="0.25">
      <c r="B53" s="179" t="str">
        <f t="shared" ref="B53:B76" si="14">B20</f>
        <v>Ariana</v>
      </c>
      <c r="C53" s="472">
        <f>'Cereals-all-year'!N35</f>
        <v>0</v>
      </c>
      <c r="D53" s="472">
        <f>'Legumes-all-year'!N38</f>
        <v>0</v>
      </c>
      <c r="E53" s="472">
        <f>'Vegetables-all-year'!N38</f>
        <v>0</v>
      </c>
      <c r="F53" s="472">
        <f>'Fruits-all-year'!N41</f>
        <v>0</v>
      </c>
      <c r="G53" s="472">
        <f>'Annual-forages-all-year'!N38</f>
        <v>0</v>
      </c>
      <c r="H53" s="472">
        <f>'Alfalfa-all-year'!N38</f>
        <v>0</v>
      </c>
      <c r="I53" s="475">
        <f t="shared" ref="I53:I66" si="15">SUM(C53:H53)</f>
        <v>0</v>
      </c>
      <c r="J53" s="42" t="e">
        <f t="shared" ref="J53:J76" si="16">I53/$I$76</f>
        <v>#DIV/0!</v>
      </c>
      <c r="K53" s="594" t="e">
        <f>I53/'Area&amp;production data'!AG6</f>
        <v>#DIV/0!</v>
      </c>
      <c r="L53" s="9">
        <f t="shared" ref="L53:L65" si="17">RANK(I53,$I$52:$I$75)</f>
        <v>1</v>
      </c>
      <c r="M53" s="9" t="e">
        <f t="shared" ref="M53:M65" si="18">RANK(K53,$K$52:$K$75)</f>
        <v>#DIV/0!</v>
      </c>
      <c r="N53" s="51" t="e">
        <f>I53/'Area&amp;production data'!AG6</f>
        <v>#DIV/0!</v>
      </c>
    </row>
    <row r="54" spans="1:14" x14ac:dyDescent="0.25">
      <c r="B54" s="179" t="str">
        <f t="shared" si="14"/>
        <v>La Manouba</v>
      </c>
      <c r="C54" s="472">
        <f>'Cereals-all-year'!N36</f>
        <v>0</v>
      </c>
      <c r="D54" s="472">
        <f>'Legumes-all-year'!N39</f>
        <v>0</v>
      </c>
      <c r="E54" s="472">
        <f>'Vegetables-all-year'!N39</f>
        <v>0</v>
      </c>
      <c r="F54" s="472">
        <f>'Fruits-all-year'!N42</f>
        <v>0</v>
      </c>
      <c r="G54" s="472">
        <f>'Annual-forages-all-year'!N39</f>
        <v>0</v>
      </c>
      <c r="H54" s="472">
        <f>'Alfalfa-all-year'!N39</f>
        <v>0</v>
      </c>
      <c r="I54" s="475">
        <f t="shared" si="15"/>
        <v>0</v>
      </c>
      <c r="J54" s="42" t="e">
        <f t="shared" si="16"/>
        <v>#DIV/0!</v>
      </c>
      <c r="K54" s="594" t="e">
        <f>I54/'Area&amp;production data'!AG7</f>
        <v>#DIV/0!</v>
      </c>
      <c r="L54" s="9">
        <f t="shared" si="17"/>
        <v>1</v>
      </c>
      <c r="M54" s="9" t="e">
        <f t="shared" si="18"/>
        <v>#DIV/0!</v>
      </c>
      <c r="N54" s="51" t="e">
        <f>I54/'Area&amp;production data'!AG7</f>
        <v>#DIV/0!</v>
      </c>
    </row>
    <row r="55" spans="1:14" x14ac:dyDescent="0.25">
      <c r="B55" s="179" t="str">
        <f t="shared" si="14"/>
        <v>Ben Arous</v>
      </c>
      <c r="C55" s="472">
        <f>'Cereals-all-year'!N37</f>
        <v>0</v>
      </c>
      <c r="D55" s="472">
        <f>'Legumes-all-year'!N40</f>
        <v>0</v>
      </c>
      <c r="E55" s="472">
        <f>'Vegetables-all-year'!N40</f>
        <v>0</v>
      </c>
      <c r="F55" s="472">
        <f>'Fruits-all-year'!N43</f>
        <v>0</v>
      </c>
      <c r="G55" s="472">
        <f>'Annual-forages-all-year'!N40</f>
        <v>0</v>
      </c>
      <c r="H55" s="472">
        <f>'Alfalfa-all-year'!N40</f>
        <v>0</v>
      </c>
      <c r="I55" s="475">
        <f t="shared" si="15"/>
        <v>0</v>
      </c>
      <c r="J55" s="42" t="e">
        <f t="shared" si="16"/>
        <v>#DIV/0!</v>
      </c>
      <c r="K55" s="594" t="e">
        <f>I55/'Area&amp;production data'!AG8</f>
        <v>#DIV/0!</v>
      </c>
      <c r="L55" s="9">
        <f t="shared" si="17"/>
        <v>1</v>
      </c>
      <c r="M55" s="9" t="e">
        <f t="shared" si="18"/>
        <v>#DIV/0!</v>
      </c>
      <c r="N55" s="51" t="e">
        <f>I55/'Area&amp;production data'!AG8</f>
        <v>#DIV/0!</v>
      </c>
    </row>
    <row r="56" spans="1:14" x14ac:dyDescent="0.25">
      <c r="B56" s="179" t="str">
        <f t="shared" si="14"/>
        <v>Nabeul</v>
      </c>
      <c r="C56" s="472">
        <f>'Cereals-all-year'!N38</f>
        <v>0</v>
      </c>
      <c r="D56" s="472">
        <f>'Legumes-all-year'!N41</f>
        <v>0</v>
      </c>
      <c r="E56" s="472">
        <f>'Vegetables-all-year'!N41</f>
        <v>0</v>
      </c>
      <c r="F56" s="472">
        <f>'Fruits-all-year'!N44</f>
        <v>0</v>
      </c>
      <c r="G56" s="472">
        <f>'Annual-forages-all-year'!N41</f>
        <v>0</v>
      </c>
      <c r="H56" s="472">
        <f>'Alfalfa-all-year'!N41</f>
        <v>0</v>
      </c>
      <c r="I56" s="475">
        <f t="shared" si="15"/>
        <v>0</v>
      </c>
      <c r="J56" s="42" t="e">
        <f t="shared" si="16"/>
        <v>#DIV/0!</v>
      </c>
      <c r="K56" s="594" t="e">
        <f>I56/'Area&amp;production data'!AG9</f>
        <v>#DIV/0!</v>
      </c>
      <c r="L56" s="9">
        <f t="shared" si="17"/>
        <v>1</v>
      </c>
      <c r="M56" s="9" t="e">
        <f t="shared" si="18"/>
        <v>#DIV/0!</v>
      </c>
      <c r="N56" s="51" t="e">
        <f>I56/'Area&amp;production data'!AG9</f>
        <v>#DIV/0!</v>
      </c>
    </row>
    <row r="57" spans="1:14" x14ac:dyDescent="0.25">
      <c r="B57" s="179" t="str">
        <f t="shared" si="14"/>
        <v>Bizerte</v>
      </c>
      <c r="C57" s="472">
        <f>'Cereals-all-year'!N39</f>
        <v>0</v>
      </c>
      <c r="D57" s="472">
        <f>'Legumes-all-year'!N42</f>
        <v>0</v>
      </c>
      <c r="E57" s="472">
        <f>'Vegetables-all-year'!N42</f>
        <v>0</v>
      </c>
      <c r="F57" s="472">
        <f>'Fruits-all-year'!N45</f>
        <v>0</v>
      </c>
      <c r="G57" s="472">
        <f>'Annual-forages-all-year'!N42</f>
        <v>0</v>
      </c>
      <c r="H57" s="472">
        <f>'Alfalfa-all-year'!N42</f>
        <v>0</v>
      </c>
      <c r="I57" s="475">
        <f t="shared" si="15"/>
        <v>0</v>
      </c>
      <c r="J57" s="42" t="e">
        <f t="shared" si="16"/>
        <v>#DIV/0!</v>
      </c>
      <c r="K57" s="594" t="e">
        <f>I57/'Area&amp;production data'!AG10</f>
        <v>#DIV/0!</v>
      </c>
      <c r="L57" s="9">
        <f t="shared" si="17"/>
        <v>1</v>
      </c>
      <c r="M57" s="9" t="e">
        <f t="shared" si="18"/>
        <v>#DIV/0!</v>
      </c>
      <c r="N57" s="51" t="e">
        <f>I57/'Area&amp;production data'!AG10</f>
        <v>#DIV/0!</v>
      </c>
    </row>
    <row r="58" spans="1:14" x14ac:dyDescent="0.25">
      <c r="B58" s="179" t="str">
        <f t="shared" si="14"/>
        <v>Zaghouan</v>
      </c>
      <c r="C58" s="472">
        <f>'Cereals-all-year'!N40</f>
        <v>0</v>
      </c>
      <c r="D58" s="472">
        <f>'Legumes-all-year'!N43</f>
        <v>0</v>
      </c>
      <c r="E58" s="472">
        <f>'Vegetables-all-year'!N43</f>
        <v>0</v>
      </c>
      <c r="F58" s="472">
        <f>'Fruits-all-year'!N46</f>
        <v>0</v>
      </c>
      <c r="G58" s="472">
        <f>'Annual-forages-all-year'!N43</f>
        <v>0</v>
      </c>
      <c r="H58" s="472">
        <f>'Alfalfa-all-year'!N43</f>
        <v>0</v>
      </c>
      <c r="I58" s="475">
        <f t="shared" si="15"/>
        <v>0</v>
      </c>
      <c r="J58" s="42" t="e">
        <f t="shared" si="16"/>
        <v>#DIV/0!</v>
      </c>
      <c r="K58" s="594" t="e">
        <f>I58/'Area&amp;production data'!AG11</f>
        <v>#DIV/0!</v>
      </c>
      <c r="L58" s="9">
        <f t="shared" si="17"/>
        <v>1</v>
      </c>
      <c r="M58" s="9" t="e">
        <f t="shared" si="18"/>
        <v>#DIV/0!</v>
      </c>
      <c r="N58" s="51" t="e">
        <f>I58/'Area&amp;production data'!AG11</f>
        <v>#DIV/0!</v>
      </c>
    </row>
    <row r="59" spans="1:14" x14ac:dyDescent="0.25">
      <c r="B59" s="179" t="str">
        <f t="shared" si="14"/>
        <v>Béja</v>
      </c>
      <c r="C59" s="472">
        <f>'Cereals-all-year'!N41</f>
        <v>0</v>
      </c>
      <c r="D59" s="472">
        <f>'Legumes-all-year'!N44</f>
        <v>0</v>
      </c>
      <c r="E59" s="472">
        <f>'Vegetables-all-year'!N44</f>
        <v>0</v>
      </c>
      <c r="F59" s="472">
        <f>'Fruits-all-year'!N47</f>
        <v>0</v>
      </c>
      <c r="G59" s="472">
        <f>'Annual-forages-all-year'!N44</f>
        <v>0</v>
      </c>
      <c r="H59" s="472">
        <f>'Alfalfa-all-year'!N44</f>
        <v>0</v>
      </c>
      <c r="I59" s="475">
        <f t="shared" si="15"/>
        <v>0</v>
      </c>
      <c r="J59" s="42" t="e">
        <f t="shared" si="16"/>
        <v>#DIV/0!</v>
      </c>
      <c r="K59" s="594" t="e">
        <f>I59/'Area&amp;production data'!AG12</f>
        <v>#DIV/0!</v>
      </c>
      <c r="L59" s="9">
        <f t="shared" si="17"/>
        <v>1</v>
      </c>
      <c r="M59" s="9" t="e">
        <f t="shared" si="18"/>
        <v>#DIV/0!</v>
      </c>
      <c r="N59" s="51" t="e">
        <f>I59/'Area&amp;production data'!AG12</f>
        <v>#DIV/0!</v>
      </c>
    </row>
    <row r="60" spans="1:14" x14ac:dyDescent="0.25">
      <c r="B60" s="179" t="str">
        <f t="shared" si="14"/>
        <v>Jendouba</v>
      </c>
      <c r="C60" s="472">
        <f>'Cereals-all-year'!N42</f>
        <v>0</v>
      </c>
      <c r="D60" s="472">
        <f>'Legumes-all-year'!N45</f>
        <v>0</v>
      </c>
      <c r="E60" s="472">
        <f>'Vegetables-all-year'!N45</f>
        <v>0</v>
      </c>
      <c r="F60" s="472">
        <f>'Fruits-all-year'!N48</f>
        <v>0</v>
      </c>
      <c r="G60" s="472">
        <f>'Annual-forages-all-year'!N45</f>
        <v>0</v>
      </c>
      <c r="H60" s="472">
        <f>'Alfalfa-all-year'!N45</f>
        <v>0</v>
      </c>
      <c r="I60" s="475">
        <f t="shared" si="15"/>
        <v>0</v>
      </c>
      <c r="J60" s="42" t="e">
        <f t="shared" si="16"/>
        <v>#DIV/0!</v>
      </c>
      <c r="K60" s="594" t="e">
        <f>I60/'Area&amp;production data'!AG13</f>
        <v>#DIV/0!</v>
      </c>
      <c r="L60" s="9">
        <f t="shared" si="17"/>
        <v>1</v>
      </c>
      <c r="M60" s="9" t="e">
        <f t="shared" si="18"/>
        <v>#DIV/0!</v>
      </c>
      <c r="N60" s="51" t="e">
        <f>I60/'Area&amp;production data'!AG13</f>
        <v>#DIV/0!</v>
      </c>
    </row>
    <row r="61" spans="1:14" x14ac:dyDescent="0.25">
      <c r="B61" s="179" t="str">
        <f t="shared" si="14"/>
        <v>Le Kef</v>
      </c>
      <c r="C61" s="472">
        <f>'Cereals-all-year'!N43</f>
        <v>0</v>
      </c>
      <c r="D61" s="472">
        <f>'Legumes-all-year'!N46</f>
        <v>0</v>
      </c>
      <c r="E61" s="472">
        <f>'Vegetables-all-year'!N46</f>
        <v>0</v>
      </c>
      <c r="F61" s="472">
        <f>'Fruits-all-year'!N49</f>
        <v>0</v>
      </c>
      <c r="G61" s="472">
        <f>'Annual-forages-all-year'!N46</f>
        <v>0</v>
      </c>
      <c r="H61" s="472">
        <f>'Alfalfa-all-year'!N46</f>
        <v>0</v>
      </c>
      <c r="I61" s="475">
        <f t="shared" si="15"/>
        <v>0</v>
      </c>
      <c r="J61" s="42" t="e">
        <f t="shared" si="16"/>
        <v>#DIV/0!</v>
      </c>
      <c r="K61" s="594" t="e">
        <f>I61/'Area&amp;production data'!AG14</f>
        <v>#DIV/0!</v>
      </c>
      <c r="L61" s="9">
        <f t="shared" si="17"/>
        <v>1</v>
      </c>
      <c r="M61" s="9" t="e">
        <f t="shared" si="18"/>
        <v>#DIV/0!</v>
      </c>
      <c r="N61" s="51" t="e">
        <f>I61/'Area&amp;production data'!AG14</f>
        <v>#DIV/0!</v>
      </c>
    </row>
    <row r="62" spans="1:14" x14ac:dyDescent="0.25">
      <c r="B62" s="179" t="str">
        <f t="shared" si="14"/>
        <v>Siliana</v>
      </c>
      <c r="C62" s="472">
        <f>'Cereals-all-year'!N44</f>
        <v>0</v>
      </c>
      <c r="D62" s="472">
        <f>'Legumes-all-year'!N47</f>
        <v>0</v>
      </c>
      <c r="E62" s="472">
        <f>'Vegetables-all-year'!N47</f>
        <v>0</v>
      </c>
      <c r="F62" s="472">
        <f>'Fruits-all-year'!N50</f>
        <v>0</v>
      </c>
      <c r="G62" s="472">
        <f>'Annual-forages-all-year'!N47</f>
        <v>0</v>
      </c>
      <c r="H62" s="472">
        <f>'Alfalfa-all-year'!N47</f>
        <v>0</v>
      </c>
      <c r="I62" s="475">
        <f t="shared" si="15"/>
        <v>0</v>
      </c>
      <c r="J62" s="42" t="e">
        <f t="shared" si="16"/>
        <v>#DIV/0!</v>
      </c>
      <c r="K62" s="594" t="e">
        <f>I62/'Area&amp;production data'!AG15</f>
        <v>#DIV/0!</v>
      </c>
      <c r="L62" s="9">
        <f t="shared" si="17"/>
        <v>1</v>
      </c>
      <c r="M62" s="9" t="e">
        <f t="shared" si="18"/>
        <v>#DIV/0!</v>
      </c>
      <c r="N62" s="51" t="e">
        <f>I62/'Area&amp;production data'!AG15</f>
        <v>#DIV/0!</v>
      </c>
    </row>
    <row r="63" spans="1:14" x14ac:dyDescent="0.25">
      <c r="B63" s="179" t="str">
        <f t="shared" si="14"/>
        <v>Sousse</v>
      </c>
      <c r="C63" s="472">
        <f>'Cereals-all-year'!N45</f>
        <v>0</v>
      </c>
      <c r="D63" s="472">
        <f>'Legumes-all-year'!N48</f>
        <v>0</v>
      </c>
      <c r="E63" s="472">
        <f>'Vegetables-all-year'!N48</f>
        <v>0</v>
      </c>
      <c r="F63" s="472">
        <f>'Fruits-all-year'!N51</f>
        <v>0</v>
      </c>
      <c r="G63" s="472">
        <f>'Annual-forages-all-year'!N48</f>
        <v>0</v>
      </c>
      <c r="H63" s="472">
        <f>'Alfalfa-all-year'!N48</f>
        <v>0</v>
      </c>
      <c r="I63" s="475">
        <f t="shared" si="15"/>
        <v>0</v>
      </c>
      <c r="J63" s="42" t="e">
        <f t="shared" si="16"/>
        <v>#DIV/0!</v>
      </c>
      <c r="K63" s="594" t="e">
        <f>I63/'Area&amp;production data'!AG16</f>
        <v>#DIV/0!</v>
      </c>
      <c r="L63" s="9">
        <f t="shared" si="17"/>
        <v>1</v>
      </c>
      <c r="M63" s="9" t="e">
        <f t="shared" si="18"/>
        <v>#DIV/0!</v>
      </c>
      <c r="N63" s="51" t="e">
        <f>I63/'Area&amp;production data'!AG16</f>
        <v>#DIV/0!</v>
      </c>
    </row>
    <row r="64" spans="1:14" x14ac:dyDescent="0.25">
      <c r="B64" s="179" t="str">
        <f t="shared" si="14"/>
        <v>Monastir</v>
      </c>
      <c r="C64" s="472">
        <f>'Cereals-all-year'!N46</f>
        <v>0</v>
      </c>
      <c r="D64" s="472">
        <f>'Legumes-all-year'!N49</f>
        <v>0</v>
      </c>
      <c r="E64" s="472">
        <f>'Vegetables-all-year'!N49</f>
        <v>0</v>
      </c>
      <c r="F64" s="472">
        <f>'Fruits-all-year'!N52</f>
        <v>0</v>
      </c>
      <c r="G64" s="472">
        <f>'Annual-forages-all-year'!N49</f>
        <v>0</v>
      </c>
      <c r="H64" s="472">
        <f>'Alfalfa-all-year'!N49</f>
        <v>0</v>
      </c>
      <c r="I64" s="475">
        <f t="shared" si="15"/>
        <v>0</v>
      </c>
      <c r="J64" s="42" t="e">
        <f t="shared" si="16"/>
        <v>#DIV/0!</v>
      </c>
      <c r="K64" s="594" t="e">
        <f>I64/'Area&amp;production data'!AG17</f>
        <v>#DIV/0!</v>
      </c>
      <c r="L64" s="9">
        <f t="shared" si="17"/>
        <v>1</v>
      </c>
      <c r="M64" s="9" t="e">
        <f t="shared" si="18"/>
        <v>#DIV/0!</v>
      </c>
      <c r="N64" s="51" t="e">
        <f>I64/'Area&amp;production data'!AG17</f>
        <v>#DIV/0!</v>
      </c>
    </row>
    <row r="65" spans="2:14" x14ac:dyDescent="0.25">
      <c r="B65" s="179" t="str">
        <f t="shared" si="14"/>
        <v>Mahdia</v>
      </c>
      <c r="C65" s="472">
        <f>'Cereals-all-year'!N47</f>
        <v>0</v>
      </c>
      <c r="D65" s="472">
        <f>'Legumes-all-year'!N50</f>
        <v>0</v>
      </c>
      <c r="E65" s="472">
        <f>'Vegetables-all-year'!N50</f>
        <v>0</v>
      </c>
      <c r="F65" s="472">
        <f>'Fruits-all-year'!N53</f>
        <v>0</v>
      </c>
      <c r="G65" s="472">
        <f>'Annual-forages-all-year'!N50</f>
        <v>0</v>
      </c>
      <c r="H65" s="472">
        <f>'Alfalfa-all-year'!N50</f>
        <v>0</v>
      </c>
      <c r="I65" s="475">
        <f t="shared" si="15"/>
        <v>0</v>
      </c>
      <c r="J65" s="42" t="e">
        <f t="shared" si="16"/>
        <v>#DIV/0!</v>
      </c>
      <c r="K65" s="594" t="e">
        <f>I65/'Area&amp;production data'!AG18</f>
        <v>#DIV/0!</v>
      </c>
      <c r="L65" s="9">
        <f t="shared" si="17"/>
        <v>1</v>
      </c>
      <c r="M65" s="9" t="e">
        <f t="shared" si="18"/>
        <v>#DIV/0!</v>
      </c>
      <c r="N65" s="51" t="e">
        <f>I65/'Area&amp;production data'!AG18</f>
        <v>#DIV/0!</v>
      </c>
    </row>
    <row r="66" spans="2:14" x14ac:dyDescent="0.25">
      <c r="B66" s="179" t="str">
        <f>B33</f>
        <v>Sfax</v>
      </c>
      <c r="C66" s="472">
        <f>'Cereals-all-year'!N48</f>
        <v>0</v>
      </c>
      <c r="D66" s="472">
        <f>'Legumes-all-year'!N51</f>
        <v>0</v>
      </c>
      <c r="E66" s="472">
        <f>'Vegetables-all-year'!N51</f>
        <v>0</v>
      </c>
      <c r="F66" s="472">
        <f>'Fruits-all-year'!N54</f>
        <v>0</v>
      </c>
      <c r="G66" s="472">
        <f>'Annual-forages-all-year'!N51</f>
        <v>0</v>
      </c>
      <c r="H66" s="472">
        <f>'Alfalfa-all-year'!N51</f>
        <v>0</v>
      </c>
      <c r="I66" s="475">
        <f t="shared" si="15"/>
        <v>0</v>
      </c>
      <c r="J66" s="42" t="e">
        <f>I66/$I$76</f>
        <v>#DIV/0!</v>
      </c>
      <c r="K66" s="594" t="e">
        <f>I66/'Area&amp;production data'!AG19</f>
        <v>#DIV/0!</v>
      </c>
      <c r="L66" s="9">
        <f>RANK(I66,$I$52:$I$75)</f>
        <v>1</v>
      </c>
      <c r="M66" s="9" t="e">
        <f>RANK(K66,$K$52:$K$75)</f>
        <v>#DIV/0!</v>
      </c>
      <c r="N66" s="51" t="e">
        <f>I66/'Area&amp;production data'!AG19</f>
        <v>#DIV/0!</v>
      </c>
    </row>
    <row r="67" spans="2:14" x14ac:dyDescent="0.25">
      <c r="B67" s="179" t="str">
        <f t="shared" si="14"/>
        <v>Kairouan</v>
      </c>
      <c r="C67" s="472">
        <f>'Cereals-all-year'!N49</f>
        <v>0</v>
      </c>
      <c r="D67" s="472">
        <f>'Legumes-all-year'!N52</f>
        <v>0</v>
      </c>
      <c r="E67" s="472">
        <f>'Vegetables-all-year'!N52</f>
        <v>0</v>
      </c>
      <c r="F67" s="472">
        <f>'Fruits-all-year'!N55</f>
        <v>0</v>
      </c>
      <c r="G67" s="472">
        <f>'Annual-forages-all-year'!N52</f>
        <v>0</v>
      </c>
      <c r="H67" s="472">
        <f>'Alfalfa-all-year'!N52</f>
        <v>0</v>
      </c>
      <c r="I67" s="475">
        <f t="shared" ref="I67:I76" si="19">SUM(C67:H67)</f>
        <v>0</v>
      </c>
      <c r="J67" s="42" t="e">
        <f t="shared" si="16"/>
        <v>#DIV/0!</v>
      </c>
      <c r="K67" s="594" t="e">
        <f>I67/'Area&amp;production data'!AG20</f>
        <v>#DIV/0!</v>
      </c>
      <c r="L67" s="9">
        <f t="shared" ref="L67:L75" si="20">RANK(I67,$I$52:$I$75)</f>
        <v>1</v>
      </c>
      <c r="M67" s="9" t="e">
        <f t="shared" ref="M67:M75" si="21">RANK(K67,$K$52:$K$75)</f>
        <v>#DIV/0!</v>
      </c>
      <c r="N67" s="51" t="e">
        <f>I67/'Area&amp;production data'!AG20</f>
        <v>#DIV/0!</v>
      </c>
    </row>
    <row r="68" spans="2:14" x14ac:dyDescent="0.25">
      <c r="B68" s="179" t="str">
        <f t="shared" si="14"/>
        <v>Kasserine</v>
      </c>
      <c r="C68" s="472">
        <f>'Cereals-all-year'!N50</f>
        <v>0</v>
      </c>
      <c r="D68" s="472">
        <f>'Legumes-all-year'!N53</f>
        <v>0</v>
      </c>
      <c r="E68" s="472">
        <f>'Vegetables-all-year'!N53</f>
        <v>0</v>
      </c>
      <c r="F68" s="472">
        <f>'Fruits-all-year'!N56</f>
        <v>0</v>
      </c>
      <c r="G68" s="472">
        <f>'Annual-forages-all-year'!N53</f>
        <v>0</v>
      </c>
      <c r="H68" s="472">
        <f>'Alfalfa-all-year'!N53</f>
        <v>0</v>
      </c>
      <c r="I68" s="475">
        <f t="shared" si="19"/>
        <v>0</v>
      </c>
      <c r="J68" s="42" t="e">
        <f t="shared" si="16"/>
        <v>#DIV/0!</v>
      </c>
      <c r="K68" s="594" t="e">
        <f>I68/'Area&amp;production data'!AG21</f>
        <v>#DIV/0!</v>
      </c>
      <c r="L68" s="9">
        <f t="shared" si="20"/>
        <v>1</v>
      </c>
      <c r="M68" s="9" t="e">
        <f t="shared" si="21"/>
        <v>#DIV/0!</v>
      </c>
      <c r="N68" s="51" t="e">
        <f>I68/'Area&amp;production data'!AG21</f>
        <v>#DIV/0!</v>
      </c>
    </row>
    <row r="69" spans="2:14" x14ac:dyDescent="0.25">
      <c r="B69" s="179" t="str">
        <f t="shared" si="14"/>
        <v>Sidi Bouzid</v>
      </c>
      <c r="C69" s="472">
        <f>'Cereals-all-year'!N51</f>
        <v>0</v>
      </c>
      <c r="D69" s="472">
        <f>'Legumes-all-year'!N54</f>
        <v>0</v>
      </c>
      <c r="E69" s="472">
        <f>'Vegetables-all-year'!N54</f>
        <v>0</v>
      </c>
      <c r="F69" s="472">
        <f>'Fruits-all-year'!N57</f>
        <v>0</v>
      </c>
      <c r="G69" s="472">
        <f>'Annual-forages-all-year'!N54</f>
        <v>0</v>
      </c>
      <c r="H69" s="472">
        <f>'Alfalfa-all-year'!N54</f>
        <v>0</v>
      </c>
      <c r="I69" s="475">
        <f t="shared" si="19"/>
        <v>0</v>
      </c>
      <c r="J69" s="42" t="e">
        <f t="shared" si="16"/>
        <v>#DIV/0!</v>
      </c>
      <c r="K69" s="594" t="e">
        <f>I69/'Area&amp;production data'!AG22</f>
        <v>#DIV/0!</v>
      </c>
      <c r="L69" s="9">
        <f t="shared" si="20"/>
        <v>1</v>
      </c>
      <c r="M69" s="9" t="e">
        <f t="shared" si="21"/>
        <v>#DIV/0!</v>
      </c>
      <c r="N69" s="51" t="e">
        <f>I69/'Area&amp;production data'!AG22</f>
        <v>#DIV/0!</v>
      </c>
    </row>
    <row r="70" spans="2:14" x14ac:dyDescent="0.25">
      <c r="B70" s="179" t="str">
        <f t="shared" si="14"/>
        <v>Gafsa</v>
      </c>
      <c r="C70" s="472">
        <f>'Cereals-all-year'!N52</f>
        <v>0</v>
      </c>
      <c r="D70" s="472">
        <f>'Legumes-all-year'!N55</f>
        <v>0</v>
      </c>
      <c r="E70" s="472">
        <f>'Vegetables-all-year'!N55</f>
        <v>0</v>
      </c>
      <c r="F70" s="472">
        <f>'Fruits-all-year'!N58</f>
        <v>0</v>
      </c>
      <c r="G70" s="472">
        <f>'Annual-forages-all-year'!N55</f>
        <v>0</v>
      </c>
      <c r="H70" s="472">
        <f>'Alfalfa-all-year'!N55</f>
        <v>0</v>
      </c>
      <c r="I70" s="475">
        <f t="shared" si="19"/>
        <v>0</v>
      </c>
      <c r="J70" s="42" t="e">
        <f t="shared" si="16"/>
        <v>#DIV/0!</v>
      </c>
      <c r="K70" s="594" t="e">
        <f>I70/'Area&amp;production data'!AG23</f>
        <v>#DIV/0!</v>
      </c>
      <c r="L70" s="9">
        <f t="shared" si="20"/>
        <v>1</v>
      </c>
      <c r="M70" s="9" t="e">
        <f t="shared" si="21"/>
        <v>#DIV/0!</v>
      </c>
      <c r="N70" s="51" t="e">
        <f>I70/'Area&amp;production data'!AG23</f>
        <v>#DIV/0!</v>
      </c>
    </row>
    <row r="71" spans="2:14" x14ac:dyDescent="0.25">
      <c r="B71" s="179" t="str">
        <f t="shared" si="14"/>
        <v>Gabès</v>
      </c>
      <c r="C71" s="472">
        <f>'Cereals-all-year'!N53</f>
        <v>0</v>
      </c>
      <c r="D71" s="472">
        <f>'Legumes-all-year'!N56</f>
        <v>0</v>
      </c>
      <c r="E71" s="472">
        <f>'Vegetables-all-year'!N56</f>
        <v>0</v>
      </c>
      <c r="F71" s="472">
        <f>'Fruits-all-year'!N59</f>
        <v>0</v>
      </c>
      <c r="G71" s="472">
        <f>'Annual-forages-all-year'!N56</f>
        <v>0</v>
      </c>
      <c r="H71" s="472">
        <f>'Alfalfa-all-year'!N56</f>
        <v>0</v>
      </c>
      <c r="I71" s="475">
        <f t="shared" si="19"/>
        <v>0</v>
      </c>
      <c r="J71" s="42" t="e">
        <f t="shared" si="16"/>
        <v>#DIV/0!</v>
      </c>
      <c r="K71" s="594" t="e">
        <f>I71/'Area&amp;production data'!AG24</f>
        <v>#DIV/0!</v>
      </c>
      <c r="L71" s="9">
        <f t="shared" si="20"/>
        <v>1</v>
      </c>
      <c r="M71" s="9" t="e">
        <f t="shared" si="21"/>
        <v>#DIV/0!</v>
      </c>
      <c r="N71" s="51" t="e">
        <f>I71/'Area&amp;production data'!AG24</f>
        <v>#DIV/0!</v>
      </c>
    </row>
    <row r="72" spans="2:14" x14ac:dyDescent="0.25">
      <c r="B72" s="179" t="str">
        <f t="shared" si="14"/>
        <v>Médenine</v>
      </c>
      <c r="C72" s="472">
        <f>'Cereals-all-year'!N54</f>
        <v>0</v>
      </c>
      <c r="D72" s="472">
        <f>'Legumes-all-year'!N57</f>
        <v>0</v>
      </c>
      <c r="E72" s="472">
        <f>'Vegetables-all-year'!N57</f>
        <v>0</v>
      </c>
      <c r="F72" s="472">
        <f>'Fruits-all-year'!N60</f>
        <v>0</v>
      </c>
      <c r="G72" s="472">
        <f>'Annual-forages-all-year'!N57</f>
        <v>0</v>
      </c>
      <c r="H72" s="472">
        <f>'Alfalfa-all-year'!N57</f>
        <v>0</v>
      </c>
      <c r="I72" s="475">
        <f t="shared" si="19"/>
        <v>0</v>
      </c>
      <c r="J72" s="42" t="e">
        <f t="shared" si="16"/>
        <v>#DIV/0!</v>
      </c>
      <c r="K72" s="594" t="e">
        <f>I72/'Area&amp;production data'!AG25</f>
        <v>#DIV/0!</v>
      </c>
      <c r="L72" s="9">
        <f t="shared" si="20"/>
        <v>1</v>
      </c>
      <c r="M72" s="9" t="e">
        <f t="shared" si="21"/>
        <v>#DIV/0!</v>
      </c>
      <c r="N72" s="51" t="e">
        <f>I72/'Area&amp;production data'!AG25</f>
        <v>#DIV/0!</v>
      </c>
    </row>
    <row r="73" spans="2:14" x14ac:dyDescent="0.25">
      <c r="B73" s="179" t="str">
        <f t="shared" si="14"/>
        <v>Tataouine</v>
      </c>
      <c r="C73" s="472">
        <f>'Cereals-all-year'!N55</f>
        <v>0</v>
      </c>
      <c r="D73" s="472">
        <f>'Legumes-all-year'!N58</f>
        <v>0</v>
      </c>
      <c r="E73" s="472">
        <f>'Vegetables-all-year'!N58</f>
        <v>0</v>
      </c>
      <c r="F73" s="472">
        <f>'Fruits-all-year'!N61</f>
        <v>0</v>
      </c>
      <c r="G73" s="472">
        <f>'Annual-forages-all-year'!N58</f>
        <v>0</v>
      </c>
      <c r="H73" s="472">
        <f>'Alfalfa-all-year'!N58</f>
        <v>0</v>
      </c>
      <c r="I73" s="475">
        <f t="shared" si="19"/>
        <v>0</v>
      </c>
      <c r="J73" s="42" t="e">
        <f t="shared" si="16"/>
        <v>#DIV/0!</v>
      </c>
      <c r="K73" s="594" t="e">
        <f>I73/'Area&amp;production data'!AG26</f>
        <v>#DIV/0!</v>
      </c>
      <c r="L73" s="9">
        <f t="shared" si="20"/>
        <v>1</v>
      </c>
      <c r="M73" s="9" t="e">
        <f t="shared" si="21"/>
        <v>#DIV/0!</v>
      </c>
      <c r="N73" s="51" t="e">
        <f>I73/'Area&amp;production data'!AG26</f>
        <v>#DIV/0!</v>
      </c>
    </row>
    <row r="74" spans="2:14" x14ac:dyDescent="0.25">
      <c r="B74" s="179" t="str">
        <f t="shared" si="14"/>
        <v>Tozeur</v>
      </c>
      <c r="C74" s="472">
        <f>'Cereals-all-year'!N56</f>
        <v>0</v>
      </c>
      <c r="D74" s="472">
        <f>'Legumes-all-year'!N59</f>
        <v>0</v>
      </c>
      <c r="E74" s="472">
        <f>'Vegetables-all-year'!N59</f>
        <v>0</v>
      </c>
      <c r="F74" s="472">
        <f>'Fruits-all-year'!N62</f>
        <v>0</v>
      </c>
      <c r="G74" s="472">
        <f>'Annual-forages-all-year'!N59</f>
        <v>0</v>
      </c>
      <c r="H74" s="472">
        <f>'Alfalfa-all-year'!N59</f>
        <v>0</v>
      </c>
      <c r="I74" s="475">
        <f t="shared" si="19"/>
        <v>0</v>
      </c>
      <c r="J74" s="42" t="e">
        <f t="shared" si="16"/>
        <v>#DIV/0!</v>
      </c>
      <c r="K74" s="594" t="e">
        <f>I74/'Area&amp;production data'!AG27</f>
        <v>#DIV/0!</v>
      </c>
      <c r="L74" s="9">
        <f t="shared" si="20"/>
        <v>1</v>
      </c>
      <c r="M74" s="9" t="e">
        <f t="shared" si="21"/>
        <v>#DIV/0!</v>
      </c>
      <c r="N74" s="51" t="e">
        <f>I74/'Area&amp;production data'!AG27</f>
        <v>#DIV/0!</v>
      </c>
    </row>
    <row r="75" spans="2:14" x14ac:dyDescent="0.25">
      <c r="B75" s="179" t="str">
        <f t="shared" si="14"/>
        <v>Kébili</v>
      </c>
      <c r="C75" s="472">
        <f>'Cereals-all-year'!N57</f>
        <v>0</v>
      </c>
      <c r="D75" s="472">
        <f>'Legumes-all-year'!N60</f>
        <v>0</v>
      </c>
      <c r="E75" s="472">
        <f>'Vegetables-all-year'!N60</f>
        <v>0</v>
      </c>
      <c r="F75" s="472">
        <f>'Fruits-all-year'!N63</f>
        <v>0</v>
      </c>
      <c r="G75" s="472">
        <f>'Annual-forages-all-year'!N60</f>
        <v>0</v>
      </c>
      <c r="H75" s="472">
        <f>'Alfalfa-all-year'!N60</f>
        <v>0</v>
      </c>
      <c r="I75" s="475">
        <f t="shared" si="19"/>
        <v>0</v>
      </c>
      <c r="J75" s="42" t="e">
        <f t="shared" si="16"/>
        <v>#DIV/0!</v>
      </c>
      <c r="K75" s="594" t="e">
        <f>I75/'Area&amp;production data'!AG28</f>
        <v>#DIV/0!</v>
      </c>
      <c r="L75" s="9">
        <f t="shared" si="20"/>
        <v>1</v>
      </c>
      <c r="M75" s="9" t="e">
        <f t="shared" si="21"/>
        <v>#DIV/0!</v>
      </c>
      <c r="N75" s="51" t="e">
        <f>I75/'Area&amp;production data'!AG28</f>
        <v>#DIV/0!</v>
      </c>
    </row>
    <row r="76" spans="2:14" x14ac:dyDescent="0.25">
      <c r="B76" s="179" t="str">
        <f t="shared" si="14"/>
        <v>Total Tunisia</v>
      </c>
      <c r="C76" s="472">
        <f>'Cereals-all-year'!N58</f>
        <v>0</v>
      </c>
      <c r="D76" s="472">
        <f>'Legumes-all-year'!N61</f>
        <v>0</v>
      </c>
      <c r="E76" s="472">
        <f>'Vegetables-all-year'!N61</f>
        <v>0</v>
      </c>
      <c r="F76" s="472">
        <f>'Fruits-all-year'!N64</f>
        <v>0</v>
      </c>
      <c r="G76" s="472">
        <f>'Annual-forages-all-year'!N61</f>
        <v>0</v>
      </c>
      <c r="H76" s="472">
        <f>'Alfalfa-all-year'!N61</f>
        <v>0</v>
      </c>
      <c r="I76" s="475">
        <f t="shared" si="19"/>
        <v>0</v>
      </c>
      <c r="J76" s="42" t="e">
        <f t="shared" si="16"/>
        <v>#DIV/0!</v>
      </c>
      <c r="K76" s="594" t="e">
        <f>I76/'Area&amp;production data'!AG29</f>
        <v>#DIV/0!</v>
      </c>
      <c r="L76" s="9"/>
      <c r="M76" s="9"/>
      <c r="N76" s="51" t="e">
        <f>I76/'Area&amp;production data'!AG29</f>
        <v>#DIV/0!</v>
      </c>
    </row>
    <row r="77" spans="2:14" ht="15.75" thickBot="1" x14ac:dyDescent="0.3">
      <c r="B77" s="334" t="s">
        <v>682</v>
      </c>
      <c r="C77" s="477" t="e">
        <f>C76/'Area&amp;production data'!F29</f>
        <v>#DIV/0!</v>
      </c>
      <c r="D77" s="477" t="e">
        <f>D76/'Area&amp;production data'!G29</f>
        <v>#DIV/0!</v>
      </c>
      <c r="E77" s="477" t="e">
        <f>E76/'Area&amp;production data'!H29</f>
        <v>#DIV/0!</v>
      </c>
      <c r="F77" s="477" t="e">
        <f>F76/'Area&amp;production data'!I29</f>
        <v>#DIV/0!</v>
      </c>
      <c r="G77" s="477" t="e">
        <f>G76/'Area&amp;production data'!J29</f>
        <v>#DIV/0!</v>
      </c>
      <c r="H77" s="477" t="e">
        <f>H76/'Area&amp;production data'!K29</f>
        <v>#DIV/0!</v>
      </c>
      <c r="I77" s="477" t="e">
        <f>I76/'Area&amp;production data'!Q29</f>
        <v>#DIV/0!</v>
      </c>
      <c r="J77" s="42"/>
      <c r="K77" s="476"/>
      <c r="L77" s="9"/>
      <c r="M77" s="9"/>
      <c r="N77" s="9"/>
    </row>
    <row r="78" spans="2:14" x14ac:dyDescent="0.25">
      <c r="B78" s="301" t="s">
        <v>674</v>
      </c>
      <c r="C78" s="302" t="e">
        <f t="shared" ref="C78:I78" si="22">C76/$I$76</f>
        <v>#DIV/0!</v>
      </c>
      <c r="D78" s="302" t="e">
        <f t="shared" si="22"/>
        <v>#DIV/0!</v>
      </c>
      <c r="E78" s="302" t="e">
        <f t="shared" si="22"/>
        <v>#DIV/0!</v>
      </c>
      <c r="F78" s="302" t="e">
        <f t="shared" si="22"/>
        <v>#DIV/0!</v>
      </c>
      <c r="G78" s="302" t="e">
        <f t="shared" si="22"/>
        <v>#DIV/0!</v>
      </c>
      <c r="H78" s="302" t="e">
        <f t="shared" si="22"/>
        <v>#DIV/0!</v>
      </c>
      <c r="I78" s="327" t="e">
        <f t="shared" si="22"/>
        <v>#DIV/0!</v>
      </c>
      <c r="J78" s="14"/>
      <c r="K78" s="328"/>
    </row>
    <row r="79" spans="2:14" ht="15.75" thickBot="1" x14ac:dyDescent="0.3">
      <c r="B79" s="329" t="s">
        <v>187</v>
      </c>
      <c r="C79" s="330" t="e">
        <f t="shared" ref="C79:H79" si="23">RANK(C78,$C$78:$H$78)</f>
        <v>#DIV/0!</v>
      </c>
      <c r="D79" s="330" t="e">
        <f t="shared" si="23"/>
        <v>#DIV/0!</v>
      </c>
      <c r="E79" s="330" t="e">
        <f t="shared" si="23"/>
        <v>#DIV/0!</v>
      </c>
      <c r="F79" s="330" t="e">
        <f t="shared" si="23"/>
        <v>#DIV/0!</v>
      </c>
      <c r="G79" s="330" t="e">
        <f t="shared" si="23"/>
        <v>#DIV/0!</v>
      </c>
      <c r="H79" s="330" t="e">
        <f t="shared" si="23"/>
        <v>#DIV/0!</v>
      </c>
      <c r="I79" s="331"/>
      <c r="J79" s="332"/>
      <c r="K79" s="333"/>
    </row>
    <row r="80" spans="2:14" x14ac:dyDescent="0.25">
      <c r="I80" s="29" t="b">
        <f>SUM(I52:I75)=I76</f>
        <v>1</v>
      </c>
    </row>
    <row r="81" spans="2:9" x14ac:dyDescent="0.25">
      <c r="B81" s="1" t="s">
        <v>683</v>
      </c>
      <c r="C81" s="743"/>
      <c r="I81" s="51" t="e">
        <f>I76/'Area&amp;production data'!AG29</f>
        <v>#DIV/0!</v>
      </c>
    </row>
    <row r="82" spans="2:9" x14ac:dyDescent="0.25">
      <c r="B82" s="1" t="s">
        <v>684</v>
      </c>
      <c r="C82" s="51" t="e">
        <f>C76/C81</f>
        <v>#DIV/0!</v>
      </c>
      <c r="I82" s="339"/>
    </row>
  </sheetData>
  <mergeCells count="11">
    <mergeCell ref="N50:N51"/>
    <mergeCell ref="B50:B51"/>
    <mergeCell ref="B17:B18"/>
    <mergeCell ref="B4:B5"/>
    <mergeCell ref="C4:G4"/>
    <mergeCell ref="H4:H5"/>
    <mergeCell ref="L50:L51"/>
    <mergeCell ref="M50:M51"/>
    <mergeCell ref="K50:K51"/>
    <mergeCell ref="I50:I51"/>
    <mergeCell ref="J50:J51"/>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01081-3717-4ADA-8319-DEA41786E70D}">
  <dimension ref="A1:AO224"/>
  <sheetViews>
    <sheetView topLeftCell="A211" workbookViewId="0">
      <selection activeCell="AC11" sqref="AC11:AH14"/>
    </sheetView>
  </sheetViews>
  <sheetFormatPr defaultRowHeight="15" x14ac:dyDescent="0.25"/>
  <cols>
    <col min="1" max="1" width="14.7109375" customWidth="1"/>
    <col min="2" max="2" width="25.5703125" customWidth="1"/>
    <col min="3" max="3" width="24.5703125" customWidth="1"/>
    <col min="4" max="4" width="18.85546875" customWidth="1"/>
    <col min="5" max="5" width="23.140625" customWidth="1"/>
    <col min="6" max="6" width="22" customWidth="1"/>
    <col min="7" max="7" width="19" customWidth="1"/>
    <col min="8" max="8" width="13.5703125" customWidth="1"/>
    <col min="9" max="9" width="12.140625" customWidth="1"/>
    <col min="10" max="10" width="20.140625" customWidth="1"/>
    <col min="11" max="11" width="16.425781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13.5703125" customWidth="1"/>
    <col min="23" max="23" width="18.42578125" customWidth="1"/>
    <col min="24" max="24" width="22.42578125" customWidth="1"/>
    <col min="25" max="25" width="25.42578125" bestFit="1" customWidth="1"/>
    <col min="26" max="26" width="13.85546875" customWidth="1"/>
    <col min="27" max="28" width="16.5703125" bestFit="1" customWidth="1"/>
    <col min="29" max="29" width="17.85546875" bestFit="1" customWidth="1"/>
    <col min="30" max="30" width="15.85546875" bestFit="1" customWidth="1"/>
    <col min="32" max="32" width="13.5703125" customWidth="1"/>
    <col min="33" max="33" width="21.85546875" customWidth="1"/>
    <col min="36" max="36" width="13.5703125" customWidth="1"/>
    <col min="37" max="37" width="10.5703125" customWidth="1"/>
    <col min="38" max="38" width="10.5703125" bestFit="1" customWidth="1"/>
  </cols>
  <sheetData>
    <row r="1" spans="1:34" ht="18.75" x14ac:dyDescent="0.3">
      <c r="A1" s="841" t="s">
        <v>255</v>
      </c>
      <c r="B1" s="841"/>
      <c r="C1" s="841"/>
      <c r="D1" s="841"/>
      <c r="E1" s="841"/>
      <c r="F1" s="12"/>
      <c r="G1" s="12"/>
      <c r="H1" s="58"/>
      <c r="J1" s="1" t="s">
        <v>400</v>
      </c>
      <c r="K1" s="197">
        <f>'Prices,exch.rates,harvest index'!M2</f>
        <v>2.8759999999999999</v>
      </c>
      <c r="L1" s="1" t="s">
        <v>257</v>
      </c>
      <c r="M1" s="1"/>
      <c r="N1" s="1"/>
      <c r="O1" s="1"/>
    </row>
    <row r="2" spans="1:34" x14ac:dyDescent="0.25">
      <c r="A2" s="3" t="s">
        <v>260</v>
      </c>
      <c r="B2" s="8" t="s">
        <v>480</v>
      </c>
      <c r="C2" s="8"/>
      <c r="D2" s="8"/>
      <c r="E2" s="4"/>
      <c r="G2" s="3"/>
      <c r="H2" s="3"/>
    </row>
    <row r="3" spans="1:34" x14ac:dyDescent="0.25">
      <c r="A3" s="3"/>
      <c r="B3" s="10" t="s">
        <v>263</v>
      </c>
      <c r="C3" s="10"/>
      <c r="D3" s="10"/>
      <c r="E3" s="10"/>
      <c r="F3" s="1"/>
      <c r="G3" s="1"/>
      <c r="H3" s="1"/>
      <c r="I3" s="1"/>
      <c r="J3" s="1"/>
      <c r="K3" s="1"/>
      <c r="L3" s="1"/>
      <c r="M3" s="1"/>
      <c r="N3" s="1"/>
      <c r="O3" s="1"/>
      <c r="P3" s="1"/>
      <c r="Q3" s="1"/>
    </row>
    <row r="4" spans="1:34" x14ac:dyDescent="0.25">
      <c r="A4" s="3"/>
      <c r="B4" s="7" t="s">
        <v>265</v>
      </c>
      <c r="C4" s="62"/>
      <c r="D4" s="62"/>
      <c r="E4" s="62"/>
      <c r="F4" s="1"/>
      <c r="G4" s="1"/>
      <c r="H4" s="1"/>
      <c r="I4" s="1"/>
      <c r="J4" s="1"/>
      <c r="K4" s="1"/>
      <c r="L4" s="1"/>
      <c r="M4" s="1"/>
      <c r="N4" s="1"/>
      <c r="O4" s="1"/>
      <c r="P4" s="1"/>
      <c r="Q4" s="1"/>
    </row>
    <row r="5" spans="1:34" x14ac:dyDescent="0.25">
      <c r="A5" s="3"/>
      <c r="B5" s="183" t="s">
        <v>481</v>
      </c>
      <c r="C5" s="136"/>
      <c r="D5" s="136"/>
      <c r="E5" s="136"/>
      <c r="F5" s="1"/>
      <c r="G5" s="1"/>
      <c r="H5" s="1"/>
      <c r="I5" s="1"/>
      <c r="J5" s="1" t="s">
        <v>267</v>
      </c>
      <c r="K5" s="197">
        <f>'Prices,exch.rates,harvest index'!N2</f>
        <v>1.43</v>
      </c>
      <c r="L5" s="1" t="s">
        <v>257</v>
      </c>
      <c r="M5" s="1"/>
      <c r="N5" s="1"/>
      <c r="O5" s="1"/>
      <c r="P5" s="1"/>
      <c r="Q5" s="1"/>
    </row>
    <row r="6" spans="1:34" x14ac:dyDescent="0.25">
      <c r="A6" s="3"/>
      <c r="B6" s="293" t="s">
        <v>268</v>
      </c>
      <c r="C6" s="294"/>
      <c r="D6" s="294"/>
      <c r="E6" s="294"/>
      <c r="F6" s="1"/>
      <c r="G6" s="1"/>
      <c r="H6" s="1"/>
      <c r="I6" s="1"/>
      <c r="J6" s="1"/>
      <c r="K6" s="1"/>
      <c r="L6" s="1"/>
      <c r="M6" s="1"/>
      <c r="N6" s="1"/>
      <c r="O6" s="1"/>
      <c r="P6" s="1"/>
      <c r="Q6" s="1"/>
    </row>
    <row r="7" spans="1:34" x14ac:dyDescent="0.25">
      <c r="A7" s="7" t="s">
        <v>269</v>
      </c>
      <c r="B7" s="7"/>
      <c r="C7" s="7"/>
      <c r="D7" s="7"/>
      <c r="E7" s="7"/>
      <c r="F7" s="7"/>
      <c r="G7" s="7"/>
      <c r="H7" s="7"/>
      <c r="I7" s="6"/>
      <c r="J7" s="6"/>
      <c r="K7" s="6"/>
      <c r="L7" s="6"/>
      <c r="M7" s="6"/>
      <c r="N7" s="6"/>
      <c r="O7" s="6"/>
      <c r="P7" s="6"/>
      <c r="Q7" s="6"/>
      <c r="R7" s="6"/>
      <c r="S7" s="6"/>
      <c r="T7" s="6"/>
    </row>
    <row r="8" spans="1:34" ht="14.45" customHeight="1" x14ac:dyDescent="0.25">
      <c r="A8" s="7" t="s">
        <v>270</v>
      </c>
      <c r="B8" s="7"/>
      <c r="C8" s="7"/>
      <c r="D8" s="7"/>
      <c r="E8" s="7"/>
      <c r="F8" s="7"/>
      <c r="G8" s="7"/>
      <c r="H8" s="7"/>
      <c r="I8" s="7"/>
      <c r="J8" s="7"/>
      <c r="K8" s="7"/>
      <c r="L8" s="7"/>
      <c r="M8" s="7"/>
      <c r="N8" s="7"/>
      <c r="O8" s="7"/>
      <c r="P8" s="7"/>
      <c r="Q8" s="7"/>
      <c r="R8" s="7"/>
      <c r="S8" s="7"/>
      <c r="T8" s="7"/>
    </row>
    <row r="9" spans="1:34" ht="14.45" customHeight="1" x14ac:dyDescent="0.25">
      <c r="A9" s="7"/>
      <c r="B9" s="7"/>
      <c r="C9" s="7"/>
      <c r="D9" s="7"/>
      <c r="E9" s="7"/>
      <c r="F9" s="7"/>
      <c r="G9" s="7"/>
      <c r="H9" s="7"/>
      <c r="I9" s="7"/>
      <c r="J9" s="7"/>
      <c r="K9" s="7"/>
      <c r="L9" s="7"/>
      <c r="M9" s="7"/>
      <c r="N9" s="7"/>
      <c r="O9" s="7"/>
      <c r="P9" s="7"/>
      <c r="Q9" s="7"/>
      <c r="R9" s="7"/>
      <c r="S9" s="7"/>
      <c r="T9" s="7"/>
    </row>
    <row r="10" spans="1:34" ht="14.45" customHeight="1" x14ac:dyDescent="0.25">
      <c r="A10" s="7"/>
      <c r="B10" s="7"/>
      <c r="C10" s="7"/>
      <c r="D10" s="7"/>
      <c r="E10" s="7"/>
      <c r="F10" s="7"/>
      <c r="G10" s="7"/>
      <c r="H10" s="7"/>
      <c r="I10" s="7"/>
      <c r="J10" s="7"/>
      <c r="K10" s="7"/>
      <c r="L10" s="7"/>
      <c r="M10" s="7"/>
      <c r="N10" s="7"/>
      <c r="O10" s="7"/>
      <c r="P10" s="7"/>
      <c r="Q10" s="7"/>
      <c r="R10" s="7"/>
      <c r="S10" s="7"/>
      <c r="T10" s="7"/>
    </row>
    <row r="11" spans="1:34" ht="14.45" customHeight="1" x14ac:dyDescent="0.25">
      <c r="A11" s="194" t="s">
        <v>685</v>
      </c>
      <c r="B11" s="15" t="s">
        <v>103</v>
      </c>
      <c r="C11" s="15" t="s">
        <v>276</v>
      </c>
      <c r="D11" s="195" t="s">
        <v>277</v>
      </c>
      <c r="E11" s="195" t="s">
        <v>278</v>
      </c>
      <c r="F11" s="194" t="s">
        <v>279</v>
      </c>
      <c r="G11" s="194" t="s">
        <v>280</v>
      </c>
      <c r="H11" s="3"/>
      <c r="I11" s="3"/>
      <c r="J11" s="3"/>
      <c r="K11" s="3"/>
      <c r="L11" s="3"/>
      <c r="M11" s="3"/>
      <c r="N11" s="3"/>
      <c r="O11" s="3"/>
      <c r="P11" s="3"/>
      <c r="Q11" s="3"/>
      <c r="R11" s="3"/>
      <c r="S11" s="3"/>
      <c r="T11" s="3"/>
      <c r="V11" s="3"/>
      <c r="AC11" s="852" t="s">
        <v>1258</v>
      </c>
      <c r="AD11" s="852"/>
      <c r="AE11" s="852"/>
      <c r="AF11" s="852"/>
      <c r="AG11" s="852"/>
      <c r="AH11" s="852"/>
    </row>
    <row r="12" spans="1:34" x14ac:dyDescent="0.25">
      <c r="A12" s="479" t="s">
        <v>686</v>
      </c>
      <c r="B12" s="242">
        <f>'Area&amp;production data'!L29</f>
        <v>0</v>
      </c>
      <c r="C12" s="242">
        <f>'Area&amp;production data'!AC29</f>
        <v>0</v>
      </c>
      <c r="D12" s="242">
        <f>'Prices,exch.rates,harvest index'!M27</f>
        <v>0</v>
      </c>
      <c r="E12" s="14"/>
      <c r="F12" s="215">
        <f>'Prices,exch.rates,harvest index'!F46/'Prices,exch.rates,harvest index'!N2</f>
        <v>0</v>
      </c>
      <c r="G12" s="319"/>
      <c r="H12" s="3"/>
      <c r="I12" s="3"/>
      <c r="J12" s="3"/>
      <c r="K12" s="3"/>
      <c r="L12" s="3"/>
      <c r="M12" s="3"/>
      <c r="N12" s="3"/>
      <c r="O12" s="3"/>
      <c r="P12" s="3"/>
      <c r="Q12" s="3"/>
      <c r="R12" s="3"/>
      <c r="S12" s="3"/>
      <c r="T12" s="3"/>
      <c r="U12" s="3"/>
      <c r="V12" s="3"/>
      <c r="Z12" s="271"/>
      <c r="AC12" s="852"/>
      <c r="AD12" s="852"/>
      <c r="AE12" s="852"/>
      <c r="AF12" s="852"/>
      <c r="AG12" s="852"/>
      <c r="AH12" s="852"/>
    </row>
    <row r="13" spans="1:34" ht="36.950000000000003" customHeight="1" x14ac:dyDescent="0.25">
      <c r="A13" s="194" t="s">
        <v>687</v>
      </c>
      <c r="B13" s="198">
        <f>SUM(B12:B12)</f>
        <v>0</v>
      </c>
      <c r="C13" s="198">
        <f>SUM(C12:C12)</f>
        <v>0</v>
      </c>
      <c r="D13" s="307">
        <f>D12</f>
        <v>0</v>
      </c>
      <c r="E13" s="307">
        <f t="shared" ref="E13:G13" si="0">E12</f>
        <v>0</v>
      </c>
      <c r="F13" s="307">
        <f t="shared" si="0"/>
        <v>0</v>
      </c>
      <c r="G13" s="307">
        <f t="shared" si="0"/>
        <v>0</v>
      </c>
      <c r="H13" s="3"/>
      <c r="I13" s="3"/>
      <c r="J13" s="3"/>
      <c r="K13" s="3"/>
      <c r="L13" s="3"/>
      <c r="M13" s="3"/>
      <c r="N13" s="3"/>
      <c r="O13" s="3"/>
      <c r="P13" s="3"/>
      <c r="Q13" s="3"/>
      <c r="R13" s="3"/>
      <c r="S13" s="3"/>
      <c r="T13" s="3"/>
      <c r="U13" s="3"/>
      <c r="V13" s="3"/>
      <c r="Z13" s="430"/>
      <c r="AC13" s="852"/>
      <c r="AD13" s="852"/>
      <c r="AE13" s="852"/>
      <c r="AF13" s="852"/>
      <c r="AG13" s="852"/>
      <c r="AH13" s="852"/>
    </row>
    <row r="14" spans="1:34" ht="31.5" customHeight="1" x14ac:dyDescent="0.25">
      <c r="J14" s="22"/>
      <c r="K14" s="44"/>
      <c r="L14" s="44"/>
      <c r="M14" s="49"/>
      <c r="N14" s="1"/>
      <c r="R14" s="18"/>
      <c r="S14" s="44"/>
      <c r="T14" s="449"/>
      <c r="X14" s="1" t="s">
        <v>545</v>
      </c>
      <c r="AC14" s="852"/>
      <c r="AD14" s="852"/>
      <c r="AE14" s="852"/>
      <c r="AF14" s="852"/>
      <c r="AG14" s="852"/>
      <c r="AH14" s="852"/>
    </row>
    <row r="15" spans="1:34" ht="15.75" x14ac:dyDescent="0.25">
      <c r="A15" s="86"/>
      <c r="B15" s="201" t="b">
        <f>B13='Area&amp;production data'!K29</f>
        <v>1</v>
      </c>
      <c r="C15" s="201" t="e">
        <f>C13='Area&amp;production data'!AP29</f>
        <v>#DIV/0!</v>
      </c>
      <c r="D15" s="814" t="s">
        <v>450</v>
      </c>
      <c r="E15" s="814"/>
      <c r="F15" s="784" t="s">
        <v>451</v>
      </c>
      <c r="G15" s="784"/>
      <c r="J15" s="22"/>
      <c r="K15" s="44"/>
      <c r="L15" s="1"/>
      <c r="M15" s="49"/>
      <c r="N15" s="1"/>
      <c r="O15" s="449"/>
      <c r="Q15" s="18"/>
      <c r="T15" s="2"/>
      <c r="W15" s="1" t="s">
        <v>136</v>
      </c>
      <c r="X15" s="1" t="s">
        <v>137</v>
      </c>
      <c r="Y15" s="1" t="s">
        <v>289</v>
      </c>
      <c r="Z15" s="22" t="s">
        <v>290</v>
      </c>
      <c r="AA15" s="1" t="s">
        <v>291</v>
      </c>
      <c r="AB15" s="15" t="s">
        <v>292</v>
      </c>
      <c r="AC15" s="15" t="s">
        <v>200</v>
      </c>
      <c r="AD15" s="1" t="s">
        <v>293</v>
      </c>
      <c r="AE15" s="1" t="s">
        <v>294</v>
      </c>
      <c r="AF15" s="1" t="s">
        <v>295</v>
      </c>
    </row>
    <row r="16" spans="1:34" ht="28.5" customHeight="1" x14ac:dyDescent="0.35">
      <c r="A16" s="843" t="s">
        <v>296</v>
      </c>
      <c r="B16" s="843"/>
      <c r="C16" s="18"/>
      <c r="D16" s="18">
        <v>2021</v>
      </c>
      <c r="E16" s="18">
        <v>2010</v>
      </c>
      <c r="F16" s="18">
        <v>2021</v>
      </c>
      <c r="G16" s="18">
        <v>2010</v>
      </c>
      <c r="K16" s="440"/>
      <c r="L16" s="441"/>
      <c r="P16" s="18"/>
      <c r="S16" s="450"/>
      <c r="T16" s="451"/>
      <c r="U16" s="91"/>
      <c r="V16" s="13" t="s">
        <v>139</v>
      </c>
      <c r="W16" s="295">
        <v>1.3685132565093838</v>
      </c>
      <c r="X16" s="295">
        <v>1.190011746281757</v>
      </c>
      <c r="Y16" s="295">
        <v>0.88149018956452496</v>
      </c>
      <c r="Z16" s="95">
        <f>'Yield-data'!I5</f>
        <v>0</v>
      </c>
      <c r="AA16" s="140">
        <f>Z16*B32</f>
        <v>0</v>
      </c>
      <c r="AB16" s="206">
        <f>'Yield-penalty-by-LD-class'!N4</f>
        <v>0</v>
      </c>
      <c r="AC16" s="206">
        <f>'Yield-penalty-by-LD-class'!O4</f>
        <v>0</v>
      </c>
      <c r="AD16" s="95">
        <f t="shared" ref="AD16:AD17" si="1">IFERROR(((W16-X16)/X16)-AB16,0)</f>
        <v>0.14999978847718309</v>
      </c>
      <c r="AE16" s="9">
        <f t="shared" ref="AE16:AE17" si="2">IFERROR(((X16-Y16)/Y16)-AC16,0)</f>
        <v>0.34999998907491903</v>
      </c>
      <c r="AF16" s="95">
        <f>SUMPRODUCT(W16:Y16,C32:E32)-Z16</f>
        <v>0</v>
      </c>
    </row>
    <row r="17" spans="1:41" x14ac:dyDescent="0.25">
      <c r="A17" s="1" t="s">
        <v>688</v>
      </c>
      <c r="B17" s="1"/>
      <c r="C17" s="1"/>
      <c r="D17" s="214">
        <f>D13/K1</f>
        <v>0</v>
      </c>
      <c r="E17" s="312">
        <f>F13/K5</f>
        <v>0</v>
      </c>
      <c r="F17" s="214">
        <f>D13</f>
        <v>0</v>
      </c>
      <c r="G17" s="312">
        <f>F13</f>
        <v>0</v>
      </c>
      <c r="K17" s="246"/>
      <c r="L17" s="441"/>
      <c r="S17" s="450"/>
      <c r="T17" s="451"/>
      <c r="U17" s="91"/>
      <c r="V17" s="13" t="s">
        <v>140</v>
      </c>
      <c r="W17" s="295">
        <v>1.5878347490216416</v>
      </c>
      <c r="X17" s="295">
        <v>1.3807261449688064</v>
      </c>
      <c r="Y17" s="295">
        <v>1.0227602998195342</v>
      </c>
      <c r="Z17" s="95">
        <f>'Yield-data'!I6</f>
        <v>0</v>
      </c>
      <c r="AA17" s="140">
        <f t="shared" ref="AA17:AA39" si="3">Z17*B33</f>
        <v>0</v>
      </c>
      <c r="AB17" s="206">
        <f>'Yield-penalty-by-LD-class'!N5</f>
        <v>0</v>
      </c>
      <c r="AC17" s="206">
        <f>'Yield-penalty-by-LD-class'!O5</f>
        <v>0</v>
      </c>
      <c r="AD17" s="95">
        <f t="shared" si="1"/>
        <v>0.14999976990912575</v>
      </c>
      <c r="AE17" s="9">
        <f t="shared" si="2"/>
        <v>0.34999974599369488</v>
      </c>
      <c r="AF17" s="95">
        <f t="shared" ref="AF17:AF39" si="4">SUMPRODUCT(W17:Y17,C33:E33)-Z17</f>
        <v>0</v>
      </c>
    </row>
    <row r="18" spans="1:41" x14ac:dyDescent="0.25">
      <c r="A18" s="1" t="s">
        <v>689</v>
      </c>
      <c r="B18" s="1"/>
      <c r="C18" s="1"/>
      <c r="D18" s="214">
        <f>E13/K1</f>
        <v>0</v>
      </c>
      <c r="E18" s="312">
        <f>G13/K5</f>
        <v>0</v>
      </c>
      <c r="F18" s="214">
        <f>E13</f>
        <v>0</v>
      </c>
      <c r="G18" s="312">
        <f>G13</f>
        <v>0</v>
      </c>
      <c r="K18" s="246"/>
      <c r="L18" s="441"/>
      <c r="S18" s="450"/>
      <c r="T18" s="451"/>
      <c r="V18" s="13" t="s">
        <v>141</v>
      </c>
      <c r="W18" s="295">
        <v>12.323244646464643</v>
      </c>
      <c r="X18" s="295">
        <v>0</v>
      </c>
      <c r="Y18" s="295">
        <v>0</v>
      </c>
      <c r="Z18" s="95">
        <f>'Yield-data'!I7</f>
        <v>0</v>
      </c>
      <c r="AA18" s="140">
        <f t="shared" si="3"/>
        <v>0</v>
      </c>
      <c r="AB18" s="206">
        <f>'Yield-penalty-by-LD-class'!N6</f>
        <v>0</v>
      </c>
      <c r="AC18" s="206">
        <f>'Yield-penalty-by-LD-class'!O6</f>
        <v>0</v>
      </c>
      <c r="AD18" s="95">
        <f>IFERROR(((W18-X18)/X18)-AB18,0)</f>
        <v>0</v>
      </c>
      <c r="AE18" s="9">
        <f>IFERROR(((X18-Y18)/Y18)-AC18,0)</f>
        <v>0</v>
      </c>
      <c r="AF18" s="95">
        <f t="shared" si="4"/>
        <v>0</v>
      </c>
    </row>
    <row r="19" spans="1:41" x14ac:dyDescent="0.25">
      <c r="A19" s="1"/>
      <c r="B19" s="1"/>
      <c r="C19" s="1"/>
      <c r="D19" s="80" t="s">
        <v>493</v>
      </c>
      <c r="E19" s="17" t="s">
        <v>300</v>
      </c>
      <c r="F19" s="126"/>
      <c r="K19" s="246"/>
      <c r="L19" s="441"/>
      <c r="S19" s="450"/>
      <c r="T19" s="451"/>
      <c r="V19" s="13" t="s">
        <v>142</v>
      </c>
      <c r="W19" s="295">
        <v>1.4188370458171287</v>
      </c>
      <c r="X19" s="295">
        <v>1.2337719051542178</v>
      </c>
      <c r="Y19" s="295">
        <v>0.91390554315963091</v>
      </c>
      <c r="Z19" s="95">
        <f>'Yield-data'!I8</f>
        <v>0</v>
      </c>
      <c r="AA19" s="140">
        <f t="shared" si="3"/>
        <v>0</v>
      </c>
      <c r="AB19" s="206">
        <f>'Yield-penalty-by-LD-class'!N7</f>
        <v>0</v>
      </c>
      <c r="AC19" s="206">
        <f>'Yield-penalty-by-LD-class'!O7</f>
        <v>0</v>
      </c>
      <c r="AD19" s="95">
        <f t="shared" ref="AD19:AD39" si="5">IFERROR(((W19-X19)/X19)-AB19,0)</f>
        <v>0.14999947712359224</v>
      </c>
      <c r="AE19" s="9">
        <f t="shared" ref="AE19:AE39" si="6">IFERROR(((X19-Y19)/Y19)-AC19,0)</f>
        <v>0.3499993674277519</v>
      </c>
      <c r="AF19" s="95">
        <f t="shared" si="4"/>
        <v>0</v>
      </c>
    </row>
    <row r="20" spans="1:41" x14ac:dyDescent="0.25">
      <c r="A20" s="1" t="s">
        <v>301</v>
      </c>
      <c r="B20" s="1"/>
      <c r="C20" s="1"/>
      <c r="D20" s="124">
        <f>(F17-G17)/($F$16-$G$16)/K1</f>
        <v>0</v>
      </c>
      <c r="E20" s="124">
        <f>(F18-G18)/(F16-G16)/K5</f>
        <v>0</v>
      </c>
      <c r="M20" s="44"/>
      <c r="N20" s="44"/>
      <c r="O20" s="44"/>
      <c r="P20" s="44"/>
      <c r="Q20" s="44"/>
      <c r="S20" s="450"/>
      <c r="T20" s="451"/>
      <c r="V20" s="13" t="s">
        <v>143</v>
      </c>
      <c r="W20" s="295">
        <v>1.4680478619156323</v>
      </c>
      <c r="X20" s="295">
        <v>1.2765638882985249</v>
      </c>
      <c r="Y20" s="295">
        <v>0.9456032851402244</v>
      </c>
      <c r="Z20" s="95">
        <f>'Yield-data'!I9</f>
        <v>0</v>
      </c>
      <c r="AA20" s="140">
        <f t="shared" si="3"/>
        <v>0</v>
      </c>
      <c r="AB20" s="206">
        <f>'Yield-penalty-by-LD-class'!N8</f>
        <v>0</v>
      </c>
      <c r="AC20" s="206">
        <f>'Yield-penalty-by-LD-class'!O8</f>
        <v>0</v>
      </c>
      <c r="AD20" s="95">
        <f t="shared" si="5"/>
        <v>0.14999952244640721</v>
      </c>
      <c r="AE20" s="9">
        <f t="shared" si="6"/>
        <v>0.34999942191319905</v>
      </c>
      <c r="AF20" s="95">
        <f t="shared" si="4"/>
        <v>0</v>
      </c>
    </row>
    <row r="21" spans="1:41" x14ac:dyDescent="0.25">
      <c r="A21" s="1" t="s">
        <v>302</v>
      </c>
      <c r="B21" s="1"/>
      <c r="C21" s="1"/>
      <c r="D21" s="124">
        <f>D20*$F$22</f>
        <v>0</v>
      </c>
      <c r="E21" s="124">
        <f>E20*$F$22</f>
        <v>0</v>
      </c>
      <c r="F21" s="1"/>
      <c r="M21" s="1"/>
      <c r="N21" s="1"/>
      <c r="O21" s="1"/>
      <c r="P21" s="1"/>
      <c r="Q21" s="1"/>
      <c r="S21" s="450"/>
      <c r="T21" s="451"/>
      <c r="V21" s="13" t="s">
        <v>144</v>
      </c>
      <c r="W21" s="295">
        <v>1.5726806578143944</v>
      </c>
      <c r="X21" s="295">
        <v>1.3675486543732278</v>
      </c>
      <c r="Y21" s="295">
        <v>1.0129990526404753</v>
      </c>
      <c r="Z21" s="95">
        <f>'Yield-data'!I10</f>
        <v>0</v>
      </c>
      <c r="AA21" s="140">
        <f t="shared" si="3"/>
        <v>0</v>
      </c>
      <c r="AB21" s="206">
        <f>'Yield-penalty-by-LD-class'!N9</f>
        <v>0</v>
      </c>
      <c r="AC21" s="206">
        <f>'Yield-penalty-by-LD-class'!O9</f>
        <v>0</v>
      </c>
      <c r="AD21" s="95">
        <f t="shared" si="5"/>
        <v>0.14999978449408971</v>
      </c>
      <c r="AE21" s="9">
        <f t="shared" si="6"/>
        <v>0.34999993416438674</v>
      </c>
      <c r="AF21" s="95">
        <f t="shared" si="4"/>
        <v>0</v>
      </c>
    </row>
    <row r="22" spans="1:41" x14ac:dyDescent="0.25">
      <c r="A22" s="1" t="s">
        <v>303</v>
      </c>
      <c r="B22" s="1"/>
      <c r="C22" s="176">
        <f>'Cereals-all-year'!C24</f>
        <v>6.0970000000000003E-2</v>
      </c>
      <c r="D22" s="1"/>
      <c r="E22" s="1" t="s">
        <v>304</v>
      </c>
      <c r="F22" s="78">
        <f>1/(1+C22)</f>
        <v>0.94253371914380235</v>
      </c>
      <c r="M22" s="452"/>
      <c r="N22" s="452"/>
      <c r="O22" s="452"/>
      <c r="P22" s="452"/>
      <c r="S22" s="450"/>
      <c r="T22" s="451"/>
      <c r="V22" s="13" t="s">
        <v>145</v>
      </c>
      <c r="W22" s="295">
        <v>1.4015904770217358</v>
      </c>
      <c r="X22" s="295">
        <v>1.2187749513267445</v>
      </c>
      <c r="Y22" s="295">
        <v>0.9027962729243223</v>
      </c>
      <c r="Z22" s="95">
        <f>'Yield-data'!I11</f>
        <v>0</v>
      </c>
      <c r="AA22" s="140">
        <f t="shared" si="3"/>
        <v>0</v>
      </c>
      <c r="AB22" s="206">
        <f>'Yield-penalty-by-LD-class'!N10</f>
        <v>0</v>
      </c>
      <c r="AC22" s="206">
        <f>'Yield-penalty-by-LD-class'!O10</f>
        <v>0</v>
      </c>
      <c r="AD22" s="95">
        <f t="shared" si="5"/>
        <v>0.14999941170105308</v>
      </c>
      <c r="AE22" s="9">
        <f t="shared" si="6"/>
        <v>0.34999998103548818</v>
      </c>
      <c r="AF22" s="95">
        <f t="shared" si="4"/>
        <v>0</v>
      </c>
    </row>
    <row r="23" spans="1:41" ht="28.5" customHeight="1" x14ac:dyDescent="0.25">
      <c r="A23" s="1"/>
      <c r="B23" s="1"/>
      <c r="C23" s="1"/>
      <c r="D23" s="1"/>
      <c r="E23" s="1"/>
      <c r="M23" s="452"/>
      <c r="N23" s="452"/>
      <c r="O23" s="452"/>
      <c r="P23" s="452"/>
      <c r="S23" s="450"/>
      <c r="T23" s="451"/>
      <c r="V23" s="13" t="s">
        <v>146</v>
      </c>
      <c r="W23" s="295">
        <v>1.5341511828084005</v>
      </c>
      <c r="X23" s="295">
        <v>1.3340452193494428</v>
      </c>
      <c r="Y23" s="295">
        <v>0.98818216311770779</v>
      </c>
      <c r="Z23" s="95">
        <f>'Yield-data'!I12</f>
        <v>0</v>
      </c>
      <c r="AA23" s="140">
        <f t="shared" si="3"/>
        <v>0</v>
      </c>
      <c r="AB23" s="206">
        <f>'Yield-penalty-by-LD-class'!N11</f>
        <v>0</v>
      </c>
      <c r="AC23" s="206">
        <f>'Yield-penalty-by-LD-class'!O11</f>
        <v>0</v>
      </c>
      <c r="AD23" s="95">
        <f t="shared" si="5"/>
        <v>0.14999938574536542</v>
      </c>
      <c r="AE23" s="9">
        <f t="shared" si="6"/>
        <v>0.3499992907588409</v>
      </c>
      <c r="AF23" s="95">
        <f t="shared" si="4"/>
        <v>0</v>
      </c>
    </row>
    <row r="24" spans="1:41" ht="28.5" customHeight="1" x14ac:dyDescent="0.25">
      <c r="A24" s="844" t="s">
        <v>305</v>
      </c>
      <c r="B24" s="844"/>
      <c r="C24" s="844"/>
      <c r="D24" s="844"/>
      <c r="E24" s="18"/>
      <c r="M24" s="452"/>
      <c r="N24" s="452"/>
      <c r="O24" s="452"/>
      <c r="P24" s="452"/>
      <c r="S24" s="450"/>
      <c r="T24" s="451"/>
      <c r="V24" s="13" t="s">
        <v>147</v>
      </c>
      <c r="W24" s="295">
        <v>1.5524997308294539</v>
      </c>
      <c r="X24" s="295">
        <v>1.35</v>
      </c>
      <c r="Y24" s="295">
        <v>1.0000001751566565</v>
      </c>
      <c r="Z24" s="95">
        <f>'Yield-data'!I13</f>
        <v>0</v>
      </c>
      <c r="AA24" s="140">
        <f t="shared" si="3"/>
        <v>0</v>
      </c>
      <c r="AB24" s="206">
        <f>'Yield-penalty-by-LD-class'!N12</f>
        <v>0</v>
      </c>
      <c r="AC24" s="206">
        <f>'Yield-penalty-by-LD-class'!O12</f>
        <v>0</v>
      </c>
      <c r="AD24" s="95">
        <f t="shared" si="5"/>
        <v>0.14999980061441023</v>
      </c>
      <c r="AE24" s="9">
        <f t="shared" si="6"/>
        <v>0.34999976353855522</v>
      </c>
      <c r="AF24" s="95">
        <f t="shared" si="4"/>
        <v>0</v>
      </c>
    </row>
    <row r="25" spans="1:41" x14ac:dyDescent="0.25">
      <c r="A25" s="844" t="s">
        <v>306</v>
      </c>
      <c r="B25" s="844"/>
      <c r="C25" s="18"/>
      <c r="D25" s="18"/>
      <c r="E25" s="18"/>
      <c r="M25" s="452"/>
      <c r="N25" s="452"/>
      <c r="O25" s="452"/>
      <c r="P25" s="452"/>
      <c r="S25" s="450"/>
      <c r="T25" s="451"/>
      <c r="V25" s="13" t="s">
        <v>148</v>
      </c>
      <c r="W25" s="295">
        <v>1.7398144800781219</v>
      </c>
      <c r="X25" s="295">
        <v>1.3918521190935185</v>
      </c>
      <c r="Y25" s="295">
        <v>0.95989840557126638</v>
      </c>
      <c r="Z25" s="95">
        <f>'Yield-data'!I14</f>
        <v>0</v>
      </c>
      <c r="AA25" s="140">
        <f t="shared" si="3"/>
        <v>0</v>
      </c>
      <c r="AB25" s="206">
        <f>'Yield-penalty-by-LD-class'!N13</f>
        <v>0</v>
      </c>
      <c r="AC25" s="206">
        <f>'Yield-penalty-by-LD-class'!O13</f>
        <v>0</v>
      </c>
      <c r="AD25" s="95">
        <f t="shared" si="5"/>
        <v>0.24999951949724614</v>
      </c>
      <c r="AE25" s="9">
        <f t="shared" si="6"/>
        <v>0.44999940724475168</v>
      </c>
      <c r="AF25" s="95">
        <f t="shared" si="4"/>
        <v>0</v>
      </c>
    </row>
    <row r="26" spans="1:41" ht="27.6" customHeight="1" x14ac:dyDescent="0.25">
      <c r="A26" s="3" t="s">
        <v>690</v>
      </c>
      <c r="B26" s="3"/>
      <c r="C26" s="3"/>
      <c r="D26" s="3"/>
      <c r="E26" s="3"/>
      <c r="M26" s="441"/>
      <c r="N26" s="441"/>
      <c r="O26" s="441"/>
      <c r="P26" s="441"/>
      <c r="Q26" s="35"/>
      <c r="V26" s="13" t="s">
        <v>149</v>
      </c>
      <c r="W26" s="295">
        <v>1.5521353272819396</v>
      </c>
      <c r="X26" s="295">
        <v>1.2417084826818181</v>
      </c>
      <c r="Y26" s="295">
        <v>0.85635083393910916</v>
      </c>
      <c r="Z26" s="95">
        <f>'Yield-data'!I15</f>
        <v>0</v>
      </c>
      <c r="AA26" s="140">
        <f t="shared" si="3"/>
        <v>0</v>
      </c>
      <c r="AB26" s="206">
        <f>'Yield-penalty-by-LD-class'!N14</f>
        <v>0</v>
      </c>
      <c r="AC26" s="206">
        <f>'Yield-penalty-by-LD-class'!O14</f>
        <v>0</v>
      </c>
      <c r="AD26" s="95">
        <f t="shared" si="5"/>
        <v>0.24999977766896425</v>
      </c>
      <c r="AE26" s="9">
        <f t="shared" si="6"/>
        <v>0.44999973547069588</v>
      </c>
      <c r="AF26" s="95">
        <f t="shared" si="4"/>
        <v>0</v>
      </c>
      <c r="AL26" s="1"/>
      <c r="AM26" s="1"/>
      <c r="AN26" s="1"/>
      <c r="AO26" s="22"/>
    </row>
    <row r="27" spans="1:41" x14ac:dyDescent="0.25">
      <c r="A27" s="1" t="s">
        <v>308</v>
      </c>
      <c r="F27" s="1"/>
      <c r="V27" s="13" t="s">
        <v>150</v>
      </c>
      <c r="W27" s="295">
        <v>1.6631888027158241</v>
      </c>
      <c r="X27" s="295">
        <v>1.3305515866027915</v>
      </c>
      <c r="Y27" s="295">
        <v>0.91762215309786221</v>
      </c>
      <c r="Z27" s="95">
        <f>'Yield-data'!I16</f>
        <v>0</v>
      </c>
      <c r="AA27" s="140">
        <f t="shared" si="3"/>
        <v>0</v>
      </c>
      <c r="AB27" s="206">
        <f>'Yield-penalty-by-LD-class'!N15</f>
        <v>0</v>
      </c>
      <c r="AC27" s="206">
        <f>'Yield-penalty-by-LD-class'!O15</f>
        <v>0</v>
      </c>
      <c r="AD27" s="95">
        <f t="shared" si="5"/>
        <v>0.24999948852966539</v>
      </c>
      <c r="AE27" s="9">
        <f t="shared" si="6"/>
        <v>0.44999941654731535</v>
      </c>
      <c r="AF27" s="95">
        <f t="shared" si="4"/>
        <v>0</v>
      </c>
      <c r="AL27" s="49"/>
      <c r="AM27" s="49"/>
      <c r="AN27" s="49"/>
      <c r="AO27" s="49"/>
    </row>
    <row r="28" spans="1:41" x14ac:dyDescent="0.25">
      <c r="V28" s="13" t="s">
        <v>151</v>
      </c>
      <c r="W28" s="295">
        <v>1.6638531829305121</v>
      </c>
      <c r="X28" s="295">
        <v>1.3310827457317977</v>
      </c>
      <c r="Y28" s="295">
        <v>0.91798824050581262</v>
      </c>
      <c r="Z28" s="95">
        <f>'Yield-data'!I17</f>
        <v>0</v>
      </c>
      <c r="AA28" s="140">
        <f t="shared" si="3"/>
        <v>0</v>
      </c>
      <c r="AB28" s="206">
        <f>'Yield-penalty-by-LD-class'!N16</f>
        <v>0</v>
      </c>
      <c r="AC28" s="206">
        <f>'Yield-penalty-by-LD-class'!O16</f>
        <v>0</v>
      </c>
      <c r="AD28" s="95">
        <f t="shared" si="5"/>
        <v>0.24999981275827074</v>
      </c>
      <c r="AE28" s="9">
        <f t="shared" si="6"/>
        <v>0.44999977886249343</v>
      </c>
      <c r="AF28" s="95">
        <f t="shared" si="4"/>
        <v>0</v>
      </c>
      <c r="AL28" s="83"/>
      <c r="AM28" s="83"/>
      <c r="AN28" s="83"/>
    </row>
    <row r="29" spans="1:41" ht="19.350000000000001" customHeight="1" x14ac:dyDescent="0.25">
      <c r="A29" s="1" t="s">
        <v>691</v>
      </c>
      <c r="D29" s="1"/>
      <c r="F29" s="1"/>
      <c r="G29" s="60"/>
      <c r="H29" s="60"/>
      <c r="J29" s="246"/>
      <c r="K29" s="246"/>
      <c r="L29" s="442"/>
      <c r="V29" s="13" t="s">
        <v>152</v>
      </c>
      <c r="W29" s="295">
        <v>2.7596603933589399</v>
      </c>
      <c r="X29" s="295">
        <v>2.2077291006931175</v>
      </c>
      <c r="Y29" s="295">
        <v>1.5225723380051011</v>
      </c>
      <c r="Z29" s="95">
        <f>'Yield-data'!I18</f>
        <v>0</v>
      </c>
      <c r="AA29" s="140">
        <f t="shared" si="3"/>
        <v>0</v>
      </c>
      <c r="AB29" s="206">
        <f>'Yield-penalty-by-LD-class'!N17</f>
        <v>0</v>
      </c>
      <c r="AC29" s="206">
        <f>'Yield-penalty-by-LD-class'!O17</f>
        <v>0</v>
      </c>
      <c r="AD29" s="95">
        <f t="shared" si="5"/>
        <v>0.24999955496919588</v>
      </c>
      <c r="AE29" s="9">
        <f t="shared" si="6"/>
        <v>0.44999948152592861</v>
      </c>
      <c r="AF29" s="95">
        <f t="shared" si="4"/>
        <v>0</v>
      </c>
    </row>
    <row r="30" spans="1:41" ht="44.45" customHeight="1" x14ac:dyDescent="0.25">
      <c r="A30" s="1" t="s">
        <v>101</v>
      </c>
      <c r="B30" s="814" t="s">
        <v>692</v>
      </c>
      <c r="C30" s="814" t="s">
        <v>693</v>
      </c>
      <c r="D30" s="814"/>
      <c r="E30" s="814"/>
      <c r="F30" s="814"/>
      <c r="G30" s="814" t="s">
        <v>694</v>
      </c>
      <c r="H30" s="814"/>
      <c r="I30" s="814"/>
      <c r="J30" s="814"/>
      <c r="K30" s="814" t="s">
        <v>695</v>
      </c>
      <c r="L30" s="814"/>
      <c r="M30" s="814"/>
      <c r="N30" s="814"/>
      <c r="O30" s="814" t="s">
        <v>696</v>
      </c>
      <c r="P30" s="814"/>
      <c r="Q30" s="814"/>
      <c r="R30" s="814"/>
      <c r="S30" s="17" t="s">
        <v>120</v>
      </c>
      <c r="T30" s="44"/>
      <c r="V30" s="13" t="s">
        <v>153</v>
      </c>
      <c r="W30" s="295">
        <v>2.4214444313837125</v>
      </c>
      <c r="X30" s="295">
        <v>1.9371554682260683</v>
      </c>
      <c r="Y30" s="295">
        <v>1.3359692884309562</v>
      </c>
      <c r="Z30" s="95">
        <f>'Yield-data'!I19</f>
        <v>0</v>
      </c>
      <c r="AA30" s="140">
        <f t="shared" si="3"/>
        <v>0</v>
      </c>
      <c r="AB30" s="206">
        <f>'Yield-penalty-by-LD-class'!N18</f>
        <v>0</v>
      </c>
      <c r="AC30" s="206">
        <f>'Yield-penalty-by-LD-class'!O18</f>
        <v>0</v>
      </c>
      <c r="AD30" s="95">
        <f t="shared" si="5"/>
        <v>0.25000004960940342</v>
      </c>
      <c r="AE30" s="9">
        <f t="shared" si="6"/>
        <v>0.45000000000088464</v>
      </c>
      <c r="AF30" s="95">
        <f t="shared" si="4"/>
        <v>0</v>
      </c>
      <c r="AM30" s="52"/>
      <c r="AN30" s="1"/>
      <c r="AO30" s="1"/>
    </row>
    <row r="31" spans="1:41" x14ac:dyDescent="0.25">
      <c r="A31" s="1"/>
      <c r="B31" s="814"/>
      <c r="C31" s="1" t="s">
        <v>136</v>
      </c>
      <c r="D31" s="1" t="s">
        <v>137</v>
      </c>
      <c r="E31" s="1" t="s">
        <v>138</v>
      </c>
      <c r="F31" s="1" t="s">
        <v>120</v>
      </c>
      <c r="G31" s="1" t="s">
        <v>136</v>
      </c>
      <c r="H31" s="1" t="s">
        <v>137</v>
      </c>
      <c r="I31" s="1" t="s">
        <v>289</v>
      </c>
      <c r="J31" s="1" t="s">
        <v>213</v>
      </c>
      <c r="K31" s="1" t="s">
        <v>136</v>
      </c>
      <c r="L31" s="1" t="s">
        <v>137</v>
      </c>
      <c r="M31" s="1" t="s">
        <v>289</v>
      </c>
      <c r="N31" s="1" t="s">
        <v>120</v>
      </c>
      <c r="O31" s="1" t="s">
        <v>136</v>
      </c>
      <c r="P31" s="1" t="s">
        <v>137</v>
      </c>
      <c r="Q31" s="1" t="s">
        <v>289</v>
      </c>
      <c r="R31" s="1" t="s">
        <v>120</v>
      </c>
      <c r="V31" s="13" t="s">
        <v>154</v>
      </c>
      <c r="W31" s="295">
        <v>3.6760356867973321</v>
      </c>
      <c r="X31" s="295">
        <v>2.9408285515552888</v>
      </c>
      <c r="Y31" s="295">
        <v>2.0281582453088132</v>
      </c>
      <c r="Z31" s="95">
        <f>'Yield-data'!I20</f>
        <v>0</v>
      </c>
      <c r="AA31" s="140">
        <f t="shared" si="3"/>
        <v>0</v>
      </c>
      <c r="AB31" s="206">
        <f>'Yield-penalty-by-LD-class'!N19</f>
        <v>0</v>
      </c>
      <c r="AC31" s="206">
        <f>'Yield-penalty-by-LD-class'!O19</f>
        <v>0</v>
      </c>
      <c r="AD31" s="95">
        <f t="shared" si="5"/>
        <v>0.24999999909998871</v>
      </c>
      <c r="AE31" s="9">
        <f t="shared" si="6"/>
        <v>0.44999955420515514</v>
      </c>
      <c r="AF31" s="95">
        <f t="shared" si="4"/>
        <v>0</v>
      </c>
    </row>
    <row r="32" spans="1:41" x14ac:dyDescent="0.25">
      <c r="A32" s="13" t="s">
        <v>139</v>
      </c>
      <c r="B32" s="67">
        <f>'Area&amp;production data'!L5</f>
        <v>0</v>
      </c>
      <c r="C32" s="169">
        <f>'Area&amp;production data'!BU5</f>
        <v>0</v>
      </c>
      <c r="D32" s="169">
        <f>'Area&amp;production data'!BV5</f>
        <v>0</v>
      </c>
      <c r="E32" s="169">
        <f>'Area&amp;production data'!BW5</f>
        <v>0</v>
      </c>
      <c r="F32" s="25">
        <f>SUM(C32:E32)</f>
        <v>0</v>
      </c>
      <c r="G32" s="180">
        <f>$W16-W16</f>
        <v>0</v>
      </c>
      <c r="H32" s="180">
        <f>$W16-X16</f>
        <v>0.17850151022762684</v>
      </c>
      <c r="I32" s="180">
        <f t="shared" ref="I32" si="7">$W16-Y16</f>
        <v>0.48702306694485886</v>
      </c>
      <c r="J32" s="81">
        <f>SUMPRODUCT(C32:E32,G32:I32)</f>
        <v>0</v>
      </c>
      <c r="K32" s="26">
        <f t="shared" ref="K32:N32" si="8">G32*C32*$B32</f>
        <v>0</v>
      </c>
      <c r="L32" s="26">
        <f>H32*D32*$B32</f>
        <v>0</v>
      </c>
      <c r="M32" s="26">
        <f>I32*E32*$B32</f>
        <v>0</v>
      </c>
      <c r="N32" s="26">
        <f t="shared" si="8"/>
        <v>0</v>
      </c>
      <c r="O32" s="572">
        <f t="shared" ref="O32:Q32" si="9">$D$17*K32</f>
        <v>0</v>
      </c>
      <c r="P32" s="572">
        <f t="shared" si="9"/>
        <v>0</v>
      </c>
      <c r="Q32" s="572">
        <f t="shared" si="9"/>
        <v>0</v>
      </c>
      <c r="R32" s="571">
        <f>SUM(O32:Q32)</f>
        <v>0</v>
      </c>
      <c r="V32" s="13" t="s">
        <v>155</v>
      </c>
      <c r="W32" s="295">
        <v>7.6937992443589076</v>
      </c>
      <c r="X32" s="295">
        <v>6.1550402075155546</v>
      </c>
      <c r="Y32" s="295">
        <v>4.2448553155193638</v>
      </c>
      <c r="Z32" s="95">
        <f>'Yield-data'!I21</f>
        <v>0</v>
      </c>
      <c r="AA32" s="140">
        <f t="shared" si="3"/>
        <v>0</v>
      </c>
      <c r="AB32" s="206">
        <f>'Yield-penalty-by-LD-class'!N20</f>
        <v>0</v>
      </c>
      <c r="AC32" s="206">
        <f>'Yield-penalty-by-LD-class'!O20</f>
        <v>0</v>
      </c>
      <c r="AD32" s="95">
        <f t="shared" si="5"/>
        <v>0.24999983508872381</v>
      </c>
      <c r="AE32" s="9">
        <f t="shared" si="6"/>
        <v>0.45000000000293933</v>
      </c>
      <c r="AF32" s="95">
        <f t="shared" si="4"/>
        <v>0</v>
      </c>
    </row>
    <row r="33" spans="1:32" x14ac:dyDescent="0.25">
      <c r="A33" s="13" t="s">
        <v>140</v>
      </c>
      <c r="B33" s="67">
        <f>'Area&amp;production data'!L6</f>
        <v>0</v>
      </c>
      <c r="C33" s="169">
        <f>'Area&amp;production data'!BU6</f>
        <v>0</v>
      </c>
      <c r="D33" s="169">
        <f>'Area&amp;production data'!BV6</f>
        <v>0</v>
      </c>
      <c r="E33" s="169">
        <f>'Area&amp;production data'!BW6</f>
        <v>0</v>
      </c>
      <c r="F33" s="25">
        <f t="shared" ref="F33:F55" si="10">SUM(C33:E33)</f>
        <v>0</v>
      </c>
      <c r="G33" s="180">
        <f t="shared" ref="G33:G55" si="11">$W17-W17</f>
        <v>0</v>
      </c>
      <c r="H33" s="180">
        <f t="shared" ref="H33:H55" si="12">$W17-X17</f>
        <v>0.20710860405283515</v>
      </c>
      <c r="I33" s="180">
        <f t="shared" ref="I33:I55" si="13">$W17-Y17</f>
        <v>0.56507444920210737</v>
      </c>
      <c r="J33" s="81">
        <f t="shared" ref="J33:J55" si="14">SUMPRODUCT(C33:E33,G33:I33)</f>
        <v>0</v>
      </c>
      <c r="K33" s="26">
        <f t="shared" ref="K33:K55" si="15">G33*C33*$B33</f>
        <v>0</v>
      </c>
      <c r="L33" s="26">
        <f t="shared" ref="L33:L55" si="16">H33*D33*$B33</f>
        <v>0</v>
      </c>
      <c r="M33" s="26">
        <f t="shared" ref="M33:M55" si="17">I33*E33*$B33</f>
        <v>0</v>
      </c>
      <c r="N33" s="26">
        <f t="shared" ref="N33:N55" si="18">J33*F33*$B33</f>
        <v>0</v>
      </c>
      <c r="O33" s="572">
        <f t="shared" ref="O33:O55" si="19">$D$17*K33</f>
        <v>0</v>
      </c>
      <c r="P33" s="572">
        <f t="shared" ref="P33:P55" si="20">$D$17*L33</f>
        <v>0</v>
      </c>
      <c r="Q33" s="572">
        <f t="shared" ref="Q33:Q49" si="21">$D$17*M33</f>
        <v>0</v>
      </c>
      <c r="R33" s="571">
        <f t="shared" ref="R33:R49" si="22">SUM(O33:Q33)</f>
        <v>0</v>
      </c>
      <c r="V33" s="13" t="s">
        <v>156</v>
      </c>
      <c r="W33" s="295">
        <v>2.3894667019155418</v>
      </c>
      <c r="X33" s="295">
        <v>1.911573361532529</v>
      </c>
      <c r="Y33" s="295">
        <v>1.3183270825896862</v>
      </c>
      <c r="Z33" s="95">
        <f>'Yield-data'!I22</f>
        <v>0</v>
      </c>
      <c r="AA33" s="140">
        <f t="shared" si="3"/>
        <v>0</v>
      </c>
      <c r="AB33" s="206">
        <f>'Yield-penalty-by-LD-class'!N21</f>
        <v>0</v>
      </c>
      <c r="AC33" s="206">
        <f>'Yield-penalty-by-LD-class'!O21</f>
        <v>0</v>
      </c>
      <c r="AD33" s="95">
        <f t="shared" si="5"/>
        <v>0.24999999999993749</v>
      </c>
      <c r="AE33" s="9">
        <f t="shared" si="6"/>
        <v>0.44999931107952795</v>
      </c>
      <c r="AF33" s="95">
        <f t="shared" si="4"/>
        <v>0</v>
      </c>
    </row>
    <row r="34" spans="1:32" x14ac:dyDescent="0.25">
      <c r="A34" s="13" t="s">
        <v>141</v>
      </c>
      <c r="B34" s="67">
        <f>'Area&amp;production data'!L7</f>
        <v>0</v>
      </c>
      <c r="C34" s="169">
        <f>'Area&amp;production data'!BU7</f>
        <v>0</v>
      </c>
      <c r="D34" s="169">
        <f>'Area&amp;production data'!BV7</f>
        <v>0</v>
      </c>
      <c r="E34" s="169">
        <f>'Area&amp;production data'!BW7</f>
        <v>0</v>
      </c>
      <c r="F34" s="25">
        <f t="shared" si="10"/>
        <v>0</v>
      </c>
      <c r="G34" s="180">
        <f t="shared" si="11"/>
        <v>0</v>
      </c>
      <c r="H34" s="180">
        <f t="shared" si="12"/>
        <v>12.323244646464643</v>
      </c>
      <c r="I34" s="180">
        <f t="shared" si="13"/>
        <v>12.323244646464643</v>
      </c>
      <c r="J34" s="81">
        <f t="shared" si="14"/>
        <v>0</v>
      </c>
      <c r="K34" s="26">
        <f t="shared" si="15"/>
        <v>0</v>
      </c>
      <c r="L34" s="26">
        <f t="shared" si="16"/>
        <v>0</v>
      </c>
      <c r="M34" s="26">
        <f t="shared" si="17"/>
        <v>0</v>
      </c>
      <c r="N34" s="26">
        <f t="shared" si="18"/>
        <v>0</v>
      </c>
      <c r="O34" s="572">
        <f t="shared" si="19"/>
        <v>0</v>
      </c>
      <c r="P34" s="572">
        <f t="shared" si="20"/>
        <v>0</v>
      </c>
      <c r="Q34" s="572">
        <f t="shared" si="21"/>
        <v>0</v>
      </c>
      <c r="R34" s="571">
        <f t="shared" si="22"/>
        <v>0</v>
      </c>
      <c r="V34" s="13" t="s">
        <v>157</v>
      </c>
      <c r="W34" s="295">
        <v>1.4</v>
      </c>
      <c r="X34" s="295">
        <v>0.9953267724457906</v>
      </c>
      <c r="Y34" s="295">
        <v>0.66355118178880668</v>
      </c>
      <c r="Z34" s="95">
        <f>'Yield-data'!I23</f>
        <v>0</v>
      </c>
      <c r="AA34" s="140">
        <f t="shared" si="3"/>
        <v>0</v>
      </c>
      <c r="AB34" s="206">
        <f>'Yield-penalty-by-LD-class'!N22</f>
        <v>0</v>
      </c>
      <c r="AC34" s="206">
        <f>'Yield-penalty-by-LD-class'!O22</f>
        <v>0</v>
      </c>
      <c r="AD34" s="95">
        <f t="shared" si="5"/>
        <v>0.4065732368072611</v>
      </c>
      <c r="AE34" s="9">
        <f t="shared" si="6"/>
        <v>0.49999999964219877</v>
      </c>
      <c r="AF34" s="95">
        <f t="shared" si="4"/>
        <v>0</v>
      </c>
    </row>
    <row r="35" spans="1:32" x14ac:dyDescent="0.25">
      <c r="A35" s="13" t="s">
        <v>142</v>
      </c>
      <c r="B35" s="67">
        <f>'Area&amp;production data'!L8</f>
        <v>0</v>
      </c>
      <c r="C35" s="169">
        <f>'Area&amp;production data'!BU8</f>
        <v>0</v>
      </c>
      <c r="D35" s="169">
        <f>'Area&amp;production data'!BV8</f>
        <v>0</v>
      </c>
      <c r="E35" s="169">
        <f>'Area&amp;production data'!BW8</f>
        <v>0</v>
      </c>
      <c r="F35" s="25">
        <f t="shared" si="10"/>
        <v>0</v>
      </c>
      <c r="G35" s="180">
        <f t="shared" si="11"/>
        <v>0</v>
      </c>
      <c r="H35" s="180">
        <f t="shared" si="12"/>
        <v>0.18506514066291091</v>
      </c>
      <c r="I35" s="180">
        <f t="shared" si="13"/>
        <v>0.50493150265749775</v>
      </c>
      <c r="J35" s="81">
        <f t="shared" si="14"/>
        <v>0</v>
      </c>
      <c r="K35" s="26">
        <f t="shared" si="15"/>
        <v>0</v>
      </c>
      <c r="L35" s="26">
        <f t="shared" si="16"/>
        <v>0</v>
      </c>
      <c r="M35" s="26">
        <f t="shared" si="17"/>
        <v>0</v>
      </c>
      <c r="N35" s="26">
        <f t="shared" si="18"/>
        <v>0</v>
      </c>
      <c r="O35" s="572">
        <f t="shared" si="19"/>
        <v>0</v>
      </c>
      <c r="P35" s="572">
        <f t="shared" si="20"/>
        <v>0</v>
      </c>
      <c r="Q35" s="572">
        <f t="shared" si="21"/>
        <v>0</v>
      </c>
      <c r="R35" s="571">
        <f t="shared" si="22"/>
        <v>0</v>
      </c>
      <c r="V35" s="13" t="s">
        <v>158</v>
      </c>
      <c r="W35" s="295">
        <v>1.9</v>
      </c>
      <c r="X35" s="295">
        <v>1.7590941161704272</v>
      </c>
      <c r="Y35" s="295">
        <v>1.1727294187730786</v>
      </c>
      <c r="Z35" s="95">
        <f>'Yield-data'!I24</f>
        <v>0</v>
      </c>
      <c r="AA35" s="140">
        <f t="shared" si="3"/>
        <v>0</v>
      </c>
      <c r="AB35" s="206">
        <f>'Yield-penalty-by-LD-class'!N23</f>
        <v>0</v>
      </c>
      <c r="AC35" s="206">
        <f>'Yield-penalty-by-LD-class'!O23</f>
        <v>0</v>
      </c>
      <c r="AD35" s="95">
        <f t="shared" si="5"/>
        <v>8.0101389990620178E-2</v>
      </c>
      <c r="AE35" s="9">
        <f t="shared" si="6"/>
        <v>0.49999998977667787</v>
      </c>
      <c r="AF35" s="95">
        <f t="shared" si="4"/>
        <v>0</v>
      </c>
    </row>
    <row r="36" spans="1:32" x14ac:dyDescent="0.25">
      <c r="A36" s="13" t="s">
        <v>143</v>
      </c>
      <c r="B36" s="67">
        <f>'Area&amp;production data'!L9</f>
        <v>0</v>
      </c>
      <c r="C36" s="169">
        <f>'Area&amp;production data'!BU9</f>
        <v>0</v>
      </c>
      <c r="D36" s="169">
        <f>'Area&amp;production data'!BV9</f>
        <v>0</v>
      </c>
      <c r="E36" s="169">
        <f>'Area&amp;production data'!BW9</f>
        <v>0</v>
      </c>
      <c r="F36" s="25">
        <f t="shared" si="10"/>
        <v>0</v>
      </c>
      <c r="G36" s="180">
        <f t="shared" si="11"/>
        <v>0</v>
      </c>
      <c r="H36" s="180">
        <f t="shared" si="12"/>
        <v>0.19148397361710745</v>
      </c>
      <c r="I36" s="180">
        <f t="shared" si="13"/>
        <v>0.5224445767754079</v>
      </c>
      <c r="J36" s="81">
        <f t="shared" si="14"/>
        <v>0</v>
      </c>
      <c r="K36" s="26">
        <f t="shared" si="15"/>
        <v>0</v>
      </c>
      <c r="L36" s="26">
        <f t="shared" si="16"/>
        <v>0</v>
      </c>
      <c r="M36" s="26">
        <f t="shared" si="17"/>
        <v>0</v>
      </c>
      <c r="N36" s="26">
        <f t="shared" si="18"/>
        <v>0</v>
      </c>
      <c r="O36" s="572">
        <f t="shared" si="19"/>
        <v>0</v>
      </c>
      <c r="P36" s="572">
        <f t="shared" si="20"/>
        <v>0</v>
      </c>
      <c r="Q36" s="572">
        <f t="shared" si="21"/>
        <v>0</v>
      </c>
      <c r="R36" s="571">
        <f t="shared" si="22"/>
        <v>0</v>
      </c>
      <c r="V36" s="13" t="s">
        <v>159</v>
      </c>
      <c r="W36" s="295">
        <v>1.5937745690907021</v>
      </c>
      <c r="X36" s="295">
        <v>1.2726383487489508</v>
      </c>
      <c r="Y36" s="295">
        <v>0.84842571550402857</v>
      </c>
      <c r="Z36" s="95">
        <f>'Yield-data'!I25</f>
        <v>0</v>
      </c>
      <c r="AA36" s="140">
        <f t="shared" si="3"/>
        <v>0</v>
      </c>
      <c r="AB36" s="206">
        <f>'Yield-penalty-by-LD-class'!N24</f>
        <v>0</v>
      </c>
      <c r="AC36" s="206">
        <f>'Yield-penalty-by-LD-class'!O24</f>
        <v>0</v>
      </c>
      <c r="AD36" s="95">
        <f t="shared" si="5"/>
        <v>0.25233894661231904</v>
      </c>
      <c r="AE36" s="9">
        <f t="shared" si="6"/>
        <v>0.49999973538391401</v>
      </c>
      <c r="AF36" s="95">
        <f t="shared" si="4"/>
        <v>0</v>
      </c>
    </row>
    <row r="37" spans="1:32" x14ac:dyDescent="0.25">
      <c r="A37" s="13" t="s">
        <v>144</v>
      </c>
      <c r="B37" s="67">
        <f>'Area&amp;production data'!L10</f>
        <v>0</v>
      </c>
      <c r="C37" s="169">
        <f>'Area&amp;production data'!BU10</f>
        <v>0</v>
      </c>
      <c r="D37" s="169">
        <f>'Area&amp;production data'!BV10</f>
        <v>0</v>
      </c>
      <c r="E37" s="169">
        <f>'Area&amp;production data'!BW10</f>
        <v>0</v>
      </c>
      <c r="F37" s="25">
        <f t="shared" si="10"/>
        <v>0</v>
      </c>
      <c r="G37" s="180">
        <f t="shared" si="11"/>
        <v>0</v>
      </c>
      <c r="H37" s="180">
        <f t="shared" si="12"/>
        <v>0.20513200344116655</v>
      </c>
      <c r="I37" s="180">
        <f t="shared" si="13"/>
        <v>0.55968160517391907</v>
      </c>
      <c r="J37" s="81">
        <f t="shared" si="14"/>
        <v>0</v>
      </c>
      <c r="K37" s="26">
        <f t="shared" si="15"/>
        <v>0</v>
      </c>
      <c r="L37" s="26">
        <f t="shared" si="16"/>
        <v>0</v>
      </c>
      <c r="M37" s="26">
        <f t="shared" si="17"/>
        <v>0</v>
      </c>
      <c r="N37" s="26">
        <f t="shared" si="18"/>
        <v>0</v>
      </c>
      <c r="O37" s="572">
        <f t="shared" si="19"/>
        <v>0</v>
      </c>
      <c r="P37" s="572">
        <f t="shared" si="20"/>
        <v>0</v>
      </c>
      <c r="Q37" s="572">
        <f t="shared" si="21"/>
        <v>0</v>
      </c>
      <c r="R37" s="571">
        <f t="shared" si="22"/>
        <v>0</v>
      </c>
      <c r="V37" s="13" t="s">
        <v>160</v>
      </c>
      <c r="W37" s="295">
        <v>1.4024647752589612</v>
      </c>
      <c r="X37" s="295">
        <v>1.1634411587756279</v>
      </c>
      <c r="Y37" s="295">
        <v>0.77562748565917783</v>
      </c>
      <c r="Z37" s="95">
        <f>'Yield-data'!I26</f>
        <v>0</v>
      </c>
      <c r="AA37" s="140">
        <f t="shared" si="3"/>
        <v>0</v>
      </c>
      <c r="AB37" s="206">
        <f>'Yield-penalty-by-LD-class'!N25</f>
        <v>0</v>
      </c>
      <c r="AC37" s="206">
        <f>'Yield-penalty-by-LD-class'!O25</f>
        <v>0</v>
      </c>
      <c r="AD37" s="95">
        <f t="shared" si="5"/>
        <v>0.20544538473683951</v>
      </c>
      <c r="AE37" s="9">
        <f t="shared" si="6"/>
        <v>0.49999991012033468</v>
      </c>
      <c r="AF37" s="95">
        <f t="shared" si="4"/>
        <v>0</v>
      </c>
    </row>
    <row r="38" spans="1:32" x14ac:dyDescent="0.25">
      <c r="A38" s="13" t="s">
        <v>145</v>
      </c>
      <c r="B38" s="67">
        <f>'Area&amp;production data'!L11</f>
        <v>0</v>
      </c>
      <c r="C38" s="169">
        <f>'Area&amp;production data'!BU11</f>
        <v>0</v>
      </c>
      <c r="D38" s="169">
        <f>'Area&amp;production data'!BV11</f>
        <v>0</v>
      </c>
      <c r="E38" s="169">
        <f>'Area&amp;production data'!BW11</f>
        <v>0</v>
      </c>
      <c r="F38" s="25">
        <f t="shared" si="10"/>
        <v>0</v>
      </c>
      <c r="G38" s="180">
        <f t="shared" si="11"/>
        <v>0</v>
      </c>
      <c r="H38" s="180">
        <f t="shared" si="12"/>
        <v>0.18281552569499127</v>
      </c>
      <c r="I38" s="180">
        <f t="shared" si="13"/>
        <v>0.49879420409741348</v>
      </c>
      <c r="J38" s="81">
        <f t="shared" si="14"/>
        <v>0</v>
      </c>
      <c r="K38" s="26">
        <f t="shared" si="15"/>
        <v>0</v>
      </c>
      <c r="L38" s="26">
        <f t="shared" si="16"/>
        <v>0</v>
      </c>
      <c r="M38" s="26">
        <f t="shared" si="17"/>
        <v>0</v>
      </c>
      <c r="N38" s="26">
        <f t="shared" si="18"/>
        <v>0</v>
      </c>
      <c r="O38" s="572">
        <f t="shared" si="19"/>
        <v>0</v>
      </c>
      <c r="P38" s="572">
        <f t="shared" si="20"/>
        <v>0</v>
      </c>
      <c r="Q38" s="572">
        <f t="shared" si="21"/>
        <v>0</v>
      </c>
      <c r="R38" s="571">
        <f t="shared" si="22"/>
        <v>0</v>
      </c>
      <c r="V38" s="13" t="s">
        <v>161</v>
      </c>
      <c r="W38" s="295">
        <v>0.65907001437660695</v>
      </c>
      <c r="X38" s="295">
        <v>0.41596534649682781</v>
      </c>
      <c r="Y38" s="295">
        <v>0.27731022658685944</v>
      </c>
      <c r="Z38" s="95">
        <f>'Yield-data'!I27</f>
        <v>0</v>
      </c>
      <c r="AA38" s="140">
        <f t="shared" si="3"/>
        <v>0</v>
      </c>
      <c r="AB38" s="206">
        <f>'Yield-penalty-by-LD-class'!N26</f>
        <v>0</v>
      </c>
      <c r="AC38" s="206">
        <f>'Yield-penalty-by-LD-class'!O26</f>
        <v>0</v>
      </c>
      <c r="AD38" s="95">
        <f t="shared" si="5"/>
        <v>0.58443490528034425</v>
      </c>
      <c r="AE38" s="9">
        <f t="shared" si="6"/>
        <v>0.50000002385969944</v>
      </c>
      <c r="AF38" s="95">
        <f t="shared" si="4"/>
        <v>0</v>
      </c>
    </row>
    <row r="39" spans="1:32" x14ac:dyDescent="0.25">
      <c r="A39" s="13" t="s">
        <v>146</v>
      </c>
      <c r="B39" s="67">
        <f>'Area&amp;production data'!L12</f>
        <v>0</v>
      </c>
      <c r="C39" s="169">
        <f>'Area&amp;production data'!BU12</f>
        <v>0</v>
      </c>
      <c r="D39" s="169">
        <f>'Area&amp;production data'!BV12</f>
        <v>0</v>
      </c>
      <c r="E39" s="169">
        <f>'Area&amp;production data'!BW12</f>
        <v>0</v>
      </c>
      <c r="F39" s="25">
        <f t="shared" si="10"/>
        <v>0</v>
      </c>
      <c r="G39" s="180">
        <f t="shared" si="11"/>
        <v>0</v>
      </c>
      <c r="H39" s="180">
        <f t="shared" si="12"/>
        <v>0.2001059634589577</v>
      </c>
      <c r="I39" s="180">
        <f t="shared" si="13"/>
        <v>0.54596901969069267</v>
      </c>
      <c r="J39" s="81">
        <f t="shared" si="14"/>
        <v>0</v>
      </c>
      <c r="K39" s="26">
        <f t="shared" si="15"/>
        <v>0</v>
      </c>
      <c r="L39" s="26">
        <f t="shared" si="16"/>
        <v>0</v>
      </c>
      <c r="M39" s="26">
        <f t="shared" si="17"/>
        <v>0</v>
      </c>
      <c r="N39" s="26">
        <f t="shared" si="18"/>
        <v>0</v>
      </c>
      <c r="O39" s="572">
        <f t="shared" si="19"/>
        <v>0</v>
      </c>
      <c r="P39" s="572">
        <f t="shared" si="20"/>
        <v>0</v>
      </c>
      <c r="Q39" s="572">
        <f t="shared" si="21"/>
        <v>0</v>
      </c>
      <c r="R39" s="571">
        <f t="shared" si="22"/>
        <v>0</v>
      </c>
      <c r="V39" s="13" t="s">
        <v>162</v>
      </c>
      <c r="W39" s="295">
        <v>0.68132019551326151</v>
      </c>
      <c r="X39" s="295">
        <v>0.5282882328103673</v>
      </c>
      <c r="Y39" s="295">
        <v>0.35219215521026614</v>
      </c>
      <c r="Z39" s="95">
        <f>'Yield-data'!I28</f>
        <v>0</v>
      </c>
      <c r="AA39" s="140">
        <f t="shared" si="3"/>
        <v>0</v>
      </c>
      <c r="AB39" s="206">
        <f>'Yield-penalty-by-LD-class'!N27</f>
        <v>0</v>
      </c>
      <c r="AC39" s="206">
        <f>'Yield-penalty-by-LD-class'!O27</f>
        <v>0</v>
      </c>
      <c r="AD39" s="95">
        <f t="shared" si="5"/>
        <v>0.28967513035223347</v>
      </c>
      <c r="AE39" s="9">
        <f t="shared" si="6"/>
        <v>0.4999999999857126</v>
      </c>
      <c r="AF39" s="95">
        <f t="shared" si="4"/>
        <v>0</v>
      </c>
    </row>
    <row r="40" spans="1:32" x14ac:dyDescent="0.25">
      <c r="A40" s="13" t="s">
        <v>147</v>
      </c>
      <c r="B40" s="67">
        <f>'Area&amp;production data'!L13</f>
        <v>0</v>
      </c>
      <c r="C40" s="169">
        <f>'Area&amp;production data'!BU13</f>
        <v>0</v>
      </c>
      <c r="D40" s="169">
        <f>'Area&amp;production data'!BV13</f>
        <v>0</v>
      </c>
      <c r="E40" s="169">
        <f>'Area&amp;production data'!BW13</f>
        <v>0</v>
      </c>
      <c r="F40" s="25">
        <f t="shared" si="10"/>
        <v>0</v>
      </c>
      <c r="G40" s="180">
        <f t="shared" si="11"/>
        <v>0</v>
      </c>
      <c r="H40" s="180">
        <f t="shared" si="12"/>
        <v>0.20249973082945383</v>
      </c>
      <c r="I40" s="180">
        <f t="shared" si="13"/>
        <v>0.5524995556727974</v>
      </c>
      <c r="J40" s="81">
        <f t="shared" si="14"/>
        <v>0</v>
      </c>
      <c r="K40" s="26">
        <f t="shared" si="15"/>
        <v>0</v>
      </c>
      <c r="L40" s="26">
        <f t="shared" si="16"/>
        <v>0</v>
      </c>
      <c r="M40" s="26">
        <f t="shared" si="17"/>
        <v>0</v>
      </c>
      <c r="N40" s="26">
        <f t="shared" si="18"/>
        <v>0</v>
      </c>
      <c r="O40" s="572">
        <f t="shared" si="19"/>
        <v>0</v>
      </c>
      <c r="P40" s="572">
        <f t="shared" si="20"/>
        <v>0</v>
      </c>
      <c r="Q40" s="572">
        <f t="shared" si="21"/>
        <v>0</v>
      </c>
      <c r="R40" s="571">
        <f t="shared" si="22"/>
        <v>0</v>
      </c>
      <c r="V40" s="447" t="s">
        <v>163</v>
      </c>
      <c r="W40" s="26" t="e">
        <f>SUMPRODUCT($B$32:$B$55,W16:W39)/$B$56</f>
        <v>#DIV/0!</v>
      </c>
      <c r="X40" s="26" t="e">
        <f>SUMPRODUCT($B$32:$B$55,X16:X39)/$B$56</f>
        <v>#DIV/0!</v>
      </c>
      <c r="Y40" s="26" t="e">
        <f>SUMPRODUCT($B$32:$B$55,Y16:Y39)/$B$56</f>
        <v>#DIV/0!</v>
      </c>
      <c r="Z40" s="26" t="e">
        <f>SUMPRODUCT($B$32:$B$55,Z16:Z39)/$B$56</f>
        <v>#DIV/0!</v>
      </c>
      <c r="AA40" s="23">
        <f>SUM(AA16:AA39)</f>
        <v>0</v>
      </c>
      <c r="AB40" s="26" t="e">
        <f>SUMPRODUCT(AB16:AB39,B32:B55)/B56</f>
        <v>#DIV/0!</v>
      </c>
      <c r="AC40" s="26" t="e">
        <f>SUMPRODUCT(AC16:AC39,B32:B55)/B56</f>
        <v>#DIV/0!</v>
      </c>
      <c r="AD40" s="124">
        <f>SUM(AD16:AD39)</f>
        <v>5.2685639715122399</v>
      </c>
      <c r="AE40" s="124">
        <f>SUM(AE16:AE39)</f>
        <v>9.8499938376150666</v>
      </c>
      <c r="AF40" s="124">
        <f>SUM(AF16:AF39)</f>
        <v>0</v>
      </c>
    </row>
    <row r="41" spans="1:32" x14ac:dyDescent="0.25">
      <c r="A41" s="13" t="s">
        <v>148</v>
      </c>
      <c r="B41" s="67">
        <f>'Area&amp;production data'!L14</f>
        <v>0</v>
      </c>
      <c r="C41" s="169">
        <f>'Area&amp;production data'!BU14</f>
        <v>0</v>
      </c>
      <c r="D41" s="169">
        <f>'Area&amp;production data'!BV14</f>
        <v>0</v>
      </c>
      <c r="E41" s="169">
        <f>'Area&amp;production data'!BW14</f>
        <v>0</v>
      </c>
      <c r="F41" s="25">
        <f t="shared" si="10"/>
        <v>0</v>
      </c>
      <c r="G41" s="180">
        <f t="shared" si="11"/>
        <v>0</v>
      </c>
      <c r="H41" s="180">
        <f t="shared" si="12"/>
        <v>0.34796236098460342</v>
      </c>
      <c r="I41" s="180">
        <f t="shared" si="13"/>
        <v>0.77991607450685552</v>
      </c>
      <c r="J41" s="81">
        <f t="shared" si="14"/>
        <v>0</v>
      </c>
      <c r="K41" s="26">
        <f t="shared" si="15"/>
        <v>0</v>
      </c>
      <c r="L41" s="26">
        <f t="shared" si="16"/>
        <v>0</v>
      </c>
      <c r="M41" s="26">
        <f t="shared" si="17"/>
        <v>0</v>
      </c>
      <c r="N41" s="26">
        <f t="shared" si="18"/>
        <v>0</v>
      </c>
      <c r="O41" s="572">
        <f t="shared" si="19"/>
        <v>0</v>
      </c>
      <c r="P41" s="572">
        <f t="shared" si="20"/>
        <v>0</v>
      </c>
      <c r="Q41" s="572">
        <f t="shared" si="21"/>
        <v>0</v>
      </c>
      <c r="R41" s="571">
        <f t="shared" si="22"/>
        <v>0</v>
      </c>
      <c r="V41" s="189"/>
      <c r="W41" s="1"/>
      <c r="X41" s="1"/>
      <c r="Y41" s="1"/>
    </row>
    <row r="42" spans="1:32" x14ac:dyDescent="0.25">
      <c r="A42" s="13" t="s">
        <v>149</v>
      </c>
      <c r="B42" s="67">
        <f>'Area&amp;production data'!L15</f>
        <v>0</v>
      </c>
      <c r="C42" s="169">
        <f>'Area&amp;production data'!BU15</f>
        <v>0</v>
      </c>
      <c r="D42" s="169">
        <f>'Area&amp;production data'!BV15</f>
        <v>0</v>
      </c>
      <c r="E42" s="169">
        <f>'Area&amp;production data'!BW15</f>
        <v>0</v>
      </c>
      <c r="F42" s="25">
        <f t="shared" si="10"/>
        <v>0</v>
      </c>
      <c r="G42" s="180">
        <f t="shared" si="11"/>
        <v>0</v>
      </c>
      <c r="H42" s="180">
        <f t="shared" si="12"/>
        <v>0.31042684460012149</v>
      </c>
      <c r="I42" s="180">
        <f t="shared" si="13"/>
        <v>0.69578449334283043</v>
      </c>
      <c r="J42" s="81">
        <f t="shared" si="14"/>
        <v>0</v>
      </c>
      <c r="K42" s="26">
        <f t="shared" si="15"/>
        <v>0</v>
      </c>
      <c r="L42" s="26">
        <f t="shared" si="16"/>
        <v>0</v>
      </c>
      <c r="M42" s="26">
        <f t="shared" si="17"/>
        <v>0</v>
      </c>
      <c r="N42" s="26">
        <f t="shared" si="18"/>
        <v>0</v>
      </c>
      <c r="O42" s="572">
        <f t="shared" si="19"/>
        <v>0</v>
      </c>
      <c r="P42" s="572">
        <f t="shared" si="20"/>
        <v>0</v>
      </c>
      <c r="Q42" s="572">
        <f t="shared" si="21"/>
        <v>0</v>
      </c>
      <c r="R42" s="571">
        <f t="shared" si="22"/>
        <v>0</v>
      </c>
      <c r="V42" s="189"/>
      <c r="W42" s="1"/>
      <c r="X42" s="1"/>
      <c r="Y42" s="1"/>
    </row>
    <row r="43" spans="1:32" x14ac:dyDescent="0.25">
      <c r="A43" s="13" t="s">
        <v>150</v>
      </c>
      <c r="B43" s="67">
        <f>'Area&amp;production data'!L16</f>
        <v>0</v>
      </c>
      <c r="C43" s="169">
        <f>'Area&amp;production data'!BU16</f>
        <v>0</v>
      </c>
      <c r="D43" s="169">
        <f>'Area&amp;production data'!BV16</f>
        <v>0</v>
      </c>
      <c r="E43" s="169">
        <f>'Area&amp;production data'!BW16</f>
        <v>0</v>
      </c>
      <c r="F43" s="25">
        <f t="shared" si="10"/>
        <v>0</v>
      </c>
      <c r="G43" s="180">
        <f t="shared" si="11"/>
        <v>0</v>
      </c>
      <c r="H43" s="180">
        <f t="shared" si="12"/>
        <v>0.33263721611303265</v>
      </c>
      <c r="I43" s="180">
        <f t="shared" si="13"/>
        <v>0.74556664961796193</v>
      </c>
      <c r="J43" s="81">
        <f t="shared" si="14"/>
        <v>0</v>
      </c>
      <c r="K43" s="26">
        <f t="shared" si="15"/>
        <v>0</v>
      </c>
      <c r="L43" s="26">
        <f t="shared" si="16"/>
        <v>0</v>
      </c>
      <c r="M43" s="26">
        <f t="shared" si="17"/>
        <v>0</v>
      </c>
      <c r="N43" s="26">
        <f t="shared" si="18"/>
        <v>0</v>
      </c>
      <c r="O43" s="572">
        <f t="shared" si="19"/>
        <v>0</v>
      </c>
      <c r="P43" s="572">
        <f t="shared" si="20"/>
        <v>0</v>
      </c>
      <c r="Q43" s="572">
        <f t="shared" si="21"/>
        <v>0</v>
      </c>
      <c r="R43" s="571">
        <f t="shared" si="22"/>
        <v>0</v>
      </c>
      <c r="V43" s="189"/>
      <c r="W43" s="1"/>
      <c r="X43" s="1"/>
      <c r="Y43" s="1"/>
    </row>
    <row r="44" spans="1:32" x14ac:dyDescent="0.25">
      <c r="A44" s="13" t="s">
        <v>151</v>
      </c>
      <c r="B44" s="67">
        <f>'Area&amp;production data'!L17</f>
        <v>0</v>
      </c>
      <c r="C44" s="169">
        <f>'Area&amp;production data'!BU17</f>
        <v>0</v>
      </c>
      <c r="D44" s="169">
        <f>'Area&amp;production data'!BV17</f>
        <v>0</v>
      </c>
      <c r="E44" s="169">
        <f>'Area&amp;production data'!BW17</f>
        <v>0</v>
      </c>
      <c r="F44" s="25">
        <f t="shared" si="10"/>
        <v>0</v>
      </c>
      <c r="G44" s="180">
        <f t="shared" si="11"/>
        <v>0</v>
      </c>
      <c r="H44" s="180">
        <f t="shared" si="12"/>
        <v>0.33277043719871435</v>
      </c>
      <c r="I44" s="180">
        <f t="shared" si="13"/>
        <v>0.74586494242469947</v>
      </c>
      <c r="J44" s="81">
        <f t="shared" si="14"/>
        <v>0</v>
      </c>
      <c r="K44" s="26">
        <f t="shared" si="15"/>
        <v>0</v>
      </c>
      <c r="L44" s="26">
        <f t="shared" si="16"/>
        <v>0</v>
      </c>
      <c r="M44" s="26">
        <f t="shared" si="17"/>
        <v>0</v>
      </c>
      <c r="N44" s="26">
        <f t="shared" si="18"/>
        <v>0</v>
      </c>
      <c r="O44" s="572">
        <f t="shared" si="19"/>
        <v>0</v>
      </c>
      <c r="P44" s="572">
        <f t="shared" si="20"/>
        <v>0</v>
      </c>
      <c r="Q44" s="572">
        <f t="shared" si="21"/>
        <v>0</v>
      </c>
      <c r="R44" s="571">
        <f t="shared" si="22"/>
        <v>0</v>
      </c>
      <c r="V44" s="189"/>
      <c r="W44" s="1"/>
      <c r="X44" s="1"/>
      <c r="Y44" s="1"/>
    </row>
    <row r="45" spans="1:32" x14ac:dyDescent="0.25">
      <c r="A45" s="13" t="s">
        <v>152</v>
      </c>
      <c r="B45" s="67">
        <f>'Area&amp;production data'!L18</f>
        <v>0</v>
      </c>
      <c r="C45" s="169">
        <f>'Area&amp;production data'!BU18</f>
        <v>0</v>
      </c>
      <c r="D45" s="169">
        <f>'Area&amp;production data'!BV18</f>
        <v>0</v>
      </c>
      <c r="E45" s="169">
        <f>'Area&amp;production data'!BW18</f>
        <v>0</v>
      </c>
      <c r="F45" s="25">
        <f t="shared" si="10"/>
        <v>0</v>
      </c>
      <c r="G45" s="180">
        <f t="shared" si="11"/>
        <v>0</v>
      </c>
      <c r="H45" s="180">
        <f t="shared" si="12"/>
        <v>0.55193129266582241</v>
      </c>
      <c r="I45" s="180">
        <f t="shared" si="13"/>
        <v>1.2370880553538388</v>
      </c>
      <c r="J45" s="81">
        <f t="shared" si="14"/>
        <v>0</v>
      </c>
      <c r="K45" s="26">
        <f t="shared" si="15"/>
        <v>0</v>
      </c>
      <c r="L45" s="26">
        <f t="shared" si="16"/>
        <v>0</v>
      </c>
      <c r="M45" s="26">
        <f t="shared" si="17"/>
        <v>0</v>
      </c>
      <c r="N45" s="26">
        <f t="shared" si="18"/>
        <v>0</v>
      </c>
      <c r="O45" s="572">
        <f t="shared" si="19"/>
        <v>0</v>
      </c>
      <c r="P45" s="572">
        <f t="shared" si="20"/>
        <v>0</v>
      </c>
      <c r="Q45" s="572">
        <f t="shared" si="21"/>
        <v>0</v>
      </c>
      <c r="R45" s="571">
        <f t="shared" si="22"/>
        <v>0</v>
      </c>
    </row>
    <row r="46" spans="1:32" x14ac:dyDescent="0.25">
      <c r="A46" s="13" t="s">
        <v>153</v>
      </c>
      <c r="B46" s="67">
        <f>'Area&amp;production data'!L19</f>
        <v>0</v>
      </c>
      <c r="C46" s="169">
        <f>'Area&amp;production data'!BU19</f>
        <v>0</v>
      </c>
      <c r="D46" s="169">
        <f>'Area&amp;production data'!BV19</f>
        <v>0</v>
      </c>
      <c r="E46" s="169">
        <f>'Area&amp;production data'!BW19</f>
        <v>0</v>
      </c>
      <c r="F46" s="25">
        <f t="shared" si="10"/>
        <v>0</v>
      </c>
      <c r="G46" s="180">
        <f t="shared" si="11"/>
        <v>0</v>
      </c>
      <c r="H46" s="180">
        <f t="shared" si="12"/>
        <v>0.48428896315764414</v>
      </c>
      <c r="I46" s="180">
        <f t="shared" si="13"/>
        <v>1.0854751429527563</v>
      </c>
      <c r="J46" s="81">
        <f t="shared" si="14"/>
        <v>0</v>
      </c>
      <c r="K46" s="26">
        <f t="shared" si="15"/>
        <v>0</v>
      </c>
      <c r="L46" s="26">
        <f t="shared" si="16"/>
        <v>0</v>
      </c>
      <c r="M46" s="26">
        <f t="shared" si="17"/>
        <v>0</v>
      </c>
      <c r="N46" s="26">
        <f t="shared" si="18"/>
        <v>0</v>
      </c>
      <c r="O46" s="572">
        <f t="shared" si="19"/>
        <v>0</v>
      </c>
      <c r="P46" s="572">
        <f t="shared" si="20"/>
        <v>0</v>
      </c>
      <c r="Q46" s="572">
        <f t="shared" si="21"/>
        <v>0</v>
      </c>
      <c r="R46" s="571">
        <f t="shared" si="22"/>
        <v>0</v>
      </c>
    </row>
    <row r="47" spans="1:32" x14ac:dyDescent="0.25">
      <c r="A47" s="13" t="s">
        <v>154</v>
      </c>
      <c r="B47" s="67">
        <f>'Area&amp;production data'!L20</f>
        <v>0</v>
      </c>
      <c r="C47" s="169">
        <f>'Area&amp;production data'!BU20</f>
        <v>0</v>
      </c>
      <c r="D47" s="169">
        <f>'Area&amp;production data'!BV20</f>
        <v>0</v>
      </c>
      <c r="E47" s="169">
        <f>'Area&amp;production data'!BW20</f>
        <v>0</v>
      </c>
      <c r="F47" s="25">
        <f t="shared" si="10"/>
        <v>0</v>
      </c>
      <c r="G47" s="180">
        <f t="shared" si="11"/>
        <v>0</v>
      </c>
      <c r="H47" s="180">
        <f t="shared" si="12"/>
        <v>0.73520713524204329</v>
      </c>
      <c r="I47" s="180">
        <f t="shared" si="13"/>
        <v>1.6478774414885189</v>
      </c>
      <c r="J47" s="81">
        <f t="shared" si="14"/>
        <v>0</v>
      </c>
      <c r="K47" s="26">
        <f t="shared" si="15"/>
        <v>0</v>
      </c>
      <c r="L47" s="26">
        <f t="shared" si="16"/>
        <v>0</v>
      </c>
      <c r="M47" s="26">
        <f t="shared" si="17"/>
        <v>0</v>
      </c>
      <c r="N47" s="26">
        <f t="shared" si="18"/>
        <v>0</v>
      </c>
      <c r="O47" s="572">
        <f t="shared" si="19"/>
        <v>0</v>
      </c>
      <c r="P47" s="572">
        <f t="shared" si="20"/>
        <v>0</v>
      </c>
      <c r="Q47" s="572">
        <f t="shared" si="21"/>
        <v>0</v>
      </c>
      <c r="R47" s="571">
        <f t="shared" si="22"/>
        <v>0</v>
      </c>
    </row>
    <row r="48" spans="1:32" x14ac:dyDescent="0.25">
      <c r="A48" s="13" t="s">
        <v>155</v>
      </c>
      <c r="B48" s="67">
        <f>'Area&amp;production data'!L21</f>
        <v>0</v>
      </c>
      <c r="C48" s="169">
        <f>'Area&amp;production data'!BU21</f>
        <v>0</v>
      </c>
      <c r="D48" s="169">
        <f>'Area&amp;production data'!BV21</f>
        <v>0</v>
      </c>
      <c r="E48" s="169">
        <f>'Area&amp;production data'!BW21</f>
        <v>0</v>
      </c>
      <c r="F48" s="25">
        <f t="shared" si="10"/>
        <v>0</v>
      </c>
      <c r="G48" s="180">
        <f t="shared" si="11"/>
        <v>0</v>
      </c>
      <c r="H48" s="180">
        <f t="shared" si="12"/>
        <v>1.538759036843353</v>
      </c>
      <c r="I48" s="180">
        <f t="shared" si="13"/>
        <v>3.4489439288395438</v>
      </c>
      <c r="J48" s="81">
        <f t="shared" si="14"/>
        <v>0</v>
      </c>
      <c r="K48" s="26">
        <f t="shared" si="15"/>
        <v>0</v>
      </c>
      <c r="L48" s="26">
        <f t="shared" si="16"/>
        <v>0</v>
      </c>
      <c r="M48" s="26">
        <f t="shared" si="17"/>
        <v>0</v>
      </c>
      <c r="N48" s="26">
        <f t="shared" si="18"/>
        <v>0</v>
      </c>
      <c r="O48" s="572">
        <f t="shared" si="19"/>
        <v>0</v>
      </c>
      <c r="P48" s="572">
        <f t="shared" si="20"/>
        <v>0</v>
      </c>
      <c r="Q48" s="572">
        <f t="shared" si="21"/>
        <v>0</v>
      </c>
      <c r="R48" s="571">
        <f t="shared" si="22"/>
        <v>0</v>
      </c>
    </row>
    <row r="49" spans="1:30" x14ac:dyDescent="0.25">
      <c r="A49" s="13" t="s">
        <v>156</v>
      </c>
      <c r="B49" s="67">
        <f>'Area&amp;production data'!L22</f>
        <v>0</v>
      </c>
      <c r="C49" s="169">
        <f>'Area&amp;production data'!BU22</f>
        <v>0</v>
      </c>
      <c r="D49" s="169">
        <f>'Area&amp;production data'!BV22</f>
        <v>0</v>
      </c>
      <c r="E49" s="169">
        <f>'Area&amp;production data'!BW22</f>
        <v>0</v>
      </c>
      <c r="F49" s="25">
        <f t="shared" si="10"/>
        <v>0</v>
      </c>
      <c r="G49" s="180">
        <f t="shared" si="11"/>
        <v>0</v>
      </c>
      <c r="H49" s="180">
        <f t="shared" si="12"/>
        <v>0.47789334038301279</v>
      </c>
      <c r="I49" s="180">
        <f t="shared" si="13"/>
        <v>1.0711396193258556</v>
      </c>
      <c r="J49" s="81">
        <f t="shared" si="14"/>
        <v>0</v>
      </c>
      <c r="K49" s="26">
        <f t="shared" si="15"/>
        <v>0</v>
      </c>
      <c r="L49" s="26">
        <f t="shared" si="16"/>
        <v>0</v>
      </c>
      <c r="M49" s="26">
        <f t="shared" si="17"/>
        <v>0</v>
      </c>
      <c r="N49" s="26">
        <f t="shared" si="18"/>
        <v>0</v>
      </c>
      <c r="O49" s="572">
        <f t="shared" si="19"/>
        <v>0</v>
      </c>
      <c r="P49" s="572">
        <f t="shared" si="20"/>
        <v>0</v>
      </c>
      <c r="Q49" s="572">
        <f t="shared" si="21"/>
        <v>0</v>
      </c>
      <c r="R49" s="571">
        <f t="shared" si="22"/>
        <v>0</v>
      </c>
    </row>
    <row r="50" spans="1:30" x14ac:dyDescent="0.25">
      <c r="A50" s="13" t="s">
        <v>157</v>
      </c>
      <c r="B50" s="67">
        <f>'Area&amp;production data'!L23</f>
        <v>0</v>
      </c>
      <c r="C50" s="169">
        <f>'Area&amp;production data'!BU23</f>
        <v>0</v>
      </c>
      <c r="D50" s="169">
        <f>'Area&amp;production data'!BV23</f>
        <v>0</v>
      </c>
      <c r="E50" s="169">
        <f>'Area&amp;production data'!BW23</f>
        <v>0</v>
      </c>
      <c r="F50" s="25">
        <f t="shared" si="10"/>
        <v>0</v>
      </c>
      <c r="G50" s="180">
        <f t="shared" si="11"/>
        <v>0</v>
      </c>
      <c r="H50" s="180">
        <f t="shared" si="12"/>
        <v>0.40467322755420931</v>
      </c>
      <c r="I50" s="180">
        <f t="shared" si="13"/>
        <v>0.73644881821119323</v>
      </c>
      <c r="J50" s="81">
        <f t="shared" si="14"/>
        <v>0</v>
      </c>
      <c r="K50" s="26">
        <f t="shared" si="15"/>
        <v>0</v>
      </c>
      <c r="L50" s="26">
        <f t="shared" si="16"/>
        <v>0</v>
      </c>
      <c r="M50" s="26">
        <f t="shared" si="17"/>
        <v>0</v>
      </c>
      <c r="N50" s="26">
        <f t="shared" si="18"/>
        <v>0</v>
      </c>
      <c r="O50" s="572">
        <f t="shared" si="19"/>
        <v>0</v>
      </c>
      <c r="P50" s="572">
        <f t="shared" ref="P50:P54" si="23">$D$17*L50</f>
        <v>0</v>
      </c>
      <c r="Q50" s="572">
        <f t="shared" ref="Q50:Q55" si="24">$D$17*M50</f>
        <v>0</v>
      </c>
      <c r="R50" s="571">
        <f t="shared" ref="R50:R55" si="25">SUM(O50:Q50)</f>
        <v>0</v>
      </c>
    </row>
    <row r="51" spans="1:30" x14ac:dyDescent="0.25">
      <c r="A51" s="13" t="s">
        <v>158</v>
      </c>
      <c r="B51" s="67">
        <f>'Area&amp;production data'!L24</f>
        <v>0</v>
      </c>
      <c r="C51" s="169">
        <f>'Area&amp;production data'!BU24</f>
        <v>0</v>
      </c>
      <c r="D51" s="169">
        <f>'Area&amp;production data'!BV24</f>
        <v>0</v>
      </c>
      <c r="E51" s="169">
        <f>'Area&amp;production data'!BW24</f>
        <v>0</v>
      </c>
      <c r="F51" s="25">
        <f t="shared" si="10"/>
        <v>0</v>
      </c>
      <c r="G51" s="180">
        <f t="shared" si="11"/>
        <v>0</v>
      </c>
      <c r="H51" s="180">
        <f t="shared" si="12"/>
        <v>0.1409058838295727</v>
      </c>
      <c r="I51" s="180">
        <f t="shared" si="13"/>
        <v>0.72727058122692134</v>
      </c>
      <c r="J51" s="81">
        <f t="shared" si="14"/>
        <v>0</v>
      </c>
      <c r="K51" s="26">
        <f t="shared" si="15"/>
        <v>0</v>
      </c>
      <c r="L51" s="26">
        <f t="shared" si="16"/>
        <v>0</v>
      </c>
      <c r="M51" s="26">
        <f t="shared" si="17"/>
        <v>0</v>
      </c>
      <c r="N51" s="26">
        <f t="shared" si="18"/>
        <v>0</v>
      </c>
      <c r="O51" s="572">
        <f t="shared" si="19"/>
        <v>0</v>
      </c>
      <c r="P51" s="572">
        <f t="shared" si="23"/>
        <v>0</v>
      </c>
      <c r="Q51" s="572">
        <f t="shared" si="24"/>
        <v>0</v>
      </c>
      <c r="R51" s="571">
        <f t="shared" si="25"/>
        <v>0</v>
      </c>
    </row>
    <row r="52" spans="1:30" x14ac:dyDescent="0.25">
      <c r="A52" s="13" t="s">
        <v>159</v>
      </c>
      <c r="B52" s="67">
        <f>'Area&amp;production data'!L25</f>
        <v>0</v>
      </c>
      <c r="C52" s="169">
        <f>'Area&amp;production data'!BU25</f>
        <v>0</v>
      </c>
      <c r="D52" s="169">
        <f>'Area&amp;production data'!BV25</f>
        <v>0</v>
      </c>
      <c r="E52" s="169">
        <f>'Area&amp;production data'!BW25</f>
        <v>0</v>
      </c>
      <c r="F52" s="25">
        <f t="shared" si="10"/>
        <v>0</v>
      </c>
      <c r="G52" s="180">
        <f t="shared" si="11"/>
        <v>0</v>
      </c>
      <c r="H52" s="180">
        <f t="shared" si="12"/>
        <v>0.32113622034175138</v>
      </c>
      <c r="I52" s="180">
        <f t="shared" si="13"/>
        <v>0.74534885358667358</v>
      </c>
      <c r="J52" s="81">
        <f t="shared" si="14"/>
        <v>0</v>
      </c>
      <c r="K52" s="26">
        <f t="shared" si="15"/>
        <v>0</v>
      </c>
      <c r="L52" s="26">
        <f t="shared" si="16"/>
        <v>0</v>
      </c>
      <c r="M52" s="26">
        <f t="shared" si="17"/>
        <v>0</v>
      </c>
      <c r="N52" s="26">
        <f t="shared" si="18"/>
        <v>0</v>
      </c>
      <c r="O52" s="572">
        <f t="shared" si="19"/>
        <v>0</v>
      </c>
      <c r="P52" s="572">
        <f t="shared" si="23"/>
        <v>0</v>
      </c>
      <c r="Q52" s="572">
        <f t="shared" si="24"/>
        <v>0</v>
      </c>
      <c r="R52" s="571">
        <f t="shared" si="25"/>
        <v>0</v>
      </c>
    </row>
    <row r="53" spans="1:30" x14ac:dyDescent="0.25">
      <c r="A53" s="13" t="s">
        <v>160</v>
      </c>
      <c r="B53" s="67">
        <f>'Area&amp;production data'!L26</f>
        <v>0</v>
      </c>
      <c r="C53" s="169">
        <f>'Area&amp;production data'!BU26</f>
        <v>0</v>
      </c>
      <c r="D53" s="169">
        <f>'Area&amp;production data'!BV26</f>
        <v>0</v>
      </c>
      <c r="E53" s="169">
        <f>'Area&amp;production data'!BW26</f>
        <v>0</v>
      </c>
      <c r="F53" s="25">
        <f t="shared" si="10"/>
        <v>0</v>
      </c>
      <c r="G53" s="180">
        <f t="shared" si="11"/>
        <v>0</v>
      </c>
      <c r="H53" s="180">
        <f t="shared" si="12"/>
        <v>0.23902361648333326</v>
      </c>
      <c r="I53" s="180">
        <f t="shared" si="13"/>
        <v>0.62683728959978335</v>
      </c>
      <c r="J53" s="81">
        <f t="shared" si="14"/>
        <v>0</v>
      </c>
      <c r="K53" s="26">
        <f t="shared" si="15"/>
        <v>0</v>
      </c>
      <c r="L53" s="26">
        <f t="shared" si="16"/>
        <v>0</v>
      </c>
      <c r="M53" s="26">
        <f t="shared" si="17"/>
        <v>0</v>
      </c>
      <c r="N53" s="26">
        <f t="shared" si="18"/>
        <v>0</v>
      </c>
      <c r="O53" s="572">
        <f t="shared" si="19"/>
        <v>0</v>
      </c>
      <c r="P53" s="572">
        <f t="shared" si="23"/>
        <v>0</v>
      </c>
      <c r="Q53" s="572">
        <f t="shared" si="24"/>
        <v>0</v>
      </c>
      <c r="R53" s="571">
        <f t="shared" si="25"/>
        <v>0</v>
      </c>
      <c r="T53" s="1"/>
      <c r="W53" s="1"/>
      <c r="X53" s="1"/>
      <c r="Y53" s="1"/>
    </row>
    <row r="54" spans="1:30" x14ac:dyDescent="0.25">
      <c r="A54" s="13" t="s">
        <v>161</v>
      </c>
      <c r="B54" s="67">
        <f>'Area&amp;production data'!L27</f>
        <v>0</v>
      </c>
      <c r="C54" s="169">
        <f>'Area&amp;production data'!BU27</f>
        <v>0</v>
      </c>
      <c r="D54" s="169">
        <f>'Area&amp;production data'!BV27</f>
        <v>0</v>
      </c>
      <c r="E54" s="169">
        <f>'Area&amp;production data'!BW27</f>
        <v>0</v>
      </c>
      <c r="F54" s="25">
        <f t="shared" si="10"/>
        <v>0</v>
      </c>
      <c r="G54" s="180">
        <f t="shared" si="11"/>
        <v>0</v>
      </c>
      <c r="H54" s="180">
        <f t="shared" si="12"/>
        <v>0.24310466787977913</v>
      </c>
      <c r="I54" s="180">
        <f t="shared" si="13"/>
        <v>0.38175978778974751</v>
      </c>
      <c r="J54" s="81">
        <f t="shared" si="14"/>
        <v>0</v>
      </c>
      <c r="K54" s="26">
        <f t="shared" si="15"/>
        <v>0</v>
      </c>
      <c r="L54" s="26">
        <f t="shared" si="16"/>
        <v>0</v>
      </c>
      <c r="M54" s="26">
        <f t="shared" si="17"/>
        <v>0</v>
      </c>
      <c r="N54" s="26">
        <f t="shared" si="18"/>
        <v>0</v>
      </c>
      <c r="O54" s="572">
        <f t="shared" si="19"/>
        <v>0</v>
      </c>
      <c r="P54" s="572">
        <f t="shared" si="23"/>
        <v>0</v>
      </c>
      <c r="Q54" s="572">
        <f t="shared" si="24"/>
        <v>0</v>
      </c>
      <c r="R54" s="571">
        <f t="shared" si="25"/>
        <v>0</v>
      </c>
      <c r="U54" s="1"/>
      <c r="V54" s="1"/>
      <c r="W54" s="126"/>
    </row>
    <row r="55" spans="1:30" s="1" customFormat="1" x14ac:dyDescent="0.25">
      <c r="A55" s="13" t="s">
        <v>162</v>
      </c>
      <c r="B55" s="67">
        <f>'Area&amp;production data'!L28</f>
        <v>0</v>
      </c>
      <c r="C55" s="169">
        <f>'Area&amp;production data'!BU28</f>
        <v>0</v>
      </c>
      <c r="D55" s="169">
        <f>'Area&amp;production data'!BV28</f>
        <v>0</v>
      </c>
      <c r="E55" s="169">
        <f>'Area&amp;production data'!BW28</f>
        <v>0</v>
      </c>
      <c r="F55" s="25">
        <f t="shared" si="10"/>
        <v>0</v>
      </c>
      <c r="G55" s="180">
        <f t="shared" si="11"/>
        <v>0</v>
      </c>
      <c r="H55" s="180">
        <f t="shared" si="12"/>
        <v>0.15303196270289421</v>
      </c>
      <c r="I55" s="180">
        <f t="shared" si="13"/>
        <v>0.32912804030299536</v>
      </c>
      <c r="J55" s="81">
        <f t="shared" si="14"/>
        <v>0</v>
      </c>
      <c r="K55" s="26">
        <f t="shared" si="15"/>
        <v>0</v>
      </c>
      <c r="L55" s="26">
        <f t="shared" si="16"/>
        <v>0</v>
      </c>
      <c r="M55" s="26">
        <f t="shared" si="17"/>
        <v>0</v>
      </c>
      <c r="N55" s="26">
        <f t="shared" si="18"/>
        <v>0</v>
      </c>
      <c r="O55" s="572">
        <f t="shared" si="19"/>
        <v>0</v>
      </c>
      <c r="P55" s="572">
        <f t="shared" si="20"/>
        <v>0</v>
      </c>
      <c r="Q55" s="572">
        <f t="shared" si="24"/>
        <v>0</v>
      </c>
      <c r="R55" s="571">
        <f t="shared" si="25"/>
        <v>0</v>
      </c>
      <c r="S55"/>
      <c r="T55"/>
      <c r="W55" s="126"/>
      <c r="AD55"/>
    </row>
    <row r="56" spans="1:30" x14ac:dyDescent="0.25">
      <c r="A56" s="1" t="s">
        <v>163</v>
      </c>
      <c r="B56" s="24">
        <f>SUM(B32:B55)</f>
        <v>0</v>
      </c>
      <c r="C56" s="51" t="e">
        <f>SUMPRODUCT($B$32:$B$55,C32:C55)/$B$56</f>
        <v>#DIV/0!</v>
      </c>
      <c r="D56" s="51" t="e">
        <f>SUMPRODUCT($B$32:$B$55,D32:D55)/$B$56</f>
        <v>#DIV/0!</v>
      </c>
      <c r="E56" s="51" t="e">
        <f>SUMPRODUCT($B$32:$B$55,E32:E55)/$B$56</f>
        <v>#DIV/0!</v>
      </c>
      <c r="F56" s="27" t="e">
        <f>SUM(C56:E56)</f>
        <v>#DIV/0!</v>
      </c>
      <c r="G56" s="28" t="e">
        <f>SUMPRODUCT($B$32:$B$55,G32:G55)/$B$56</f>
        <v>#DIV/0!</v>
      </c>
      <c r="H56" s="10" t="e">
        <f>SUMPRODUCT($B$32:$B$55,H32:H55)/$B$56</f>
        <v>#DIV/0!</v>
      </c>
      <c r="I56" s="10" t="e">
        <f>SUMPRODUCT($B$32:$B$55,I32:I55)/$B$56</f>
        <v>#DIV/0!</v>
      </c>
      <c r="J56" s="81" t="e">
        <f>SUMPRODUCT(C56:E56,G56:I56)</f>
        <v>#DIV/0!</v>
      </c>
      <c r="K56" s="26">
        <f>SUM(K32:K55)</f>
        <v>0</v>
      </c>
      <c r="L56" s="26">
        <f>SUM(L32:L55)</f>
        <v>0</v>
      </c>
      <c r="M56" s="26">
        <f t="shared" ref="M56" si="26">SUM(M32:M55)</f>
        <v>0</v>
      </c>
      <c r="N56" s="26">
        <f>SUM(N32:N55)</f>
        <v>0</v>
      </c>
      <c r="O56" s="572">
        <f>SUM(O32:O55)</f>
        <v>0</v>
      </c>
      <c r="P56" s="572">
        <f>SUM(P32:P55)</f>
        <v>0</v>
      </c>
      <c r="Q56" s="572">
        <f>SUM(Q32:Q55)</f>
        <v>0</v>
      </c>
      <c r="R56" s="571">
        <f>SUM(R32:R55)</f>
        <v>0</v>
      </c>
    </row>
    <row r="57" spans="1:30" x14ac:dyDescent="0.25">
      <c r="A57" s="17" t="s">
        <v>8</v>
      </c>
      <c r="B57" s="29" t="b">
        <f>B56=B13</f>
        <v>1</v>
      </c>
      <c r="C57" s="842" t="e">
        <f>SUM(C56:E56)=100%</f>
        <v>#DIV/0!</v>
      </c>
      <c r="D57" s="842"/>
      <c r="E57" s="842"/>
      <c r="F57" s="6" t="e">
        <f>F56=100%</f>
        <v>#DIV/0!</v>
      </c>
      <c r="N57" s="29" t="b">
        <f>SUM(K56:M56)=N56</f>
        <v>1</v>
      </c>
      <c r="S57" s="39" t="b">
        <f>SUM(O56:Q56)=R56</f>
        <v>1</v>
      </c>
      <c r="X57" s="39" t="b">
        <f>SUM(O56:Q56)=R56</f>
        <v>1</v>
      </c>
      <c r="AD57" s="1"/>
    </row>
    <row r="58" spans="1:30" x14ac:dyDescent="0.25">
      <c r="A58" s="17"/>
      <c r="C58" s="21"/>
      <c r="D58" s="21"/>
      <c r="E58" s="21"/>
      <c r="N58" s="30" t="e">
        <f>N56/AA40</f>
        <v>#DIV/0!</v>
      </c>
    </row>
    <row r="59" spans="1:30" ht="45.95" customHeight="1" x14ac:dyDescent="0.25">
      <c r="A59" s="1" t="s">
        <v>697</v>
      </c>
      <c r="D59" s="3" t="s">
        <v>698</v>
      </c>
      <c r="E59" s="1"/>
      <c r="F59" s="190">
        <v>0</v>
      </c>
      <c r="G59" t="s">
        <v>96</v>
      </c>
      <c r="H59" s="20" t="s">
        <v>318</v>
      </c>
      <c r="O59" s="20" t="s">
        <v>699</v>
      </c>
      <c r="P59" s="20"/>
      <c r="X59" s="20" t="s">
        <v>320</v>
      </c>
    </row>
    <row r="60" spans="1:30" ht="39" customHeight="1" x14ac:dyDescent="0.25">
      <c r="A60" s="1" t="s">
        <v>101</v>
      </c>
      <c r="B60" s="814" t="s">
        <v>692</v>
      </c>
      <c r="C60" s="814" t="s">
        <v>693</v>
      </c>
      <c r="D60" s="814"/>
      <c r="E60" s="814"/>
      <c r="F60" s="814"/>
      <c r="G60" s="814" t="s">
        <v>322</v>
      </c>
      <c r="H60" s="814"/>
      <c r="I60" s="814"/>
      <c r="J60" s="814"/>
      <c r="K60" s="814" t="s">
        <v>700</v>
      </c>
      <c r="L60" s="814"/>
      <c r="M60" s="814"/>
      <c r="N60" s="814"/>
      <c r="O60" s="814" t="s">
        <v>701</v>
      </c>
      <c r="P60" s="814"/>
      <c r="Q60" s="814"/>
      <c r="R60" s="814"/>
      <c r="S60" s="17" t="s">
        <v>120</v>
      </c>
      <c r="T60" s="44"/>
      <c r="U60" s="814"/>
      <c r="V60" s="814"/>
      <c r="W60" s="814"/>
    </row>
    <row r="61" spans="1:30" x14ac:dyDescent="0.25">
      <c r="A61" s="1"/>
      <c r="B61" s="814"/>
      <c r="C61" s="1" t="s">
        <v>136</v>
      </c>
      <c r="D61" s="1" t="s">
        <v>137</v>
      </c>
      <c r="E61" s="1" t="s">
        <v>138</v>
      </c>
      <c r="F61" s="1" t="s">
        <v>120</v>
      </c>
      <c r="G61" s="1" t="s">
        <v>136</v>
      </c>
      <c r="H61" s="1" t="s">
        <v>137</v>
      </c>
      <c r="I61" s="1" t="s">
        <v>289</v>
      </c>
      <c r="J61" s="1" t="s">
        <v>120</v>
      </c>
      <c r="K61" s="1" t="s">
        <v>136</v>
      </c>
      <c r="L61" s="1" t="s">
        <v>137</v>
      </c>
      <c r="M61" s="1" t="s">
        <v>289</v>
      </c>
      <c r="N61" s="1" t="s">
        <v>120</v>
      </c>
      <c r="O61" s="1" t="s">
        <v>136</v>
      </c>
      <c r="P61" s="1" t="s">
        <v>137</v>
      </c>
      <c r="Q61" s="1" t="s">
        <v>289</v>
      </c>
      <c r="R61" s="17"/>
    </row>
    <row r="62" spans="1:30" x14ac:dyDescent="0.25">
      <c r="A62" s="13" t="s">
        <v>139</v>
      </c>
      <c r="B62" s="36">
        <f>B32</f>
        <v>0</v>
      </c>
      <c r="C62" s="25">
        <f t="shared" ref="C62:E62" si="27">C32</f>
        <v>0</v>
      </c>
      <c r="D62" s="25">
        <f t="shared" si="27"/>
        <v>0</v>
      </c>
      <c r="E62" s="25">
        <f t="shared" si="27"/>
        <v>0</v>
      </c>
      <c r="F62" s="25">
        <f>SUM(C62:E62)</f>
        <v>0</v>
      </c>
      <c r="G62" s="184">
        <f>$F$59*G32</f>
        <v>0</v>
      </c>
      <c r="H62" s="184">
        <f>$F$59*H32</f>
        <v>0</v>
      </c>
      <c r="I62" s="184">
        <f>$F$59*I32</f>
        <v>0</v>
      </c>
      <c r="J62" s="9">
        <f>SUMPRODUCT(C62:E62,G62:I62)</f>
        <v>0</v>
      </c>
      <c r="K62" s="26">
        <f t="shared" ref="K62:N62" si="28">G62*C62*$B62</f>
        <v>0</v>
      </c>
      <c r="L62" s="26">
        <f t="shared" si="28"/>
        <v>0</v>
      </c>
      <c r="M62" s="26">
        <f t="shared" si="28"/>
        <v>0</v>
      </c>
      <c r="N62" s="26">
        <f t="shared" si="28"/>
        <v>0</v>
      </c>
      <c r="O62" s="26">
        <f t="shared" ref="O62:Q62" si="29">$D$18*K62</f>
        <v>0</v>
      </c>
      <c r="P62" s="26">
        <f t="shared" si="29"/>
        <v>0</v>
      </c>
      <c r="Q62" s="26">
        <f t="shared" si="29"/>
        <v>0</v>
      </c>
      <c r="R62" s="26">
        <f>SUM(O62:Q62)</f>
        <v>0</v>
      </c>
    </row>
    <row r="63" spans="1:30" x14ac:dyDescent="0.25">
      <c r="A63" s="13" t="s">
        <v>140</v>
      </c>
      <c r="B63" s="36">
        <f t="shared" ref="B63:E63" si="30">B33</f>
        <v>0</v>
      </c>
      <c r="C63" s="25">
        <f t="shared" si="30"/>
        <v>0</v>
      </c>
      <c r="D63" s="25">
        <f t="shared" si="30"/>
        <v>0</v>
      </c>
      <c r="E63" s="25">
        <f t="shared" si="30"/>
        <v>0</v>
      </c>
      <c r="F63" s="25">
        <f t="shared" ref="F63:F85" si="31">SUM(C63:E63)</f>
        <v>0</v>
      </c>
      <c r="G63" s="184">
        <f t="shared" ref="G63:I63" si="32">$F$59*G33</f>
        <v>0</v>
      </c>
      <c r="H63" s="184">
        <f t="shared" si="32"/>
        <v>0</v>
      </c>
      <c r="I63" s="184">
        <f t="shared" si="32"/>
        <v>0</v>
      </c>
      <c r="J63" s="9">
        <f t="shared" ref="J63:J85" si="33">SUMPRODUCT(C63:E63,G63:I63)</f>
        <v>0</v>
      </c>
      <c r="K63" s="26">
        <f t="shared" ref="K63:K85" si="34">G63*C63*$B63</f>
        <v>0</v>
      </c>
      <c r="L63" s="26">
        <f t="shared" ref="L63:L85" si="35">H63*D63*$B63</f>
        <v>0</v>
      </c>
      <c r="M63" s="26">
        <f t="shared" ref="M63:M85" si="36">I63*E63*$B63</f>
        <v>0</v>
      </c>
      <c r="N63" s="26">
        <f t="shared" ref="N63:N85" si="37">J63*F63*$B63</f>
        <v>0</v>
      </c>
      <c r="O63" s="26">
        <f t="shared" ref="O63:O85" si="38">$D$18*K63</f>
        <v>0</v>
      </c>
      <c r="P63" s="26">
        <f t="shared" ref="P63:P85" si="39">$D$18*L63</f>
        <v>0</v>
      </c>
      <c r="Q63" s="26">
        <f t="shared" ref="Q63:Q85" si="40">$D$18*M63</f>
        <v>0</v>
      </c>
      <c r="R63" s="26">
        <f t="shared" ref="R63:R85" si="41">SUM(O63:Q63)</f>
        <v>0</v>
      </c>
    </row>
    <row r="64" spans="1:30" x14ac:dyDescent="0.25">
      <c r="A64" s="13" t="s">
        <v>141</v>
      </c>
      <c r="B64" s="36">
        <f t="shared" ref="B64:E64" si="42">B34</f>
        <v>0</v>
      </c>
      <c r="C64" s="25">
        <f t="shared" si="42"/>
        <v>0</v>
      </c>
      <c r="D64" s="25">
        <f t="shared" si="42"/>
        <v>0</v>
      </c>
      <c r="E64" s="25">
        <f t="shared" si="42"/>
        <v>0</v>
      </c>
      <c r="F64" s="25">
        <f t="shared" si="31"/>
        <v>0</v>
      </c>
      <c r="G64" s="184">
        <f t="shared" ref="G64:I64" si="43">$F$59*G34</f>
        <v>0</v>
      </c>
      <c r="H64" s="184">
        <f t="shared" si="43"/>
        <v>0</v>
      </c>
      <c r="I64" s="184">
        <f t="shared" si="43"/>
        <v>0</v>
      </c>
      <c r="J64" s="9">
        <f t="shared" si="33"/>
        <v>0</v>
      </c>
      <c r="K64" s="26">
        <f t="shared" si="34"/>
        <v>0</v>
      </c>
      <c r="L64" s="26">
        <f t="shared" si="35"/>
        <v>0</v>
      </c>
      <c r="M64" s="26">
        <f t="shared" si="36"/>
        <v>0</v>
      </c>
      <c r="N64" s="26">
        <f t="shared" si="37"/>
        <v>0</v>
      </c>
      <c r="O64" s="26">
        <f t="shared" si="38"/>
        <v>0</v>
      </c>
      <c r="P64" s="26">
        <f t="shared" si="39"/>
        <v>0</v>
      </c>
      <c r="Q64" s="26">
        <f t="shared" si="40"/>
        <v>0</v>
      </c>
      <c r="R64" s="26">
        <f t="shared" si="41"/>
        <v>0</v>
      </c>
    </row>
    <row r="65" spans="1:18" x14ac:dyDescent="0.25">
      <c r="A65" s="13" t="s">
        <v>142</v>
      </c>
      <c r="B65" s="36">
        <f t="shared" ref="B65:E65" si="44">B35</f>
        <v>0</v>
      </c>
      <c r="C65" s="25">
        <f t="shared" si="44"/>
        <v>0</v>
      </c>
      <c r="D65" s="25">
        <f t="shared" si="44"/>
        <v>0</v>
      </c>
      <c r="E65" s="25">
        <f t="shared" si="44"/>
        <v>0</v>
      </c>
      <c r="F65" s="25">
        <f t="shared" si="31"/>
        <v>0</v>
      </c>
      <c r="G65" s="184">
        <f t="shared" ref="G65:I65" si="45">$F$59*G35</f>
        <v>0</v>
      </c>
      <c r="H65" s="184">
        <f t="shared" si="45"/>
        <v>0</v>
      </c>
      <c r="I65" s="184">
        <f t="shared" si="45"/>
        <v>0</v>
      </c>
      <c r="J65" s="9">
        <f t="shared" si="33"/>
        <v>0</v>
      </c>
      <c r="K65" s="26">
        <f t="shared" si="34"/>
        <v>0</v>
      </c>
      <c r="L65" s="26">
        <f t="shared" si="35"/>
        <v>0</v>
      </c>
      <c r="M65" s="26">
        <f t="shared" si="36"/>
        <v>0</v>
      </c>
      <c r="N65" s="26">
        <f t="shared" si="37"/>
        <v>0</v>
      </c>
      <c r="O65" s="26">
        <f t="shared" si="38"/>
        <v>0</v>
      </c>
      <c r="P65" s="26">
        <f t="shared" si="39"/>
        <v>0</v>
      </c>
      <c r="Q65" s="26">
        <f t="shared" si="40"/>
        <v>0</v>
      </c>
      <c r="R65" s="26">
        <f t="shared" si="41"/>
        <v>0</v>
      </c>
    </row>
    <row r="66" spans="1:18" x14ac:dyDescent="0.25">
      <c r="A66" s="13" t="s">
        <v>143</v>
      </c>
      <c r="B66" s="36">
        <f t="shared" ref="B66:E66" si="46">B36</f>
        <v>0</v>
      </c>
      <c r="C66" s="25">
        <f t="shared" si="46"/>
        <v>0</v>
      </c>
      <c r="D66" s="25">
        <f t="shared" si="46"/>
        <v>0</v>
      </c>
      <c r="E66" s="25">
        <f t="shared" si="46"/>
        <v>0</v>
      </c>
      <c r="F66" s="25">
        <f t="shared" si="31"/>
        <v>0</v>
      </c>
      <c r="G66" s="184">
        <f t="shared" ref="G66:I66" si="47">$F$59*G36</f>
        <v>0</v>
      </c>
      <c r="H66" s="184">
        <f t="shared" si="47"/>
        <v>0</v>
      </c>
      <c r="I66" s="184">
        <f t="shared" si="47"/>
        <v>0</v>
      </c>
      <c r="J66" s="9">
        <f t="shared" si="33"/>
        <v>0</v>
      </c>
      <c r="K66" s="26">
        <f t="shared" si="34"/>
        <v>0</v>
      </c>
      <c r="L66" s="26">
        <f t="shared" si="35"/>
        <v>0</v>
      </c>
      <c r="M66" s="26">
        <f t="shared" si="36"/>
        <v>0</v>
      </c>
      <c r="N66" s="26">
        <f t="shared" si="37"/>
        <v>0</v>
      </c>
      <c r="O66" s="26">
        <f t="shared" si="38"/>
        <v>0</v>
      </c>
      <c r="P66" s="26">
        <f t="shared" si="39"/>
        <v>0</v>
      </c>
      <c r="Q66" s="26">
        <f t="shared" si="40"/>
        <v>0</v>
      </c>
      <c r="R66" s="26">
        <f t="shared" si="41"/>
        <v>0</v>
      </c>
    </row>
    <row r="67" spans="1:18" x14ac:dyDescent="0.25">
      <c r="A67" s="13" t="s">
        <v>144</v>
      </c>
      <c r="B67" s="36">
        <f t="shared" ref="B67:E67" si="48">B37</f>
        <v>0</v>
      </c>
      <c r="C67" s="25">
        <f t="shared" si="48"/>
        <v>0</v>
      </c>
      <c r="D67" s="25">
        <f t="shared" si="48"/>
        <v>0</v>
      </c>
      <c r="E67" s="25">
        <f t="shared" si="48"/>
        <v>0</v>
      </c>
      <c r="F67" s="25">
        <f t="shared" si="31"/>
        <v>0</v>
      </c>
      <c r="G67" s="184">
        <f t="shared" ref="G67:I67" si="49">$F$59*G37</f>
        <v>0</v>
      </c>
      <c r="H67" s="184">
        <f t="shared" si="49"/>
        <v>0</v>
      </c>
      <c r="I67" s="184">
        <f t="shared" si="49"/>
        <v>0</v>
      </c>
      <c r="J67" s="9">
        <f t="shared" si="33"/>
        <v>0</v>
      </c>
      <c r="K67" s="26">
        <f t="shared" si="34"/>
        <v>0</v>
      </c>
      <c r="L67" s="26">
        <f t="shared" si="35"/>
        <v>0</v>
      </c>
      <c r="M67" s="26">
        <f t="shared" si="36"/>
        <v>0</v>
      </c>
      <c r="N67" s="26">
        <f t="shared" si="37"/>
        <v>0</v>
      </c>
      <c r="O67" s="26">
        <f t="shared" si="38"/>
        <v>0</v>
      </c>
      <c r="P67" s="26">
        <f t="shared" si="39"/>
        <v>0</v>
      </c>
      <c r="Q67" s="26">
        <f t="shared" si="40"/>
        <v>0</v>
      </c>
      <c r="R67" s="26">
        <f t="shared" si="41"/>
        <v>0</v>
      </c>
    </row>
    <row r="68" spans="1:18" x14ac:dyDescent="0.25">
      <c r="A68" s="13" t="s">
        <v>145</v>
      </c>
      <c r="B68" s="36">
        <f t="shared" ref="B68:E68" si="50">B38</f>
        <v>0</v>
      </c>
      <c r="C68" s="25">
        <f t="shared" si="50"/>
        <v>0</v>
      </c>
      <c r="D68" s="25">
        <f t="shared" si="50"/>
        <v>0</v>
      </c>
      <c r="E68" s="25">
        <f t="shared" si="50"/>
        <v>0</v>
      </c>
      <c r="F68" s="25">
        <f t="shared" si="31"/>
        <v>0</v>
      </c>
      <c r="G68" s="184">
        <f t="shared" ref="G68:I68" si="51">$F$59*G38</f>
        <v>0</v>
      </c>
      <c r="H68" s="184">
        <f t="shared" si="51"/>
        <v>0</v>
      </c>
      <c r="I68" s="184">
        <f t="shared" si="51"/>
        <v>0</v>
      </c>
      <c r="J68" s="9">
        <f t="shared" si="33"/>
        <v>0</v>
      </c>
      <c r="K68" s="26">
        <f t="shared" si="34"/>
        <v>0</v>
      </c>
      <c r="L68" s="26">
        <f t="shared" si="35"/>
        <v>0</v>
      </c>
      <c r="M68" s="26">
        <f t="shared" si="36"/>
        <v>0</v>
      </c>
      <c r="N68" s="26">
        <f t="shared" si="37"/>
        <v>0</v>
      </c>
      <c r="O68" s="26">
        <f t="shared" si="38"/>
        <v>0</v>
      </c>
      <c r="P68" s="26">
        <f t="shared" si="39"/>
        <v>0</v>
      </c>
      <c r="Q68" s="26">
        <f t="shared" si="40"/>
        <v>0</v>
      </c>
      <c r="R68" s="26">
        <f t="shared" si="41"/>
        <v>0</v>
      </c>
    </row>
    <row r="69" spans="1:18" x14ac:dyDescent="0.25">
      <c r="A69" s="13" t="s">
        <v>146</v>
      </c>
      <c r="B69" s="36">
        <f t="shared" ref="B69:E69" si="52">B39</f>
        <v>0</v>
      </c>
      <c r="C69" s="25">
        <f t="shared" si="52"/>
        <v>0</v>
      </c>
      <c r="D69" s="25">
        <f t="shared" si="52"/>
        <v>0</v>
      </c>
      <c r="E69" s="25">
        <f t="shared" si="52"/>
        <v>0</v>
      </c>
      <c r="F69" s="25">
        <f t="shared" si="31"/>
        <v>0</v>
      </c>
      <c r="G69" s="184">
        <f t="shared" ref="G69:I69" si="53">$F$59*G39</f>
        <v>0</v>
      </c>
      <c r="H69" s="184">
        <f t="shared" si="53"/>
        <v>0</v>
      </c>
      <c r="I69" s="184">
        <f t="shared" si="53"/>
        <v>0</v>
      </c>
      <c r="J69" s="9">
        <f t="shared" si="33"/>
        <v>0</v>
      </c>
      <c r="K69" s="26">
        <f t="shared" si="34"/>
        <v>0</v>
      </c>
      <c r="L69" s="26">
        <f t="shared" si="35"/>
        <v>0</v>
      </c>
      <c r="M69" s="26">
        <f t="shared" si="36"/>
        <v>0</v>
      </c>
      <c r="N69" s="26">
        <f t="shared" si="37"/>
        <v>0</v>
      </c>
      <c r="O69" s="26">
        <f t="shared" si="38"/>
        <v>0</v>
      </c>
      <c r="P69" s="26">
        <f t="shared" si="39"/>
        <v>0</v>
      </c>
      <c r="Q69" s="26">
        <f t="shared" si="40"/>
        <v>0</v>
      </c>
      <c r="R69" s="26">
        <f t="shared" si="41"/>
        <v>0</v>
      </c>
    </row>
    <row r="70" spans="1:18" x14ac:dyDescent="0.25">
      <c r="A70" s="13" t="s">
        <v>147</v>
      </c>
      <c r="B70" s="36">
        <f t="shared" ref="B70:E70" si="54">B40</f>
        <v>0</v>
      </c>
      <c r="C70" s="25">
        <f t="shared" si="54"/>
        <v>0</v>
      </c>
      <c r="D70" s="25">
        <f t="shared" si="54"/>
        <v>0</v>
      </c>
      <c r="E70" s="25">
        <f t="shared" si="54"/>
        <v>0</v>
      </c>
      <c r="F70" s="25">
        <f t="shared" si="31"/>
        <v>0</v>
      </c>
      <c r="G70" s="184">
        <f t="shared" ref="G70:I70" si="55">$F$59*G40</f>
        <v>0</v>
      </c>
      <c r="H70" s="184">
        <f t="shared" si="55"/>
        <v>0</v>
      </c>
      <c r="I70" s="184">
        <f t="shared" si="55"/>
        <v>0</v>
      </c>
      <c r="J70" s="9">
        <f t="shared" si="33"/>
        <v>0</v>
      </c>
      <c r="K70" s="26">
        <f t="shared" si="34"/>
        <v>0</v>
      </c>
      <c r="L70" s="26">
        <f t="shared" si="35"/>
        <v>0</v>
      </c>
      <c r="M70" s="26">
        <f t="shared" si="36"/>
        <v>0</v>
      </c>
      <c r="N70" s="26">
        <f t="shared" si="37"/>
        <v>0</v>
      </c>
      <c r="O70" s="26">
        <f t="shared" si="38"/>
        <v>0</v>
      </c>
      <c r="P70" s="26">
        <f t="shared" si="39"/>
        <v>0</v>
      </c>
      <c r="Q70" s="26">
        <f t="shared" si="40"/>
        <v>0</v>
      </c>
      <c r="R70" s="26">
        <f t="shared" si="41"/>
        <v>0</v>
      </c>
    </row>
    <row r="71" spans="1:18" x14ac:dyDescent="0.25">
      <c r="A71" s="13" t="s">
        <v>148</v>
      </c>
      <c r="B71" s="36">
        <f t="shared" ref="B71:E71" si="56">B41</f>
        <v>0</v>
      </c>
      <c r="C71" s="25">
        <f t="shared" si="56"/>
        <v>0</v>
      </c>
      <c r="D71" s="25">
        <f t="shared" si="56"/>
        <v>0</v>
      </c>
      <c r="E71" s="25">
        <f t="shared" si="56"/>
        <v>0</v>
      </c>
      <c r="F71" s="25">
        <f t="shared" si="31"/>
        <v>0</v>
      </c>
      <c r="G71" s="184">
        <f t="shared" ref="G71:I71" si="57">$F$59*G41</f>
        <v>0</v>
      </c>
      <c r="H71" s="184">
        <f t="shared" si="57"/>
        <v>0</v>
      </c>
      <c r="I71" s="184">
        <f t="shared" si="57"/>
        <v>0</v>
      </c>
      <c r="J71" s="9">
        <f t="shared" si="33"/>
        <v>0</v>
      </c>
      <c r="K71" s="26">
        <f t="shared" si="34"/>
        <v>0</v>
      </c>
      <c r="L71" s="26">
        <f t="shared" si="35"/>
        <v>0</v>
      </c>
      <c r="M71" s="26">
        <f t="shared" si="36"/>
        <v>0</v>
      </c>
      <c r="N71" s="26">
        <f t="shared" si="37"/>
        <v>0</v>
      </c>
      <c r="O71" s="26">
        <f t="shared" si="38"/>
        <v>0</v>
      </c>
      <c r="P71" s="26">
        <f t="shared" si="39"/>
        <v>0</v>
      </c>
      <c r="Q71" s="26">
        <f t="shared" si="40"/>
        <v>0</v>
      </c>
      <c r="R71" s="26">
        <f t="shared" si="41"/>
        <v>0</v>
      </c>
    </row>
    <row r="72" spans="1:18" x14ac:dyDescent="0.25">
      <c r="A72" s="13" t="s">
        <v>149</v>
      </c>
      <c r="B72" s="36">
        <f t="shared" ref="B72:E72" si="58">B42</f>
        <v>0</v>
      </c>
      <c r="C72" s="25">
        <f t="shared" si="58"/>
        <v>0</v>
      </c>
      <c r="D72" s="25">
        <f t="shared" si="58"/>
        <v>0</v>
      </c>
      <c r="E72" s="25">
        <f t="shared" si="58"/>
        <v>0</v>
      </c>
      <c r="F72" s="25">
        <f t="shared" si="31"/>
        <v>0</v>
      </c>
      <c r="G72" s="184">
        <f t="shared" ref="G72:I72" si="59">$F$59*G42</f>
        <v>0</v>
      </c>
      <c r="H72" s="184">
        <f t="shared" si="59"/>
        <v>0</v>
      </c>
      <c r="I72" s="184">
        <f t="shared" si="59"/>
        <v>0</v>
      </c>
      <c r="J72" s="9">
        <f t="shared" si="33"/>
        <v>0</v>
      </c>
      <c r="K72" s="26">
        <f t="shared" si="34"/>
        <v>0</v>
      </c>
      <c r="L72" s="26">
        <f t="shared" si="35"/>
        <v>0</v>
      </c>
      <c r="M72" s="26">
        <f t="shared" si="36"/>
        <v>0</v>
      </c>
      <c r="N72" s="26">
        <f t="shared" si="37"/>
        <v>0</v>
      </c>
      <c r="O72" s="26">
        <f t="shared" si="38"/>
        <v>0</v>
      </c>
      <c r="P72" s="26">
        <f t="shared" si="39"/>
        <v>0</v>
      </c>
      <c r="Q72" s="26">
        <f t="shared" si="40"/>
        <v>0</v>
      </c>
      <c r="R72" s="26">
        <f t="shared" si="41"/>
        <v>0</v>
      </c>
    </row>
    <row r="73" spans="1:18" x14ac:dyDescent="0.25">
      <c r="A73" s="13" t="s">
        <v>150</v>
      </c>
      <c r="B73" s="36">
        <f t="shared" ref="B73:E73" si="60">B43</f>
        <v>0</v>
      </c>
      <c r="C73" s="25">
        <f t="shared" si="60"/>
        <v>0</v>
      </c>
      <c r="D73" s="25">
        <f t="shared" si="60"/>
        <v>0</v>
      </c>
      <c r="E73" s="25">
        <f t="shared" si="60"/>
        <v>0</v>
      </c>
      <c r="F73" s="25">
        <f t="shared" si="31"/>
        <v>0</v>
      </c>
      <c r="G73" s="184">
        <f t="shared" ref="G73:I73" si="61">$F$59*G43</f>
        <v>0</v>
      </c>
      <c r="H73" s="184">
        <f t="shared" si="61"/>
        <v>0</v>
      </c>
      <c r="I73" s="184">
        <f t="shared" si="61"/>
        <v>0</v>
      </c>
      <c r="J73" s="9">
        <f t="shared" si="33"/>
        <v>0</v>
      </c>
      <c r="K73" s="26">
        <f t="shared" si="34"/>
        <v>0</v>
      </c>
      <c r="L73" s="26">
        <f t="shared" si="35"/>
        <v>0</v>
      </c>
      <c r="M73" s="26">
        <f t="shared" si="36"/>
        <v>0</v>
      </c>
      <c r="N73" s="26">
        <f t="shared" si="37"/>
        <v>0</v>
      </c>
      <c r="O73" s="26">
        <f t="shared" si="38"/>
        <v>0</v>
      </c>
      <c r="P73" s="26">
        <f t="shared" si="39"/>
        <v>0</v>
      </c>
      <c r="Q73" s="26">
        <f t="shared" si="40"/>
        <v>0</v>
      </c>
      <c r="R73" s="26">
        <f t="shared" si="41"/>
        <v>0</v>
      </c>
    </row>
    <row r="74" spans="1:18" x14ac:dyDescent="0.25">
      <c r="A74" s="13" t="s">
        <v>151</v>
      </c>
      <c r="B74" s="36">
        <f t="shared" ref="B74:E74" si="62">B44</f>
        <v>0</v>
      </c>
      <c r="C74" s="25">
        <f t="shared" si="62"/>
        <v>0</v>
      </c>
      <c r="D74" s="25">
        <f t="shared" si="62"/>
        <v>0</v>
      </c>
      <c r="E74" s="25">
        <f t="shared" si="62"/>
        <v>0</v>
      </c>
      <c r="F74" s="25">
        <f t="shared" si="31"/>
        <v>0</v>
      </c>
      <c r="G74" s="184">
        <f t="shared" ref="G74:I74" si="63">$F$59*G44</f>
        <v>0</v>
      </c>
      <c r="H74" s="184">
        <f t="shared" si="63"/>
        <v>0</v>
      </c>
      <c r="I74" s="184">
        <f t="shared" si="63"/>
        <v>0</v>
      </c>
      <c r="J74" s="9">
        <f t="shared" si="33"/>
        <v>0</v>
      </c>
      <c r="K74" s="26">
        <f t="shared" si="34"/>
        <v>0</v>
      </c>
      <c r="L74" s="26">
        <f t="shared" si="35"/>
        <v>0</v>
      </c>
      <c r="M74" s="26">
        <f t="shared" si="36"/>
        <v>0</v>
      </c>
      <c r="N74" s="26">
        <f t="shared" si="37"/>
        <v>0</v>
      </c>
      <c r="O74" s="26">
        <f t="shared" si="38"/>
        <v>0</v>
      </c>
      <c r="P74" s="26">
        <f t="shared" si="39"/>
        <v>0</v>
      </c>
      <c r="Q74" s="26">
        <f t="shared" si="40"/>
        <v>0</v>
      </c>
      <c r="R74" s="26">
        <f t="shared" si="41"/>
        <v>0</v>
      </c>
    </row>
    <row r="75" spans="1:18" x14ac:dyDescent="0.25">
      <c r="A75" s="13" t="s">
        <v>152</v>
      </c>
      <c r="B75" s="36">
        <f t="shared" ref="B75:E75" si="64">B45</f>
        <v>0</v>
      </c>
      <c r="C75" s="25">
        <f t="shared" si="64"/>
        <v>0</v>
      </c>
      <c r="D75" s="25">
        <f t="shared" si="64"/>
        <v>0</v>
      </c>
      <c r="E75" s="25">
        <f t="shared" si="64"/>
        <v>0</v>
      </c>
      <c r="F75" s="25">
        <f t="shared" si="31"/>
        <v>0</v>
      </c>
      <c r="G75" s="184">
        <f t="shared" ref="G75:I75" si="65">$F$59*G45</f>
        <v>0</v>
      </c>
      <c r="H75" s="184">
        <f t="shared" si="65"/>
        <v>0</v>
      </c>
      <c r="I75" s="184">
        <f t="shared" si="65"/>
        <v>0</v>
      </c>
      <c r="J75" s="9">
        <f t="shared" si="33"/>
        <v>0</v>
      </c>
      <c r="K75" s="26">
        <f t="shared" si="34"/>
        <v>0</v>
      </c>
      <c r="L75" s="26">
        <f t="shared" si="35"/>
        <v>0</v>
      </c>
      <c r="M75" s="26">
        <f t="shared" si="36"/>
        <v>0</v>
      </c>
      <c r="N75" s="26">
        <f t="shared" si="37"/>
        <v>0</v>
      </c>
      <c r="O75" s="26">
        <f t="shared" si="38"/>
        <v>0</v>
      </c>
      <c r="P75" s="26">
        <f t="shared" si="39"/>
        <v>0</v>
      </c>
      <c r="Q75" s="26">
        <f t="shared" si="40"/>
        <v>0</v>
      </c>
      <c r="R75" s="26">
        <f t="shared" si="41"/>
        <v>0</v>
      </c>
    </row>
    <row r="76" spans="1:18" x14ac:dyDescent="0.25">
      <c r="A76" s="13" t="s">
        <v>153</v>
      </c>
      <c r="B76" s="36">
        <f t="shared" ref="B76:E76" si="66">B46</f>
        <v>0</v>
      </c>
      <c r="C76" s="25">
        <f t="shared" si="66"/>
        <v>0</v>
      </c>
      <c r="D76" s="25">
        <f t="shared" si="66"/>
        <v>0</v>
      </c>
      <c r="E76" s="25">
        <f t="shared" si="66"/>
        <v>0</v>
      </c>
      <c r="F76" s="25">
        <f t="shared" si="31"/>
        <v>0</v>
      </c>
      <c r="G76" s="184">
        <f t="shared" ref="G76:I76" si="67">$F$59*G46</f>
        <v>0</v>
      </c>
      <c r="H76" s="184">
        <f t="shared" si="67"/>
        <v>0</v>
      </c>
      <c r="I76" s="184">
        <f t="shared" si="67"/>
        <v>0</v>
      </c>
      <c r="J76" s="9">
        <f t="shared" si="33"/>
        <v>0</v>
      </c>
      <c r="K76" s="26">
        <f t="shared" si="34"/>
        <v>0</v>
      </c>
      <c r="L76" s="26">
        <f t="shared" si="35"/>
        <v>0</v>
      </c>
      <c r="M76" s="26">
        <f t="shared" si="36"/>
        <v>0</v>
      </c>
      <c r="N76" s="26">
        <f t="shared" si="37"/>
        <v>0</v>
      </c>
      <c r="O76" s="26">
        <f t="shared" si="38"/>
        <v>0</v>
      </c>
      <c r="P76" s="26">
        <f t="shared" si="39"/>
        <v>0</v>
      </c>
      <c r="Q76" s="26">
        <f t="shared" si="40"/>
        <v>0</v>
      </c>
      <c r="R76" s="26">
        <f t="shared" si="41"/>
        <v>0</v>
      </c>
    </row>
    <row r="77" spans="1:18" x14ac:dyDescent="0.25">
      <c r="A77" s="13" t="s">
        <v>154</v>
      </c>
      <c r="B77" s="36">
        <f t="shared" ref="B77:E77" si="68">B47</f>
        <v>0</v>
      </c>
      <c r="C77" s="25">
        <f t="shared" si="68"/>
        <v>0</v>
      </c>
      <c r="D77" s="25">
        <f t="shared" si="68"/>
        <v>0</v>
      </c>
      <c r="E77" s="25">
        <f t="shared" si="68"/>
        <v>0</v>
      </c>
      <c r="F77" s="25">
        <f t="shared" si="31"/>
        <v>0</v>
      </c>
      <c r="G77" s="184">
        <f t="shared" ref="G77:I77" si="69">$F$59*G47</f>
        <v>0</v>
      </c>
      <c r="H77" s="184">
        <f t="shared" si="69"/>
        <v>0</v>
      </c>
      <c r="I77" s="184">
        <f t="shared" si="69"/>
        <v>0</v>
      </c>
      <c r="J77" s="9">
        <f t="shared" si="33"/>
        <v>0</v>
      </c>
      <c r="K77" s="26">
        <f t="shared" si="34"/>
        <v>0</v>
      </c>
      <c r="L77" s="26">
        <f t="shared" si="35"/>
        <v>0</v>
      </c>
      <c r="M77" s="26">
        <f t="shared" si="36"/>
        <v>0</v>
      </c>
      <c r="N77" s="26">
        <f t="shared" si="37"/>
        <v>0</v>
      </c>
      <c r="O77" s="26">
        <f t="shared" si="38"/>
        <v>0</v>
      </c>
      <c r="P77" s="26">
        <f t="shared" si="39"/>
        <v>0</v>
      </c>
      <c r="Q77" s="26">
        <f t="shared" si="40"/>
        <v>0</v>
      </c>
      <c r="R77" s="26">
        <f t="shared" si="41"/>
        <v>0</v>
      </c>
    </row>
    <row r="78" spans="1:18" x14ac:dyDescent="0.25">
      <c r="A78" s="13" t="s">
        <v>155</v>
      </c>
      <c r="B78" s="36">
        <f t="shared" ref="B78:E78" si="70">B48</f>
        <v>0</v>
      </c>
      <c r="C78" s="25">
        <f t="shared" si="70"/>
        <v>0</v>
      </c>
      <c r="D78" s="25">
        <f t="shared" si="70"/>
        <v>0</v>
      </c>
      <c r="E78" s="25">
        <f t="shared" si="70"/>
        <v>0</v>
      </c>
      <c r="F78" s="25">
        <f t="shared" si="31"/>
        <v>0</v>
      </c>
      <c r="G78" s="184">
        <f t="shared" ref="G78:I78" si="71">$F$59*G48</f>
        <v>0</v>
      </c>
      <c r="H78" s="184">
        <f t="shared" si="71"/>
        <v>0</v>
      </c>
      <c r="I78" s="184">
        <f t="shared" si="71"/>
        <v>0</v>
      </c>
      <c r="J78" s="9">
        <f t="shared" si="33"/>
        <v>0</v>
      </c>
      <c r="K78" s="26">
        <f t="shared" si="34"/>
        <v>0</v>
      </c>
      <c r="L78" s="26">
        <f t="shared" si="35"/>
        <v>0</v>
      </c>
      <c r="M78" s="26">
        <f t="shared" si="36"/>
        <v>0</v>
      </c>
      <c r="N78" s="26">
        <f t="shared" si="37"/>
        <v>0</v>
      </c>
      <c r="O78" s="26">
        <f t="shared" si="38"/>
        <v>0</v>
      </c>
      <c r="P78" s="26">
        <f t="shared" si="39"/>
        <v>0</v>
      </c>
      <c r="Q78" s="26">
        <f t="shared" si="40"/>
        <v>0</v>
      </c>
      <c r="R78" s="26">
        <f t="shared" si="41"/>
        <v>0</v>
      </c>
    </row>
    <row r="79" spans="1:18" x14ac:dyDescent="0.25">
      <c r="A79" s="13" t="s">
        <v>156</v>
      </c>
      <c r="B79" s="36">
        <f t="shared" ref="B79:E79" si="72">B49</f>
        <v>0</v>
      </c>
      <c r="C79" s="25">
        <f t="shared" si="72"/>
        <v>0</v>
      </c>
      <c r="D79" s="25">
        <f t="shared" si="72"/>
        <v>0</v>
      </c>
      <c r="E79" s="25">
        <f t="shared" si="72"/>
        <v>0</v>
      </c>
      <c r="F79" s="25">
        <f t="shared" si="31"/>
        <v>0</v>
      </c>
      <c r="G79" s="184">
        <f t="shared" ref="G79:I79" si="73">$F$59*G49</f>
        <v>0</v>
      </c>
      <c r="H79" s="184">
        <f t="shared" si="73"/>
        <v>0</v>
      </c>
      <c r="I79" s="184">
        <f t="shared" si="73"/>
        <v>0</v>
      </c>
      <c r="J79" s="9">
        <f t="shared" si="33"/>
        <v>0</v>
      </c>
      <c r="K79" s="26">
        <f t="shared" si="34"/>
        <v>0</v>
      </c>
      <c r="L79" s="26">
        <f t="shared" si="35"/>
        <v>0</v>
      </c>
      <c r="M79" s="26">
        <f t="shared" si="36"/>
        <v>0</v>
      </c>
      <c r="N79" s="26">
        <f t="shared" si="37"/>
        <v>0</v>
      </c>
      <c r="O79" s="26">
        <f t="shared" si="38"/>
        <v>0</v>
      </c>
      <c r="P79" s="26">
        <f t="shared" si="39"/>
        <v>0</v>
      </c>
      <c r="Q79" s="26">
        <f t="shared" si="40"/>
        <v>0</v>
      </c>
      <c r="R79" s="26">
        <f t="shared" si="41"/>
        <v>0</v>
      </c>
    </row>
    <row r="80" spans="1:18" x14ac:dyDescent="0.25">
      <c r="A80" s="13" t="s">
        <v>157</v>
      </c>
      <c r="B80" s="36">
        <f t="shared" ref="B80:E80" si="74">B50</f>
        <v>0</v>
      </c>
      <c r="C80" s="25">
        <f t="shared" si="74"/>
        <v>0</v>
      </c>
      <c r="D80" s="25">
        <f t="shared" si="74"/>
        <v>0</v>
      </c>
      <c r="E80" s="25">
        <f t="shared" si="74"/>
        <v>0</v>
      </c>
      <c r="F80" s="25">
        <f t="shared" si="31"/>
        <v>0</v>
      </c>
      <c r="G80" s="184">
        <f t="shared" ref="G80:I80" si="75">$F$59*G50</f>
        <v>0</v>
      </c>
      <c r="H80" s="184">
        <f t="shared" si="75"/>
        <v>0</v>
      </c>
      <c r="I80" s="184">
        <f t="shared" si="75"/>
        <v>0</v>
      </c>
      <c r="J80" s="9">
        <f t="shared" si="33"/>
        <v>0</v>
      </c>
      <c r="K80" s="26">
        <f t="shared" si="34"/>
        <v>0</v>
      </c>
      <c r="L80" s="26">
        <f t="shared" si="35"/>
        <v>0</v>
      </c>
      <c r="M80" s="26">
        <f t="shared" si="36"/>
        <v>0</v>
      </c>
      <c r="N80" s="26">
        <f t="shared" si="37"/>
        <v>0</v>
      </c>
      <c r="O80" s="26">
        <f t="shared" si="38"/>
        <v>0</v>
      </c>
      <c r="P80" s="26">
        <f t="shared" si="39"/>
        <v>0</v>
      </c>
      <c r="Q80" s="26">
        <f t="shared" si="40"/>
        <v>0</v>
      </c>
      <c r="R80" s="26">
        <f t="shared" si="41"/>
        <v>0</v>
      </c>
    </row>
    <row r="81" spans="1:20" x14ac:dyDescent="0.25">
      <c r="A81" s="13" t="s">
        <v>158</v>
      </c>
      <c r="B81" s="36">
        <f t="shared" ref="B81:E81" si="76">B51</f>
        <v>0</v>
      </c>
      <c r="C81" s="25">
        <f t="shared" si="76"/>
        <v>0</v>
      </c>
      <c r="D81" s="25">
        <f t="shared" si="76"/>
        <v>0</v>
      </c>
      <c r="E81" s="25">
        <f t="shared" si="76"/>
        <v>0</v>
      </c>
      <c r="F81" s="25">
        <f t="shared" si="31"/>
        <v>0</v>
      </c>
      <c r="G81" s="184">
        <f t="shared" ref="G81:I81" si="77">$F$59*G51</f>
        <v>0</v>
      </c>
      <c r="H81" s="184">
        <f t="shared" si="77"/>
        <v>0</v>
      </c>
      <c r="I81" s="184">
        <f t="shared" si="77"/>
        <v>0</v>
      </c>
      <c r="J81" s="9">
        <f t="shared" si="33"/>
        <v>0</v>
      </c>
      <c r="K81" s="26">
        <f t="shared" si="34"/>
        <v>0</v>
      </c>
      <c r="L81" s="26">
        <f t="shared" si="35"/>
        <v>0</v>
      </c>
      <c r="M81" s="26">
        <f t="shared" si="36"/>
        <v>0</v>
      </c>
      <c r="N81" s="26">
        <f t="shared" si="37"/>
        <v>0</v>
      </c>
      <c r="O81" s="26">
        <f t="shared" si="38"/>
        <v>0</v>
      </c>
      <c r="P81" s="26">
        <f t="shared" si="39"/>
        <v>0</v>
      </c>
      <c r="Q81" s="26">
        <f t="shared" si="40"/>
        <v>0</v>
      </c>
      <c r="R81" s="26">
        <f t="shared" si="41"/>
        <v>0</v>
      </c>
    </row>
    <row r="82" spans="1:20" x14ac:dyDescent="0.25">
      <c r="A82" s="13" t="s">
        <v>159</v>
      </c>
      <c r="B82" s="36">
        <f t="shared" ref="B82:E82" si="78">B52</f>
        <v>0</v>
      </c>
      <c r="C82" s="25">
        <f t="shared" si="78"/>
        <v>0</v>
      </c>
      <c r="D82" s="25">
        <f t="shared" si="78"/>
        <v>0</v>
      </c>
      <c r="E82" s="25">
        <f t="shared" si="78"/>
        <v>0</v>
      </c>
      <c r="F82" s="25">
        <f t="shared" si="31"/>
        <v>0</v>
      </c>
      <c r="G82" s="184">
        <f t="shared" ref="G82:I82" si="79">$F$59*G52</f>
        <v>0</v>
      </c>
      <c r="H82" s="184">
        <f t="shared" si="79"/>
        <v>0</v>
      </c>
      <c r="I82" s="184">
        <f t="shared" si="79"/>
        <v>0</v>
      </c>
      <c r="J82" s="9">
        <f t="shared" si="33"/>
        <v>0</v>
      </c>
      <c r="K82" s="26">
        <f t="shared" si="34"/>
        <v>0</v>
      </c>
      <c r="L82" s="26">
        <f t="shared" si="35"/>
        <v>0</v>
      </c>
      <c r="M82" s="26">
        <f t="shared" si="36"/>
        <v>0</v>
      </c>
      <c r="N82" s="26">
        <f t="shared" si="37"/>
        <v>0</v>
      </c>
      <c r="O82" s="26">
        <f t="shared" si="38"/>
        <v>0</v>
      </c>
      <c r="P82" s="26">
        <f t="shared" si="39"/>
        <v>0</v>
      </c>
      <c r="Q82" s="26">
        <f t="shared" si="40"/>
        <v>0</v>
      </c>
      <c r="R82" s="26">
        <f t="shared" si="41"/>
        <v>0</v>
      </c>
    </row>
    <row r="83" spans="1:20" x14ac:dyDescent="0.25">
      <c r="A83" s="13" t="s">
        <v>160</v>
      </c>
      <c r="B83" s="36">
        <f t="shared" ref="B83:E83" si="80">B53</f>
        <v>0</v>
      </c>
      <c r="C83" s="25">
        <f t="shared" si="80"/>
        <v>0</v>
      </c>
      <c r="D83" s="25">
        <f t="shared" si="80"/>
        <v>0</v>
      </c>
      <c r="E83" s="25">
        <f t="shared" si="80"/>
        <v>0</v>
      </c>
      <c r="F83" s="25">
        <f t="shared" si="31"/>
        <v>0</v>
      </c>
      <c r="G83" s="184">
        <f t="shared" ref="G83:I83" si="81">$F$59*G53</f>
        <v>0</v>
      </c>
      <c r="H83" s="184">
        <f t="shared" si="81"/>
        <v>0</v>
      </c>
      <c r="I83" s="184">
        <f t="shared" si="81"/>
        <v>0</v>
      </c>
      <c r="J83" s="9">
        <f t="shared" si="33"/>
        <v>0</v>
      </c>
      <c r="K83" s="26">
        <f t="shared" si="34"/>
        <v>0</v>
      </c>
      <c r="L83" s="26">
        <f t="shared" si="35"/>
        <v>0</v>
      </c>
      <c r="M83" s="26">
        <f t="shared" si="36"/>
        <v>0</v>
      </c>
      <c r="N83" s="26">
        <f t="shared" si="37"/>
        <v>0</v>
      </c>
      <c r="O83" s="26">
        <f t="shared" si="38"/>
        <v>0</v>
      </c>
      <c r="P83" s="26">
        <f t="shared" si="39"/>
        <v>0</v>
      </c>
      <c r="Q83" s="26">
        <f t="shared" si="40"/>
        <v>0</v>
      </c>
      <c r="R83" s="26">
        <f t="shared" si="41"/>
        <v>0</v>
      </c>
    </row>
    <row r="84" spans="1:20" x14ac:dyDescent="0.25">
      <c r="A84" s="13" t="s">
        <v>161</v>
      </c>
      <c r="B84" s="36">
        <f t="shared" ref="B84:E84" si="82">B54</f>
        <v>0</v>
      </c>
      <c r="C84" s="25">
        <f t="shared" si="82"/>
        <v>0</v>
      </c>
      <c r="D84" s="25">
        <f t="shared" si="82"/>
        <v>0</v>
      </c>
      <c r="E84" s="25">
        <f t="shared" si="82"/>
        <v>0</v>
      </c>
      <c r="F84" s="25">
        <f t="shared" si="31"/>
        <v>0</v>
      </c>
      <c r="G84" s="184">
        <f t="shared" ref="G84:I84" si="83">$F$59*G54</f>
        <v>0</v>
      </c>
      <c r="H84" s="184">
        <f t="shared" si="83"/>
        <v>0</v>
      </c>
      <c r="I84" s="184">
        <f t="shared" si="83"/>
        <v>0</v>
      </c>
      <c r="J84" s="9">
        <f t="shared" si="33"/>
        <v>0</v>
      </c>
      <c r="K84" s="26">
        <f t="shared" si="34"/>
        <v>0</v>
      </c>
      <c r="L84" s="26">
        <f t="shared" si="35"/>
        <v>0</v>
      </c>
      <c r="M84" s="26">
        <f t="shared" si="36"/>
        <v>0</v>
      </c>
      <c r="N84" s="26">
        <f t="shared" si="37"/>
        <v>0</v>
      </c>
      <c r="O84" s="26">
        <f t="shared" si="38"/>
        <v>0</v>
      </c>
      <c r="P84" s="26">
        <f t="shared" si="39"/>
        <v>0</v>
      </c>
      <c r="Q84" s="26">
        <f t="shared" si="40"/>
        <v>0</v>
      </c>
      <c r="R84" s="26">
        <f t="shared" si="41"/>
        <v>0</v>
      </c>
    </row>
    <row r="85" spans="1:20" x14ac:dyDescent="0.25">
      <c r="A85" s="13" t="s">
        <v>162</v>
      </c>
      <c r="B85" s="36">
        <f t="shared" ref="B85:E85" si="84">B55</f>
        <v>0</v>
      </c>
      <c r="C85" s="25">
        <f t="shared" si="84"/>
        <v>0</v>
      </c>
      <c r="D85" s="25">
        <f t="shared" si="84"/>
        <v>0</v>
      </c>
      <c r="E85" s="25">
        <f t="shared" si="84"/>
        <v>0</v>
      </c>
      <c r="F85" s="25">
        <f t="shared" si="31"/>
        <v>0</v>
      </c>
      <c r="G85" s="184">
        <f t="shared" ref="G85:I85" si="85">$F$59*G55</f>
        <v>0</v>
      </c>
      <c r="H85" s="184">
        <f t="shared" si="85"/>
        <v>0</v>
      </c>
      <c r="I85" s="184">
        <f t="shared" si="85"/>
        <v>0</v>
      </c>
      <c r="J85" s="9">
        <f t="shared" si="33"/>
        <v>0</v>
      </c>
      <c r="K85" s="26">
        <f t="shared" si="34"/>
        <v>0</v>
      </c>
      <c r="L85" s="26">
        <f t="shared" si="35"/>
        <v>0</v>
      </c>
      <c r="M85" s="26">
        <f t="shared" si="36"/>
        <v>0</v>
      </c>
      <c r="N85" s="26">
        <f t="shared" si="37"/>
        <v>0</v>
      </c>
      <c r="O85" s="26">
        <f t="shared" si="38"/>
        <v>0</v>
      </c>
      <c r="P85" s="26">
        <f t="shared" si="39"/>
        <v>0</v>
      </c>
      <c r="Q85" s="26">
        <f t="shared" si="40"/>
        <v>0</v>
      </c>
      <c r="R85" s="26">
        <f t="shared" si="41"/>
        <v>0</v>
      </c>
    </row>
    <row r="86" spans="1:20" x14ac:dyDescent="0.25">
      <c r="A86" s="1" t="s">
        <v>163</v>
      </c>
      <c r="B86" s="23">
        <f>SUM(B62:B85)</f>
        <v>0</v>
      </c>
      <c r="C86" s="51" t="e">
        <f>SUMPRODUCT($B$62:$B$85,C62:C85)/$B$86</f>
        <v>#DIV/0!</v>
      </c>
      <c r="D86" s="51" t="e">
        <f>SUMPRODUCT($B$62:$B$85,D62:D85)/$B$86</f>
        <v>#DIV/0!</v>
      </c>
      <c r="E86" s="51" t="e">
        <f>SUMPRODUCT($B$62:$B$85,E62:E85)/$B$86</f>
        <v>#DIV/0!</v>
      </c>
      <c r="F86" s="37" t="e">
        <f>SUM(C86:E86)</f>
        <v>#DIV/0!</v>
      </c>
      <c r="G86" s="10" t="e">
        <f>SUMPRODUCT(B62:B85,G62:G85)/E86</f>
        <v>#DIV/0!</v>
      </c>
      <c r="H86" s="10">
        <f>IFERROR(SUMPRODUCT(B62:B85,H62:H85)/G86,0)</f>
        <v>0</v>
      </c>
      <c r="I86" s="10">
        <f t="shared" ref="I86:J86" si="86">IFERROR(SUMPRODUCT(C62:C85,I62:I85)/H86,0)</f>
        <v>0</v>
      </c>
      <c r="J86" s="10">
        <f t="shared" si="86"/>
        <v>0</v>
      </c>
      <c r="K86" s="10">
        <f>SUM(K62:K85)</f>
        <v>0</v>
      </c>
      <c r="L86" s="10">
        <f>SUM(L62:L85)</f>
        <v>0</v>
      </c>
      <c r="M86" s="10">
        <f t="shared" ref="M86" si="87">SUM(M62:M85)</f>
        <v>0</v>
      </c>
      <c r="N86" s="23">
        <f>SUM(K86:M86)</f>
        <v>0</v>
      </c>
      <c r="O86" s="10">
        <f>SUM(O62:O85)</f>
        <v>0</v>
      </c>
      <c r="P86" s="10">
        <f>SUM(P62:P85)</f>
        <v>0</v>
      </c>
      <c r="Q86" s="10">
        <f>SUM(Q62:Q85)</f>
        <v>0</v>
      </c>
      <c r="R86" s="23">
        <f>SUM(R62:R85)</f>
        <v>0</v>
      </c>
    </row>
    <row r="87" spans="1:20" x14ac:dyDescent="0.25">
      <c r="A87" s="17" t="s">
        <v>8</v>
      </c>
      <c r="C87" s="842" t="e">
        <f>SUM(C86:E86)=100%</f>
        <v>#DIV/0!</v>
      </c>
      <c r="D87" s="842"/>
      <c r="E87" s="842"/>
      <c r="F87" s="6" t="e">
        <f>F86=100%</f>
        <v>#DIV/0!</v>
      </c>
      <c r="N87" s="29" t="b">
        <f>SUM(K86:M86)=N86</f>
        <v>1</v>
      </c>
      <c r="S87" s="39" t="b">
        <f>SUM(O86:Q86)=R86</f>
        <v>1</v>
      </c>
    </row>
    <row r="88" spans="1:20" x14ac:dyDescent="0.25">
      <c r="A88" s="17"/>
      <c r="C88" s="21"/>
      <c r="D88" s="21"/>
      <c r="E88" s="21"/>
    </row>
    <row r="91" spans="1:20" x14ac:dyDescent="0.25">
      <c r="A91" s="3" t="s">
        <v>702</v>
      </c>
    </row>
    <row r="92" spans="1:20" ht="38.450000000000003" customHeight="1" x14ac:dyDescent="0.25">
      <c r="A92" s="59" t="s">
        <v>506</v>
      </c>
    </row>
    <row r="93" spans="1:20" ht="33.6" customHeight="1" x14ac:dyDescent="0.25">
      <c r="A93" s="838" t="s">
        <v>101</v>
      </c>
      <c r="B93" s="814" t="s">
        <v>327</v>
      </c>
      <c r="C93" s="814" t="s">
        <v>328</v>
      </c>
      <c r="D93" s="814"/>
      <c r="E93" s="814"/>
      <c r="F93" s="814"/>
      <c r="G93" s="814" t="s">
        <v>703</v>
      </c>
      <c r="H93" s="814"/>
      <c r="I93" s="814"/>
      <c r="J93" s="814"/>
      <c r="K93" s="814" t="s">
        <v>704</v>
      </c>
      <c r="L93" s="814"/>
      <c r="M93" s="814"/>
      <c r="N93" s="814"/>
      <c r="O93" s="44"/>
      <c r="P93" s="44"/>
      <c r="Q93" s="44"/>
      <c r="R93" s="44"/>
      <c r="S93" s="44"/>
      <c r="T93" s="44"/>
    </row>
    <row r="94" spans="1:20" x14ac:dyDescent="0.25">
      <c r="A94" s="838"/>
      <c r="B94" s="814"/>
      <c r="C94" s="1" t="s">
        <v>331</v>
      </c>
      <c r="D94" s="1" t="s">
        <v>137</v>
      </c>
      <c r="E94" s="1" t="s">
        <v>289</v>
      </c>
      <c r="F94" s="1" t="s">
        <v>120</v>
      </c>
      <c r="G94" s="1" t="s">
        <v>136</v>
      </c>
      <c r="H94" s="1" t="s">
        <v>137</v>
      </c>
      <c r="I94" s="1" t="s">
        <v>289</v>
      </c>
      <c r="J94" s="1" t="s">
        <v>120</v>
      </c>
      <c r="K94" s="1" t="s">
        <v>136</v>
      </c>
      <c r="L94" s="1" t="s">
        <v>137</v>
      </c>
      <c r="M94" s="1" t="s">
        <v>289</v>
      </c>
      <c r="N94" s="1" t="s">
        <v>120</v>
      </c>
    </row>
    <row r="95" spans="1:20" x14ac:dyDescent="0.25">
      <c r="A95" s="13" t="s">
        <v>139</v>
      </c>
      <c r="B95" s="40"/>
      <c r="C95" s="394">
        <f t="shared" ref="C95:E95" si="88">C62</f>
        <v>0</v>
      </c>
      <c r="D95" s="394">
        <f t="shared" si="88"/>
        <v>0</v>
      </c>
      <c r="E95" s="394">
        <f t="shared" si="88"/>
        <v>0</v>
      </c>
      <c r="F95" s="25">
        <f>SUM(C95:E95)</f>
        <v>0</v>
      </c>
      <c r="G95" s="36">
        <f>IFERROR(C95*$B95/(C32*$B32),0)</f>
        <v>0</v>
      </c>
      <c r="H95" s="36">
        <f t="shared" ref="H95:I95" si="89">IFERROR(D95*$B95/(D32*$B32),0)</f>
        <v>0</v>
      </c>
      <c r="I95" s="36">
        <f t="shared" si="89"/>
        <v>0</v>
      </c>
      <c r="J95" s="9">
        <f>SUMPRODUCT(C95:E95,G95:I95)</f>
        <v>0</v>
      </c>
      <c r="K95" s="9">
        <f>($G95-G95)*(C32*$B32)</f>
        <v>0</v>
      </c>
      <c r="L95" s="9">
        <f>($G95-H95)*(D32*$B32)</f>
        <v>0</v>
      </c>
      <c r="M95" s="9">
        <f>($G95-I95)*(E32*$B32)</f>
        <v>0</v>
      </c>
      <c r="N95" s="140">
        <f>'Value-of-fuel-used-under-CT'!Y4</f>
        <v>0</v>
      </c>
    </row>
    <row r="96" spans="1:20" x14ac:dyDescent="0.25">
      <c r="A96" s="13" t="s">
        <v>140</v>
      </c>
      <c r="B96" s="40"/>
      <c r="C96" s="394">
        <f t="shared" ref="C96:E96" si="90">C63</f>
        <v>0</v>
      </c>
      <c r="D96" s="394">
        <f t="shared" si="90"/>
        <v>0</v>
      </c>
      <c r="E96" s="394">
        <f t="shared" si="90"/>
        <v>0</v>
      </c>
      <c r="F96" s="25">
        <f t="shared" ref="F96:F118" si="91">SUM(C96:E96)</f>
        <v>0</v>
      </c>
      <c r="G96" s="36">
        <f t="shared" ref="G96:G118" si="92">IFERROR(C96*$B96/(C33*$B33),0)</f>
        <v>0</v>
      </c>
      <c r="H96" s="36">
        <f t="shared" ref="H96:H118" si="93">IFERROR(D96*$B96/(D33*$B33),0)</f>
        <v>0</v>
      </c>
      <c r="I96" s="36">
        <f t="shared" ref="I96:I118" si="94">IFERROR(E96*$B96/(E33*$B33),0)</f>
        <v>0</v>
      </c>
      <c r="J96" s="9">
        <f t="shared" ref="J96:J119" si="95">SUMPRODUCT(C96:E96,G96:I96)</f>
        <v>0</v>
      </c>
      <c r="K96" s="9">
        <f t="shared" ref="K96:M96" si="96">($G96-G96)*(C33*$B33)</f>
        <v>0</v>
      </c>
      <c r="L96" s="9">
        <f t="shared" si="96"/>
        <v>0</v>
      </c>
      <c r="M96" s="9">
        <f t="shared" si="96"/>
        <v>0</v>
      </c>
      <c r="N96" s="140">
        <f>'Value-of-fuel-used-under-CT'!Y5</f>
        <v>0</v>
      </c>
    </row>
    <row r="97" spans="1:14" x14ac:dyDescent="0.25">
      <c r="A97" s="13" t="s">
        <v>141</v>
      </c>
      <c r="B97" s="40"/>
      <c r="C97" s="394">
        <f t="shared" ref="C97:E97" si="97">C64</f>
        <v>0</v>
      </c>
      <c r="D97" s="394">
        <f t="shared" si="97"/>
        <v>0</v>
      </c>
      <c r="E97" s="394">
        <f t="shared" si="97"/>
        <v>0</v>
      </c>
      <c r="F97" s="25">
        <f t="shared" si="91"/>
        <v>0</v>
      </c>
      <c r="G97" s="36">
        <f t="shared" si="92"/>
        <v>0</v>
      </c>
      <c r="H97" s="36">
        <f t="shared" si="93"/>
        <v>0</v>
      </c>
      <c r="I97" s="36">
        <f t="shared" si="94"/>
        <v>0</v>
      </c>
      <c r="J97" s="9">
        <f t="shared" si="95"/>
        <v>0</v>
      </c>
      <c r="K97" s="9">
        <f t="shared" ref="K97:M97" si="98">($G97-G97)*(C34*$B34)</f>
        <v>0</v>
      </c>
      <c r="L97" s="9">
        <f t="shared" si="98"/>
        <v>0</v>
      </c>
      <c r="M97" s="9">
        <f t="shared" si="98"/>
        <v>0</v>
      </c>
      <c r="N97" s="140">
        <f>'Value-of-fuel-used-under-CT'!Y17</f>
        <v>0</v>
      </c>
    </row>
    <row r="98" spans="1:14" x14ac:dyDescent="0.25">
      <c r="A98" s="13" t="s">
        <v>142</v>
      </c>
      <c r="B98" s="40"/>
      <c r="C98" s="394">
        <f t="shared" ref="C98:E98" si="99">C65</f>
        <v>0</v>
      </c>
      <c r="D98" s="394">
        <f t="shared" si="99"/>
        <v>0</v>
      </c>
      <c r="E98" s="394">
        <f t="shared" si="99"/>
        <v>0</v>
      </c>
      <c r="F98" s="25">
        <f t="shared" si="91"/>
        <v>0</v>
      </c>
      <c r="G98" s="36">
        <f t="shared" si="92"/>
        <v>0</v>
      </c>
      <c r="H98" s="36">
        <f t="shared" si="93"/>
        <v>0</v>
      </c>
      <c r="I98" s="36">
        <f t="shared" si="94"/>
        <v>0</v>
      </c>
      <c r="J98" s="9">
        <f t="shared" si="95"/>
        <v>0</v>
      </c>
      <c r="K98" s="9">
        <f t="shared" ref="K98:M98" si="100">($G98-G98)*(C35*$B35)</f>
        <v>0</v>
      </c>
      <c r="L98" s="9">
        <f t="shared" si="100"/>
        <v>0</v>
      </c>
      <c r="M98" s="9">
        <f t="shared" si="100"/>
        <v>0</v>
      </c>
      <c r="N98" s="140">
        <f>'Value-of-fuel-used-under-CT'!Y18</f>
        <v>0</v>
      </c>
    </row>
    <row r="99" spans="1:14" x14ac:dyDescent="0.25">
      <c r="A99" s="13" t="s">
        <v>143</v>
      </c>
      <c r="B99" s="40"/>
      <c r="C99" s="394">
        <f t="shared" ref="C99:E99" si="101">C66</f>
        <v>0</v>
      </c>
      <c r="D99" s="394">
        <f t="shared" si="101"/>
        <v>0</v>
      </c>
      <c r="E99" s="394">
        <f t="shared" si="101"/>
        <v>0</v>
      </c>
      <c r="F99" s="25">
        <f t="shared" si="91"/>
        <v>0</v>
      </c>
      <c r="G99" s="36">
        <f t="shared" si="92"/>
        <v>0</v>
      </c>
      <c r="H99" s="36">
        <f t="shared" si="93"/>
        <v>0</v>
      </c>
      <c r="I99" s="36">
        <f t="shared" si="94"/>
        <v>0</v>
      </c>
      <c r="J99" s="9">
        <f t="shared" si="95"/>
        <v>0</v>
      </c>
      <c r="K99" s="9">
        <f t="shared" ref="K99:M99" si="102">($G99-G99)*(C36*$B36)</f>
        <v>0</v>
      </c>
      <c r="L99" s="9">
        <f t="shared" si="102"/>
        <v>0</v>
      </c>
      <c r="M99" s="9">
        <f t="shared" si="102"/>
        <v>0</v>
      </c>
      <c r="N99" s="140">
        <f>'Value-of-fuel-used-under-CT'!Y19</f>
        <v>0</v>
      </c>
    </row>
    <row r="100" spans="1:14" x14ac:dyDescent="0.25">
      <c r="A100" s="13" t="s">
        <v>144</v>
      </c>
      <c r="B100" s="40"/>
      <c r="C100" s="394">
        <f t="shared" ref="C100:E100" si="103">C67</f>
        <v>0</v>
      </c>
      <c r="D100" s="394">
        <f t="shared" si="103"/>
        <v>0</v>
      </c>
      <c r="E100" s="394">
        <f t="shared" si="103"/>
        <v>0</v>
      </c>
      <c r="F100" s="25">
        <f t="shared" si="91"/>
        <v>0</v>
      </c>
      <c r="G100" s="36">
        <f t="shared" si="92"/>
        <v>0</v>
      </c>
      <c r="H100" s="36">
        <f t="shared" si="93"/>
        <v>0</v>
      </c>
      <c r="I100" s="36">
        <f t="shared" si="94"/>
        <v>0</v>
      </c>
      <c r="J100" s="9">
        <f t="shared" si="95"/>
        <v>0</v>
      </c>
      <c r="K100" s="9">
        <f t="shared" ref="K100:M100" si="104">($G100-G100)*(C37*$B37)</f>
        <v>0</v>
      </c>
      <c r="L100" s="9">
        <f t="shared" si="104"/>
        <v>0</v>
      </c>
      <c r="M100" s="9">
        <f t="shared" si="104"/>
        <v>0</v>
      </c>
      <c r="N100" s="140">
        <f>'Value-of-fuel-used-under-CT'!Y20</f>
        <v>0</v>
      </c>
    </row>
    <row r="101" spans="1:14" x14ac:dyDescent="0.25">
      <c r="A101" s="13" t="s">
        <v>145</v>
      </c>
      <c r="B101" s="40"/>
      <c r="C101" s="394">
        <f t="shared" ref="C101:E101" si="105">C68</f>
        <v>0</v>
      </c>
      <c r="D101" s="394">
        <f t="shared" si="105"/>
        <v>0</v>
      </c>
      <c r="E101" s="394">
        <f t="shared" si="105"/>
        <v>0</v>
      </c>
      <c r="F101" s="25">
        <f t="shared" si="91"/>
        <v>0</v>
      </c>
      <c r="G101" s="36">
        <f t="shared" si="92"/>
        <v>0</v>
      </c>
      <c r="H101" s="36">
        <f t="shared" si="93"/>
        <v>0</v>
      </c>
      <c r="I101" s="36">
        <f t="shared" si="94"/>
        <v>0</v>
      </c>
      <c r="J101" s="9">
        <f t="shared" si="95"/>
        <v>0</v>
      </c>
      <c r="K101" s="9">
        <f t="shared" ref="K101:M101" si="106">($G101-G101)*(C38*$B38)</f>
        <v>0</v>
      </c>
      <c r="L101" s="9">
        <f t="shared" si="106"/>
        <v>0</v>
      </c>
      <c r="M101" s="9">
        <f t="shared" si="106"/>
        <v>0</v>
      </c>
      <c r="N101" s="140">
        <f>'Value-of-fuel-used-under-CT'!Y21</f>
        <v>0</v>
      </c>
    </row>
    <row r="102" spans="1:14" x14ac:dyDescent="0.25">
      <c r="A102" s="13" t="s">
        <v>146</v>
      </c>
      <c r="B102" s="40"/>
      <c r="C102" s="394">
        <f t="shared" ref="C102:E102" si="107">C69</f>
        <v>0</v>
      </c>
      <c r="D102" s="394">
        <f t="shared" si="107"/>
        <v>0</v>
      </c>
      <c r="E102" s="394">
        <f t="shared" si="107"/>
        <v>0</v>
      </c>
      <c r="F102" s="25">
        <f t="shared" si="91"/>
        <v>0</v>
      </c>
      <c r="G102" s="36">
        <f t="shared" si="92"/>
        <v>0</v>
      </c>
      <c r="H102" s="36">
        <f t="shared" si="93"/>
        <v>0</v>
      </c>
      <c r="I102" s="36">
        <f t="shared" si="94"/>
        <v>0</v>
      </c>
      <c r="J102" s="9">
        <f t="shared" si="95"/>
        <v>0</v>
      </c>
      <c r="K102" s="9">
        <f t="shared" ref="K102:M102" si="108">($G102-G102)*(C39*$B39)</f>
        <v>0</v>
      </c>
      <c r="L102" s="9">
        <f t="shared" si="108"/>
        <v>0</v>
      </c>
      <c r="M102" s="9">
        <f t="shared" si="108"/>
        <v>0</v>
      </c>
      <c r="N102" s="140">
        <f>'Value-of-fuel-used-under-CT'!Y22</f>
        <v>0</v>
      </c>
    </row>
    <row r="103" spans="1:14" x14ac:dyDescent="0.25">
      <c r="A103" s="13" t="s">
        <v>147</v>
      </c>
      <c r="B103" s="40"/>
      <c r="C103" s="394">
        <f t="shared" ref="C103:E103" si="109">C70</f>
        <v>0</v>
      </c>
      <c r="D103" s="394">
        <f t="shared" si="109"/>
        <v>0</v>
      </c>
      <c r="E103" s="394">
        <f t="shared" si="109"/>
        <v>0</v>
      </c>
      <c r="F103" s="25">
        <f t="shared" si="91"/>
        <v>0</v>
      </c>
      <c r="G103" s="36">
        <f t="shared" si="92"/>
        <v>0</v>
      </c>
      <c r="H103" s="36">
        <f t="shared" si="93"/>
        <v>0</v>
      </c>
      <c r="I103" s="36">
        <f t="shared" si="94"/>
        <v>0</v>
      </c>
      <c r="J103" s="9">
        <f t="shared" si="95"/>
        <v>0</v>
      </c>
      <c r="K103" s="9">
        <f t="shared" ref="K103:M103" si="110">($G103-G103)*(C40*$B40)</f>
        <v>0</v>
      </c>
      <c r="L103" s="9">
        <f t="shared" si="110"/>
        <v>0</v>
      </c>
      <c r="M103" s="9">
        <f t="shared" si="110"/>
        <v>0</v>
      </c>
      <c r="N103" s="140">
        <f>'Value-of-fuel-used-under-CT'!Y23</f>
        <v>0</v>
      </c>
    </row>
    <row r="104" spans="1:14" x14ac:dyDescent="0.25">
      <c r="A104" s="13" t="s">
        <v>148</v>
      </c>
      <c r="B104" s="40"/>
      <c r="C104" s="394">
        <f t="shared" ref="C104:E104" si="111">C71</f>
        <v>0</v>
      </c>
      <c r="D104" s="394">
        <f t="shared" si="111"/>
        <v>0</v>
      </c>
      <c r="E104" s="394">
        <f t="shared" si="111"/>
        <v>0</v>
      </c>
      <c r="F104" s="25">
        <f t="shared" si="91"/>
        <v>0</v>
      </c>
      <c r="G104" s="36">
        <f t="shared" si="92"/>
        <v>0</v>
      </c>
      <c r="H104" s="36">
        <f t="shared" si="93"/>
        <v>0</v>
      </c>
      <c r="I104" s="36">
        <f t="shared" si="94"/>
        <v>0</v>
      </c>
      <c r="J104" s="9">
        <f t="shared" si="95"/>
        <v>0</v>
      </c>
      <c r="K104" s="9">
        <f t="shared" ref="K104:M104" si="112">($G104-G104)*(C41*$B41)</f>
        <v>0</v>
      </c>
      <c r="L104" s="9">
        <f t="shared" si="112"/>
        <v>0</v>
      </c>
      <c r="M104" s="9">
        <f t="shared" si="112"/>
        <v>0</v>
      </c>
      <c r="N104" s="140">
        <f>'Value-of-fuel-used-under-CT'!Y24</f>
        <v>0</v>
      </c>
    </row>
    <row r="105" spans="1:14" x14ac:dyDescent="0.25">
      <c r="A105" s="13" t="s">
        <v>149</v>
      </c>
      <c r="B105" s="40"/>
      <c r="C105" s="394">
        <f t="shared" ref="C105:E105" si="113">C72</f>
        <v>0</v>
      </c>
      <c r="D105" s="394">
        <f t="shared" si="113"/>
        <v>0</v>
      </c>
      <c r="E105" s="394">
        <f t="shared" si="113"/>
        <v>0</v>
      </c>
      <c r="F105" s="25">
        <f t="shared" si="91"/>
        <v>0</v>
      </c>
      <c r="G105" s="36">
        <f t="shared" si="92"/>
        <v>0</v>
      </c>
      <c r="H105" s="36">
        <f t="shared" si="93"/>
        <v>0</v>
      </c>
      <c r="I105" s="36">
        <f t="shared" si="94"/>
        <v>0</v>
      </c>
      <c r="J105" s="9">
        <f t="shared" si="95"/>
        <v>0</v>
      </c>
      <c r="K105" s="9">
        <f t="shared" ref="K105:M105" si="114">($G105-G105)*(C42*$B42)</f>
        <v>0</v>
      </c>
      <c r="L105" s="9">
        <f t="shared" si="114"/>
        <v>0</v>
      </c>
      <c r="M105" s="9">
        <f t="shared" si="114"/>
        <v>0</v>
      </c>
      <c r="N105" s="140">
        <f>'Value-of-fuel-used-under-CT'!Y25</f>
        <v>0</v>
      </c>
    </row>
    <row r="106" spans="1:14" x14ac:dyDescent="0.25">
      <c r="A106" s="13" t="s">
        <v>150</v>
      </c>
      <c r="B106" s="40"/>
      <c r="C106" s="394">
        <f t="shared" ref="C106:E106" si="115">C73</f>
        <v>0</v>
      </c>
      <c r="D106" s="394">
        <f t="shared" si="115"/>
        <v>0</v>
      </c>
      <c r="E106" s="394">
        <f t="shared" si="115"/>
        <v>0</v>
      </c>
      <c r="F106" s="25">
        <f t="shared" si="91"/>
        <v>0</v>
      </c>
      <c r="G106" s="36">
        <f t="shared" si="92"/>
        <v>0</v>
      </c>
      <c r="H106" s="36">
        <f t="shared" si="93"/>
        <v>0</v>
      </c>
      <c r="I106" s="36">
        <f t="shared" si="94"/>
        <v>0</v>
      </c>
      <c r="J106" s="9">
        <f t="shared" si="95"/>
        <v>0</v>
      </c>
      <c r="K106" s="9">
        <f t="shared" ref="K106:M106" si="116">($G106-G106)*(C43*$B43)</f>
        <v>0</v>
      </c>
      <c r="L106" s="9">
        <f t="shared" si="116"/>
        <v>0</v>
      </c>
      <c r="M106" s="9">
        <f t="shared" si="116"/>
        <v>0</v>
      </c>
      <c r="N106" s="140">
        <f>'Value-of-fuel-used-under-CT'!Y26</f>
        <v>0</v>
      </c>
    </row>
    <row r="107" spans="1:14" x14ac:dyDescent="0.25">
      <c r="A107" s="13" t="s">
        <v>151</v>
      </c>
      <c r="B107" s="40"/>
      <c r="C107" s="394">
        <f t="shared" ref="C107:E107" si="117">C74</f>
        <v>0</v>
      </c>
      <c r="D107" s="394">
        <f t="shared" si="117"/>
        <v>0</v>
      </c>
      <c r="E107" s="394">
        <f t="shared" si="117"/>
        <v>0</v>
      </c>
      <c r="F107" s="25">
        <f t="shared" si="91"/>
        <v>0</v>
      </c>
      <c r="G107" s="36">
        <f t="shared" si="92"/>
        <v>0</v>
      </c>
      <c r="H107" s="36">
        <f t="shared" si="93"/>
        <v>0</v>
      </c>
      <c r="I107" s="36">
        <f t="shared" si="94"/>
        <v>0</v>
      </c>
      <c r="J107" s="9">
        <f t="shared" si="95"/>
        <v>0</v>
      </c>
      <c r="K107" s="9">
        <f t="shared" ref="K107:M107" si="118">($G107-G107)*(C44*$B44)</f>
        <v>0</v>
      </c>
      <c r="L107" s="9">
        <f t="shared" si="118"/>
        <v>0</v>
      </c>
      <c r="M107" s="9">
        <f t="shared" si="118"/>
        <v>0</v>
      </c>
      <c r="N107" s="140">
        <f>'Value-of-fuel-used-under-CT'!Y27</f>
        <v>0</v>
      </c>
    </row>
    <row r="108" spans="1:14" x14ac:dyDescent="0.25">
      <c r="A108" s="13" t="s">
        <v>152</v>
      </c>
      <c r="B108" s="40"/>
      <c r="C108" s="394">
        <f t="shared" ref="C108:E108" si="119">C75</f>
        <v>0</v>
      </c>
      <c r="D108" s="394">
        <f t="shared" si="119"/>
        <v>0</v>
      </c>
      <c r="E108" s="394">
        <f t="shared" si="119"/>
        <v>0</v>
      </c>
      <c r="F108" s="25">
        <f t="shared" si="91"/>
        <v>0</v>
      </c>
      <c r="G108" s="36">
        <f t="shared" si="92"/>
        <v>0</v>
      </c>
      <c r="H108" s="36">
        <f t="shared" si="93"/>
        <v>0</v>
      </c>
      <c r="I108" s="36">
        <f t="shared" si="94"/>
        <v>0</v>
      </c>
      <c r="J108" s="9">
        <f t="shared" si="95"/>
        <v>0</v>
      </c>
      <c r="K108" s="9">
        <f t="shared" ref="K108:M108" si="120">($G108-G108)*(C45*$B45)</f>
        <v>0</v>
      </c>
      <c r="L108" s="9">
        <f t="shared" si="120"/>
        <v>0</v>
      </c>
      <c r="M108" s="9">
        <f t="shared" si="120"/>
        <v>0</v>
      </c>
      <c r="N108" s="140">
        <f>'Value-of-fuel-used-under-CT'!Y28</f>
        <v>0</v>
      </c>
    </row>
    <row r="109" spans="1:14" x14ac:dyDescent="0.25">
      <c r="A109" s="13" t="s">
        <v>153</v>
      </c>
      <c r="B109" s="40"/>
      <c r="C109" s="394">
        <f t="shared" ref="C109:E109" si="121">C76</f>
        <v>0</v>
      </c>
      <c r="D109" s="394">
        <f t="shared" si="121"/>
        <v>0</v>
      </c>
      <c r="E109" s="394">
        <f t="shared" si="121"/>
        <v>0</v>
      </c>
      <c r="F109" s="25">
        <f t="shared" si="91"/>
        <v>0</v>
      </c>
      <c r="G109" s="36">
        <f t="shared" si="92"/>
        <v>0</v>
      </c>
      <c r="H109" s="36">
        <f t="shared" si="93"/>
        <v>0</v>
      </c>
      <c r="I109" s="36">
        <f t="shared" si="94"/>
        <v>0</v>
      </c>
      <c r="J109" s="9">
        <f t="shared" si="95"/>
        <v>0</v>
      </c>
      <c r="K109" s="9">
        <f t="shared" ref="K109:M109" si="122">($G109-G109)*(C46*$B46)</f>
        <v>0</v>
      </c>
      <c r="L109" s="9">
        <f t="shared" si="122"/>
        <v>0</v>
      </c>
      <c r="M109" s="9">
        <f t="shared" si="122"/>
        <v>0</v>
      </c>
      <c r="N109" s="140">
        <f>'Value-of-fuel-used-under-CT'!Y29</f>
        <v>0</v>
      </c>
    </row>
    <row r="110" spans="1:14" x14ac:dyDescent="0.25">
      <c r="A110" s="13" t="s">
        <v>154</v>
      </c>
      <c r="B110" s="40"/>
      <c r="C110" s="394">
        <f t="shared" ref="C110:E110" si="123">C77</f>
        <v>0</v>
      </c>
      <c r="D110" s="394">
        <f t="shared" si="123"/>
        <v>0</v>
      </c>
      <c r="E110" s="394">
        <f t="shared" si="123"/>
        <v>0</v>
      </c>
      <c r="F110" s="25">
        <f t="shared" si="91"/>
        <v>0</v>
      </c>
      <c r="G110" s="36">
        <f t="shared" si="92"/>
        <v>0</v>
      </c>
      <c r="H110" s="36">
        <f t="shared" si="93"/>
        <v>0</v>
      </c>
      <c r="I110" s="36">
        <f t="shared" si="94"/>
        <v>0</v>
      </c>
      <c r="J110" s="9">
        <f t="shared" si="95"/>
        <v>0</v>
      </c>
      <c r="K110" s="9">
        <f t="shared" ref="K110:M110" si="124">($G110-G110)*(C47*$B47)</f>
        <v>0</v>
      </c>
      <c r="L110" s="9">
        <f t="shared" si="124"/>
        <v>0</v>
      </c>
      <c r="M110" s="9">
        <f t="shared" si="124"/>
        <v>0</v>
      </c>
      <c r="N110" s="140">
        <f>'Value-of-fuel-used-under-CT'!Y30</f>
        <v>0</v>
      </c>
    </row>
    <row r="111" spans="1:14" x14ac:dyDescent="0.25">
      <c r="A111" s="13" t="s">
        <v>155</v>
      </c>
      <c r="B111" s="40"/>
      <c r="C111" s="394">
        <f t="shared" ref="C111:E111" si="125">C78</f>
        <v>0</v>
      </c>
      <c r="D111" s="394">
        <f t="shared" si="125"/>
        <v>0</v>
      </c>
      <c r="E111" s="394">
        <f t="shared" si="125"/>
        <v>0</v>
      </c>
      <c r="F111" s="25">
        <f t="shared" si="91"/>
        <v>0</v>
      </c>
      <c r="G111" s="36">
        <f t="shared" si="92"/>
        <v>0</v>
      </c>
      <c r="H111" s="36">
        <f t="shared" si="93"/>
        <v>0</v>
      </c>
      <c r="I111" s="36">
        <f t="shared" si="94"/>
        <v>0</v>
      </c>
      <c r="J111" s="9">
        <f t="shared" si="95"/>
        <v>0</v>
      </c>
      <c r="K111" s="9">
        <f t="shared" ref="K111:M111" si="126">($G111-G111)*(C48*$B48)</f>
        <v>0</v>
      </c>
      <c r="L111" s="9">
        <f t="shared" si="126"/>
        <v>0</v>
      </c>
      <c r="M111" s="9">
        <f t="shared" si="126"/>
        <v>0</v>
      </c>
      <c r="N111" s="140">
        <f>'Value-of-fuel-used-under-CT'!Y31</f>
        <v>0</v>
      </c>
    </row>
    <row r="112" spans="1:14" x14ac:dyDescent="0.25">
      <c r="A112" s="13" t="s">
        <v>156</v>
      </c>
      <c r="B112" s="40"/>
      <c r="C112" s="394">
        <f t="shared" ref="C112:E112" si="127">C79</f>
        <v>0</v>
      </c>
      <c r="D112" s="394">
        <f t="shared" si="127"/>
        <v>0</v>
      </c>
      <c r="E112" s="394">
        <f t="shared" si="127"/>
        <v>0</v>
      </c>
      <c r="F112" s="25">
        <f t="shared" si="91"/>
        <v>0</v>
      </c>
      <c r="G112" s="36">
        <f t="shared" si="92"/>
        <v>0</v>
      </c>
      <c r="H112" s="36">
        <f t="shared" si="93"/>
        <v>0</v>
      </c>
      <c r="I112" s="36">
        <f t="shared" si="94"/>
        <v>0</v>
      </c>
      <c r="J112" s="9">
        <f t="shared" si="95"/>
        <v>0</v>
      </c>
      <c r="K112" s="9">
        <f t="shared" ref="K112:M112" si="128">($G112-G112)*(C49*$B49)</f>
        <v>0</v>
      </c>
      <c r="L112" s="9">
        <f t="shared" si="128"/>
        <v>0</v>
      </c>
      <c r="M112" s="9">
        <f t="shared" si="128"/>
        <v>0</v>
      </c>
      <c r="N112" s="140">
        <f>'Value-of-fuel-used-under-CT'!Y32</f>
        <v>0</v>
      </c>
    </row>
    <row r="113" spans="1:24" x14ac:dyDescent="0.25">
      <c r="A113" s="13" t="s">
        <v>157</v>
      </c>
      <c r="B113" s="40"/>
      <c r="C113" s="394">
        <f t="shared" ref="C113:E113" si="129">C80</f>
        <v>0</v>
      </c>
      <c r="D113" s="394">
        <f t="shared" si="129"/>
        <v>0</v>
      </c>
      <c r="E113" s="394">
        <f t="shared" si="129"/>
        <v>0</v>
      </c>
      <c r="F113" s="25">
        <f t="shared" si="91"/>
        <v>0</v>
      </c>
      <c r="G113" s="36">
        <f t="shared" si="92"/>
        <v>0</v>
      </c>
      <c r="H113" s="36">
        <f t="shared" si="93"/>
        <v>0</v>
      </c>
      <c r="I113" s="36">
        <f t="shared" si="94"/>
        <v>0</v>
      </c>
      <c r="J113" s="9">
        <f t="shared" si="95"/>
        <v>0</v>
      </c>
      <c r="K113" s="9">
        <f t="shared" ref="K113:M113" si="130">($G113-G113)*(C50*$B50)</f>
        <v>0</v>
      </c>
      <c r="L113" s="9">
        <f t="shared" si="130"/>
        <v>0</v>
      </c>
      <c r="M113" s="9">
        <f t="shared" si="130"/>
        <v>0</v>
      </c>
      <c r="N113" s="140">
        <f>'Value-of-fuel-used-under-CT'!Y33</f>
        <v>0</v>
      </c>
    </row>
    <row r="114" spans="1:24" x14ac:dyDescent="0.25">
      <c r="A114" s="13" t="s">
        <v>158</v>
      </c>
      <c r="B114" s="40"/>
      <c r="C114" s="394">
        <f t="shared" ref="C114:E114" si="131">C81</f>
        <v>0</v>
      </c>
      <c r="D114" s="394">
        <f t="shared" si="131"/>
        <v>0</v>
      </c>
      <c r="E114" s="394">
        <f t="shared" si="131"/>
        <v>0</v>
      </c>
      <c r="F114" s="25">
        <f t="shared" si="91"/>
        <v>0</v>
      </c>
      <c r="G114" s="36">
        <f t="shared" si="92"/>
        <v>0</v>
      </c>
      <c r="H114" s="36">
        <f t="shared" si="93"/>
        <v>0</v>
      </c>
      <c r="I114" s="36">
        <f t="shared" si="94"/>
        <v>0</v>
      </c>
      <c r="J114" s="9">
        <f t="shared" si="95"/>
        <v>0</v>
      </c>
      <c r="K114" s="9">
        <f t="shared" ref="K114:M114" si="132">($G114-G114)*(C51*$B51)</f>
        <v>0</v>
      </c>
      <c r="L114" s="9">
        <f t="shared" si="132"/>
        <v>0</v>
      </c>
      <c r="M114" s="9">
        <f t="shared" si="132"/>
        <v>0</v>
      </c>
      <c r="N114" s="140">
        <f>'Value-of-fuel-used-under-CT'!Y34</f>
        <v>0</v>
      </c>
    </row>
    <row r="115" spans="1:24" x14ac:dyDescent="0.25">
      <c r="A115" s="13" t="s">
        <v>159</v>
      </c>
      <c r="B115" s="40"/>
      <c r="C115" s="394">
        <f t="shared" ref="C115:E115" si="133">C82</f>
        <v>0</v>
      </c>
      <c r="D115" s="394">
        <f t="shared" si="133"/>
        <v>0</v>
      </c>
      <c r="E115" s="394">
        <f t="shared" si="133"/>
        <v>0</v>
      </c>
      <c r="F115" s="25">
        <f t="shared" si="91"/>
        <v>0</v>
      </c>
      <c r="G115" s="36">
        <f t="shared" si="92"/>
        <v>0</v>
      </c>
      <c r="H115" s="36">
        <f t="shared" si="93"/>
        <v>0</v>
      </c>
      <c r="I115" s="36">
        <f t="shared" si="94"/>
        <v>0</v>
      </c>
      <c r="J115" s="9">
        <f t="shared" si="95"/>
        <v>0</v>
      </c>
      <c r="K115" s="9">
        <f t="shared" ref="K115:M115" si="134">($G115-G115)*(C52*$B52)</f>
        <v>0</v>
      </c>
      <c r="L115" s="9">
        <f t="shared" si="134"/>
        <v>0</v>
      </c>
      <c r="M115" s="9">
        <f t="shared" si="134"/>
        <v>0</v>
      </c>
      <c r="N115" s="140">
        <f>'Value-of-fuel-used-under-CT'!Y35</f>
        <v>0</v>
      </c>
    </row>
    <row r="116" spans="1:24" x14ac:dyDescent="0.25">
      <c r="A116" s="13" t="s">
        <v>160</v>
      </c>
      <c r="B116" s="40"/>
      <c r="C116" s="394">
        <f t="shared" ref="C116:E116" si="135">C83</f>
        <v>0</v>
      </c>
      <c r="D116" s="394">
        <f t="shared" si="135"/>
        <v>0</v>
      </c>
      <c r="E116" s="394">
        <f t="shared" si="135"/>
        <v>0</v>
      </c>
      <c r="F116" s="25">
        <f t="shared" si="91"/>
        <v>0</v>
      </c>
      <c r="G116" s="36">
        <f t="shared" si="92"/>
        <v>0</v>
      </c>
      <c r="H116" s="36">
        <f t="shared" si="93"/>
        <v>0</v>
      </c>
      <c r="I116" s="36">
        <f t="shared" si="94"/>
        <v>0</v>
      </c>
      <c r="J116" s="9">
        <f t="shared" si="95"/>
        <v>0</v>
      </c>
      <c r="K116" s="9">
        <f t="shared" ref="K116:M116" si="136">($G116-G116)*(C53*$B53)</f>
        <v>0</v>
      </c>
      <c r="L116" s="9">
        <f t="shared" si="136"/>
        <v>0</v>
      </c>
      <c r="M116" s="9">
        <f t="shared" si="136"/>
        <v>0</v>
      </c>
      <c r="N116" s="140">
        <f>'Value-of-fuel-used-under-CT'!Y36</f>
        <v>0</v>
      </c>
    </row>
    <row r="117" spans="1:24" x14ac:dyDescent="0.25">
      <c r="A117" s="13" t="s">
        <v>161</v>
      </c>
      <c r="B117" s="40"/>
      <c r="C117" s="394">
        <f t="shared" ref="C117:E117" si="137">C84</f>
        <v>0</v>
      </c>
      <c r="D117" s="394">
        <f t="shared" si="137"/>
        <v>0</v>
      </c>
      <c r="E117" s="394">
        <f t="shared" si="137"/>
        <v>0</v>
      </c>
      <c r="F117" s="25">
        <f t="shared" si="91"/>
        <v>0</v>
      </c>
      <c r="G117" s="36">
        <f t="shared" si="92"/>
        <v>0</v>
      </c>
      <c r="H117" s="36">
        <f t="shared" si="93"/>
        <v>0</v>
      </c>
      <c r="I117" s="36">
        <f t="shared" si="94"/>
        <v>0</v>
      </c>
      <c r="J117" s="9">
        <f t="shared" si="95"/>
        <v>0</v>
      </c>
      <c r="K117" s="9">
        <f t="shared" ref="K117:M117" si="138">($G117-G117)*(C54*$B54)</f>
        <v>0</v>
      </c>
      <c r="L117" s="9">
        <f t="shared" si="138"/>
        <v>0</v>
      </c>
      <c r="M117" s="9">
        <f t="shared" si="138"/>
        <v>0</v>
      </c>
      <c r="N117" s="140">
        <f>'Value-of-fuel-used-under-CT'!Y37</f>
        <v>0</v>
      </c>
    </row>
    <row r="118" spans="1:24" x14ac:dyDescent="0.25">
      <c r="A118" s="13" t="s">
        <v>162</v>
      </c>
      <c r="B118" s="40"/>
      <c r="C118" s="394">
        <f t="shared" ref="C118:E118" si="139">C85</f>
        <v>0</v>
      </c>
      <c r="D118" s="394">
        <f t="shared" si="139"/>
        <v>0</v>
      </c>
      <c r="E118" s="394">
        <f t="shared" si="139"/>
        <v>0</v>
      </c>
      <c r="F118" s="25">
        <f t="shared" si="91"/>
        <v>0</v>
      </c>
      <c r="G118" s="36">
        <f t="shared" si="92"/>
        <v>0</v>
      </c>
      <c r="H118" s="36">
        <f t="shared" si="93"/>
        <v>0</v>
      </c>
      <c r="I118" s="36">
        <f t="shared" si="94"/>
        <v>0</v>
      </c>
      <c r="J118" s="9">
        <f t="shared" si="95"/>
        <v>0</v>
      </c>
      <c r="K118" s="9">
        <f t="shared" ref="K118:M118" si="140">($G118-G118)*(C55*$B55)</f>
        <v>0</v>
      </c>
      <c r="L118" s="9">
        <f t="shared" si="140"/>
        <v>0</v>
      </c>
      <c r="M118" s="9">
        <f t="shared" si="140"/>
        <v>0</v>
      </c>
      <c r="N118" s="140">
        <f>'Value-of-fuel-used-under-CT'!Y38</f>
        <v>0</v>
      </c>
    </row>
    <row r="119" spans="1:24" x14ac:dyDescent="0.25">
      <c r="A119" s="1" t="s">
        <v>163</v>
      </c>
      <c r="B119" s="10">
        <f>SUM(B95:B118)</f>
        <v>0</v>
      </c>
      <c r="C119" s="37">
        <f>IFERROR(SUMPRODUCT($B$95:$B$118,C95:C118)/$B$119,0)</f>
        <v>0</v>
      </c>
      <c r="D119" s="37">
        <f t="shared" ref="D119:E119" si="141">IFERROR(SUMPRODUCT($B$95:$B$118,D95:D118)/$B$119,0)</f>
        <v>0</v>
      </c>
      <c r="E119" s="37">
        <f t="shared" si="141"/>
        <v>0</v>
      </c>
      <c r="F119" s="25">
        <f>SUM(C119:E119)</f>
        <v>0</v>
      </c>
      <c r="G119" s="9">
        <f>IFERROR(SUMPRODUCT($B$95:$B$118,G95:G118)/$B$119,0)</f>
        <v>0</v>
      </c>
      <c r="H119" s="9">
        <f t="shared" ref="H119:I119" si="142">IFERROR(SUMPRODUCT($B$95:$B$118,H95:H118)/$B$119,0)</f>
        <v>0</v>
      </c>
      <c r="I119" s="9">
        <f t="shared" si="142"/>
        <v>0</v>
      </c>
      <c r="J119" s="10">
        <f t="shared" si="95"/>
        <v>0</v>
      </c>
      <c r="K119" s="9">
        <f>SUM(K95:K118)</f>
        <v>0</v>
      </c>
      <c r="L119" s="9">
        <f t="shared" ref="L119:N119" si="143">SUM(L95:L118)</f>
        <v>0</v>
      </c>
      <c r="M119" s="9">
        <f t="shared" si="143"/>
        <v>0</v>
      </c>
      <c r="N119" s="140">
        <f t="shared" si="143"/>
        <v>0</v>
      </c>
    </row>
    <row r="120" spans="1:24" x14ac:dyDescent="0.25">
      <c r="H120" s="20" t="s">
        <v>333</v>
      </c>
    </row>
    <row r="121" spans="1:24" x14ac:dyDescent="0.25">
      <c r="A121" s="1" t="s">
        <v>332</v>
      </c>
      <c r="D121" s="2"/>
      <c r="E121" s="2"/>
      <c r="G121" t="s">
        <v>96</v>
      </c>
      <c r="H121" s="20" t="s">
        <v>336</v>
      </c>
    </row>
    <row r="122" spans="1:24" ht="18" x14ac:dyDescent="0.35">
      <c r="A122" s="1"/>
      <c r="B122" s="1" t="s">
        <v>334</v>
      </c>
      <c r="D122" s="124">
        <f>44*F122/12</f>
        <v>187</v>
      </c>
      <c r="E122" s="73" t="s">
        <v>335</v>
      </c>
      <c r="F122" s="62">
        <v>51</v>
      </c>
      <c r="H122" s="20" t="s">
        <v>339</v>
      </c>
    </row>
    <row r="123" spans="1:24" x14ac:dyDescent="0.25">
      <c r="A123" s="1"/>
      <c r="B123" s="1" t="s">
        <v>426</v>
      </c>
      <c r="D123" s="703">
        <v>5.7999999999999996E-3</v>
      </c>
      <c r="E123" s="1"/>
      <c r="F123" s="74" t="s">
        <v>338</v>
      </c>
    </row>
    <row r="124" spans="1:24" x14ac:dyDescent="0.25">
      <c r="A124" s="1"/>
      <c r="B124" s="1" t="s">
        <v>427</v>
      </c>
      <c r="C124" s="1"/>
      <c r="D124" s="5">
        <v>30</v>
      </c>
      <c r="E124" s="1"/>
      <c r="F124" s="63" t="s">
        <v>239</v>
      </c>
      <c r="G124" s="69">
        <f>10000*(D124/100)*D126</f>
        <v>4500</v>
      </c>
      <c r="H124" s="77"/>
    </row>
    <row r="125" spans="1:24" x14ac:dyDescent="0.25">
      <c r="A125" s="1"/>
      <c r="B125" s="1" t="s">
        <v>428</v>
      </c>
      <c r="C125" s="1"/>
      <c r="D125" s="72" t="e">
        <f>G125/G124</f>
        <v>#DIV/0!</v>
      </c>
      <c r="E125" s="1"/>
      <c r="F125" s="63" t="s">
        <v>429</v>
      </c>
      <c r="G125" s="95" t="e">
        <f>'Soil-errosion2'!AS28</f>
        <v>#DIV/0!</v>
      </c>
      <c r="H125" t="s">
        <v>345</v>
      </c>
      <c r="I125" t="s">
        <v>346</v>
      </c>
    </row>
    <row r="126" spans="1:24" ht="17.25" x14ac:dyDescent="0.25">
      <c r="A126" s="1"/>
      <c r="B126" s="1" t="s">
        <v>430</v>
      </c>
      <c r="C126" s="1"/>
      <c r="D126" s="5">
        <v>1.5</v>
      </c>
      <c r="E126" s="1"/>
      <c r="F126" t="s">
        <v>350</v>
      </c>
      <c r="G126" s="140" t="e">
        <f>D124*G125/G124</f>
        <v>#DIV/0!</v>
      </c>
      <c r="I126" s="20" t="s">
        <v>351</v>
      </c>
    </row>
    <row r="127" spans="1:24" ht="36" customHeight="1" x14ac:dyDescent="0.25">
      <c r="A127" s="838" t="s">
        <v>101</v>
      </c>
      <c r="B127" s="814" t="s">
        <v>705</v>
      </c>
      <c r="C127" s="814"/>
      <c r="D127" s="814"/>
      <c r="E127" s="814"/>
      <c r="F127" s="814"/>
      <c r="H127" s="76"/>
    </row>
    <row r="128" spans="1:24" ht="57.95" customHeight="1" x14ac:dyDescent="0.25">
      <c r="A128" s="838"/>
      <c r="B128" s="11" t="s">
        <v>353</v>
      </c>
      <c r="C128" s="839" t="s">
        <v>354</v>
      </c>
      <c r="D128" s="839"/>
      <c r="E128" s="839"/>
      <c r="F128" s="839" t="s">
        <v>355</v>
      </c>
      <c r="G128" s="839"/>
      <c r="H128" s="839"/>
      <c r="I128" s="839"/>
      <c r="J128" s="839" t="s">
        <v>356</v>
      </c>
      <c r="K128" s="839"/>
      <c r="L128" s="839"/>
      <c r="M128" s="839"/>
      <c r="N128" s="839" t="s">
        <v>357</v>
      </c>
      <c r="O128" s="839"/>
      <c r="P128" s="839"/>
      <c r="Q128" s="839"/>
      <c r="R128" s="839" t="s">
        <v>359</v>
      </c>
      <c r="S128" s="839" t="s">
        <v>474</v>
      </c>
      <c r="T128" s="839" t="s">
        <v>363</v>
      </c>
      <c r="U128" s="11" t="s">
        <v>364</v>
      </c>
      <c r="V128" s="11" t="s">
        <v>365</v>
      </c>
      <c r="W128" s="839" t="s">
        <v>366</v>
      </c>
      <c r="X128" s="11" t="s">
        <v>367</v>
      </c>
    </row>
    <row r="129" spans="1:23" x14ac:dyDescent="0.25">
      <c r="A129" s="17"/>
      <c r="B129" s="11"/>
      <c r="C129" s="11" t="s">
        <v>234</v>
      </c>
      <c r="D129" s="11" t="s">
        <v>368</v>
      </c>
      <c r="E129" s="11" t="s">
        <v>238</v>
      </c>
      <c r="F129" s="11" t="s">
        <v>234</v>
      </c>
      <c r="G129" s="11" t="s">
        <v>368</v>
      </c>
      <c r="H129" s="11" t="s">
        <v>238</v>
      </c>
      <c r="I129" s="11" t="s">
        <v>120</v>
      </c>
      <c r="J129" s="11" t="s">
        <v>234</v>
      </c>
      <c r="K129" s="11" t="s">
        <v>368</v>
      </c>
      <c r="L129" s="11" t="s">
        <v>238</v>
      </c>
      <c r="M129" s="11" t="s">
        <v>120</v>
      </c>
      <c r="N129" s="11" t="s">
        <v>234</v>
      </c>
      <c r="O129" s="11" t="s">
        <v>368</v>
      </c>
      <c r="P129" s="11" t="s">
        <v>238</v>
      </c>
      <c r="Q129" s="11" t="s">
        <v>120</v>
      </c>
      <c r="R129" s="839"/>
      <c r="S129" s="839"/>
      <c r="T129" s="839"/>
      <c r="U129" s="11"/>
      <c r="V129" s="11"/>
      <c r="W129" s="839"/>
    </row>
    <row r="130" spans="1:23" x14ac:dyDescent="0.25">
      <c r="A130" s="13" t="s">
        <v>139</v>
      </c>
      <c r="B130" s="4"/>
      <c r="C130" s="64"/>
      <c r="D130" s="64"/>
      <c r="E130" s="64"/>
      <c r="F130" s="185">
        <f>'Percent-Soil-Carbon-Content'!I4*'Soil-errosion2'!I4</f>
        <v>0</v>
      </c>
      <c r="G130" s="185">
        <f>'Percent-Soil-Carbon-Content'!T4*'Soil-errosion2'!U4</f>
        <v>0</v>
      </c>
      <c r="H130" s="185">
        <f>'Percent-Soil-Carbon-Content'!AE4*'Soil-errosion2'!AG4</f>
        <v>0</v>
      </c>
      <c r="I130" s="95">
        <f>SUMPRODUCT(F130:H130,$C$32:$E$32)</f>
        <v>0</v>
      </c>
      <c r="J130" s="185">
        <f>F130</f>
        <v>0</v>
      </c>
      <c r="K130" s="185">
        <f t="shared" ref="K130:L130" si="144">G130</f>
        <v>0</v>
      </c>
      <c r="L130" s="185">
        <f t="shared" si="144"/>
        <v>0</v>
      </c>
      <c r="M130" s="185">
        <f>SUMPRODUCT(J130:L130,C62:E62)</f>
        <v>0</v>
      </c>
      <c r="N130" s="69">
        <f>J130*C32*$B32</f>
        <v>0</v>
      </c>
      <c r="O130" s="69">
        <f>K130*D32*$B32</f>
        <v>0</v>
      </c>
      <c r="P130" s="69">
        <f>L130*E32*$B32</f>
        <v>0</v>
      </c>
      <c r="Q130" s="69">
        <f>SUM(N130:P130)</f>
        <v>0</v>
      </c>
      <c r="R130" s="346">
        <v>0</v>
      </c>
      <c r="S130" s="23">
        <f>Q130+R130</f>
        <v>0</v>
      </c>
      <c r="T130" s="38">
        <f>S130*$D$122</f>
        <v>0</v>
      </c>
      <c r="U130" s="9">
        <v>0</v>
      </c>
      <c r="V130" s="9">
        <v>0</v>
      </c>
      <c r="W130" s="38">
        <f t="shared" ref="W130:W154" si="145">B130+T130+U130+V130</f>
        <v>0</v>
      </c>
    </row>
    <row r="131" spans="1:23" x14ac:dyDescent="0.25">
      <c r="A131" s="13" t="s">
        <v>140</v>
      </c>
      <c r="B131" s="4"/>
      <c r="C131" s="64"/>
      <c r="D131" s="64"/>
      <c r="E131" s="64"/>
      <c r="F131" s="185">
        <f>'Percent-Soil-Carbon-Content'!I5*'Soil-errosion2'!I5</f>
        <v>0</v>
      </c>
      <c r="G131" s="185">
        <f>'Percent-Soil-Carbon-Content'!T5*'Soil-errosion2'!U5</f>
        <v>0</v>
      </c>
      <c r="H131" s="185">
        <f>'Percent-Soil-Carbon-Content'!AE5*'Soil-errosion2'!AG5</f>
        <v>0</v>
      </c>
      <c r="I131" s="95">
        <f t="shared" ref="I131:I153" si="146">SUMPRODUCT(F131:H131,$C$32:$E$32)</f>
        <v>0</v>
      </c>
      <c r="J131" s="185">
        <f t="shared" ref="J131:J153" si="147">F131</f>
        <v>0</v>
      </c>
      <c r="K131" s="185">
        <f t="shared" ref="K131:K153" si="148">G131</f>
        <v>0</v>
      </c>
      <c r="L131" s="185">
        <f t="shared" ref="L131:L153" si="149">H131</f>
        <v>0</v>
      </c>
      <c r="M131" s="185">
        <f t="shared" ref="M131:M153" si="150">SUMPRODUCT(J131:L131,C63:E63)</f>
        <v>0</v>
      </c>
      <c r="N131" s="69">
        <f t="shared" ref="N131:P131" si="151">J131*C33*$B33</f>
        <v>0</v>
      </c>
      <c r="O131" s="69">
        <f t="shared" si="151"/>
        <v>0</v>
      </c>
      <c r="P131" s="69">
        <f t="shared" si="151"/>
        <v>0</v>
      </c>
      <c r="Q131" s="69">
        <f t="shared" ref="Q131:Q153" si="152">SUM(N131:P131)</f>
        <v>0</v>
      </c>
      <c r="R131" s="346">
        <v>0</v>
      </c>
      <c r="S131" s="23">
        <f t="shared" ref="S131:S153" si="153">Q131+R131</f>
        <v>0</v>
      </c>
      <c r="T131" s="38">
        <f t="shared" ref="T131:T153" si="154">S131*$D$122</f>
        <v>0</v>
      </c>
      <c r="U131" s="9">
        <v>0</v>
      </c>
      <c r="V131" s="9">
        <v>0</v>
      </c>
      <c r="W131" s="38">
        <f t="shared" ref="W131:W153" si="155">B131+T131+U131+V131</f>
        <v>0</v>
      </c>
    </row>
    <row r="132" spans="1:23" x14ac:dyDescent="0.25">
      <c r="A132" s="13" t="s">
        <v>141</v>
      </c>
      <c r="B132" s="4"/>
      <c r="C132" s="64"/>
      <c r="D132" s="64"/>
      <c r="E132" s="64"/>
      <c r="F132" s="185">
        <f>'Percent-Soil-Carbon-Content'!I6*'Soil-errosion2'!I6</f>
        <v>0</v>
      </c>
      <c r="G132" s="185">
        <f>'Percent-Soil-Carbon-Content'!T6*'Soil-errosion2'!U6</f>
        <v>0</v>
      </c>
      <c r="H132" s="185">
        <f>'Percent-Soil-Carbon-Content'!AE6*'Soil-errosion2'!AG6</f>
        <v>0</v>
      </c>
      <c r="I132" s="95">
        <f t="shared" si="146"/>
        <v>0</v>
      </c>
      <c r="J132" s="185">
        <f t="shared" si="147"/>
        <v>0</v>
      </c>
      <c r="K132" s="185">
        <f t="shared" si="148"/>
        <v>0</v>
      </c>
      <c r="L132" s="185">
        <f t="shared" si="149"/>
        <v>0</v>
      </c>
      <c r="M132" s="185">
        <f t="shared" si="150"/>
        <v>0</v>
      </c>
      <c r="N132" s="69">
        <f t="shared" ref="N132:P132" si="156">J132*C34*$B34</f>
        <v>0</v>
      </c>
      <c r="O132" s="69">
        <f t="shared" si="156"/>
        <v>0</v>
      </c>
      <c r="P132" s="69">
        <f t="shared" si="156"/>
        <v>0</v>
      </c>
      <c r="Q132" s="69">
        <f t="shared" si="152"/>
        <v>0</v>
      </c>
      <c r="R132" s="346">
        <v>0</v>
      </c>
      <c r="S132" s="23">
        <f t="shared" si="153"/>
        <v>0</v>
      </c>
      <c r="T132" s="38">
        <f t="shared" si="154"/>
        <v>0</v>
      </c>
      <c r="U132" s="9">
        <v>0</v>
      </c>
      <c r="V132" s="9">
        <v>0</v>
      </c>
      <c r="W132" s="38">
        <f t="shared" si="155"/>
        <v>0</v>
      </c>
    </row>
    <row r="133" spans="1:23" x14ac:dyDescent="0.25">
      <c r="A133" s="13" t="s">
        <v>142</v>
      </c>
      <c r="B133" s="4"/>
      <c r="C133" s="64"/>
      <c r="D133" s="64"/>
      <c r="E133" s="64"/>
      <c r="F133" s="185">
        <f>'Percent-Soil-Carbon-Content'!I7*'Soil-errosion2'!I7</f>
        <v>0</v>
      </c>
      <c r="G133" s="185">
        <f>'Percent-Soil-Carbon-Content'!T7*'Soil-errosion2'!U7</f>
        <v>0</v>
      </c>
      <c r="H133" s="185">
        <f>'Percent-Soil-Carbon-Content'!AE7*'Soil-errosion2'!AG7</f>
        <v>0</v>
      </c>
      <c r="I133" s="95">
        <f t="shared" si="146"/>
        <v>0</v>
      </c>
      <c r="J133" s="185">
        <f t="shared" si="147"/>
        <v>0</v>
      </c>
      <c r="K133" s="185">
        <f t="shared" si="148"/>
        <v>0</v>
      </c>
      <c r="L133" s="185">
        <f t="shared" si="149"/>
        <v>0</v>
      </c>
      <c r="M133" s="185">
        <f t="shared" si="150"/>
        <v>0</v>
      </c>
      <c r="N133" s="69">
        <f t="shared" ref="N133:P133" si="157">J133*C35*$B35</f>
        <v>0</v>
      </c>
      <c r="O133" s="69">
        <f t="shared" si="157"/>
        <v>0</v>
      </c>
      <c r="P133" s="69">
        <f t="shared" si="157"/>
        <v>0</v>
      </c>
      <c r="Q133" s="69">
        <f t="shared" si="152"/>
        <v>0</v>
      </c>
      <c r="R133" s="346">
        <v>0</v>
      </c>
      <c r="S133" s="23">
        <f t="shared" si="153"/>
        <v>0</v>
      </c>
      <c r="T133" s="38">
        <f t="shared" si="154"/>
        <v>0</v>
      </c>
      <c r="U133" s="9">
        <v>0</v>
      </c>
      <c r="V133" s="9">
        <v>0</v>
      </c>
      <c r="W133" s="38">
        <f t="shared" si="155"/>
        <v>0</v>
      </c>
    </row>
    <row r="134" spans="1:23" x14ac:dyDescent="0.25">
      <c r="A134" s="13" t="s">
        <v>143</v>
      </c>
      <c r="B134" s="4"/>
      <c r="C134" s="64"/>
      <c r="D134" s="64"/>
      <c r="E134" s="64"/>
      <c r="F134" s="185">
        <f>'Percent-Soil-Carbon-Content'!I8*'Soil-errosion2'!I8</f>
        <v>0</v>
      </c>
      <c r="G134" s="185">
        <f>'Percent-Soil-Carbon-Content'!T8*'Soil-errosion2'!U8</f>
        <v>0</v>
      </c>
      <c r="H134" s="185">
        <f>'Percent-Soil-Carbon-Content'!AE8*'Soil-errosion2'!AG8</f>
        <v>0</v>
      </c>
      <c r="I134" s="95">
        <f t="shared" si="146"/>
        <v>0</v>
      </c>
      <c r="J134" s="185">
        <f t="shared" si="147"/>
        <v>0</v>
      </c>
      <c r="K134" s="185">
        <f t="shared" si="148"/>
        <v>0</v>
      </c>
      <c r="L134" s="185">
        <f t="shared" si="149"/>
        <v>0</v>
      </c>
      <c r="M134" s="185">
        <f t="shared" si="150"/>
        <v>0</v>
      </c>
      <c r="N134" s="69">
        <f t="shared" ref="N134:P134" si="158">J134*C36*$B36</f>
        <v>0</v>
      </c>
      <c r="O134" s="69">
        <f t="shared" si="158"/>
        <v>0</v>
      </c>
      <c r="P134" s="69">
        <f t="shared" si="158"/>
        <v>0</v>
      </c>
      <c r="Q134" s="69">
        <f t="shared" si="152"/>
        <v>0</v>
      </c>
      <c r="R134" s="346">
        <v>0</v>
      </c>
      <c r="S134" s="23">
        <f t="shared" si="153"/>
        <v>0</v>
      </c>
      <c r="T134" s="38">
        <f t="shared" si="154"/>
        <v>0</v>
      </c>
      <c r="U134" s="9">
        <v>0</v>
      </c>
      <c r="V134" s="9">
        <v>0</v>
      </c>
      <c r="W134" s="38">
        <f t="shared" si="155"/>
        <v>0</v>
      </c>
    </row>
    <row r="135" spans="1:23" x14ac:dyDescent="0.25">
      <c r="A135" s="13" t="s">
        <v>144</v>
      </c>
      <c r="B135" s="4"/>
      <c r="C135" s="64"/>
      <c r="D135" s="64"/>
      <c r="E135" s="64"/>
      <c r="F135" s="185">
        <f>'Percent-Soil-Carbon-Content'!I9*'Soil-errosion2'!I9</f>
        <v>0</v>
      </c>
      <c r="G135" s="185">
        <f>'Percent-Soil-Carbon-Content'!T9*'Soil-errosion2'!U9</f>
        <v>0</v>
      </c>
      <c r="H135" s="185">
        <f>'Percent-Soil-Carbon-Content'!AE9*'Soil-errosion2'!AG9</f>
        <v>0</v>
      </c>
      <c r="I135" s="95">
        <f t="shared" si="146"/>
        <v>0</v>
      </c>
      <c r="J135" s="185">
        <f t="shared" si="147"/>
        <v>0</v>
      </c>
      <c r="K135" s="185">
        <f t="shared" si="148"/>
        <v>0</v>
      </c>
      <c r="L135" s="185">
        <f t="shared" si="149"/>
        <v>0</v>
      </c>
      <c r="M135" s="185">
        <f t="shared" si="150"/>
        <v>0</v>
      </c>
      <c r="N135" s="69">
        <f t="shared" ref="N135:P135" si="159">J135*C37*$B37</f>
        <v>0</v>
      </c>
      <c r="O135" s="69">
        <f t="shared" si="159"/>
        <v>0</v>
      </c>
      <c r="P135" s="69">
        <f t="shared" si="159"/>
        <v>0</v>
      </c>
      <c r="Q135" s="69">
        <f t="shared" si="152"/>
        <v>0</v>
      </c>
      <c r="R135" s="346">
        <v>0</v>
      </c>
      <c r="S135" s="23">
        <f t="shared" si="153"/>
        <v>0</v>
      </c>
      <c r="T135" s="38">
        <f t="shared" si="154"/>
        <v>0</v>
      </c>
      <c r="U135" s="9">
        <v>0</v>
      </c>
      <c r="V135" s="9">
        <v>0</v>
      </c>
      <c r="W135" s="38">
        <f t="shared" si="155"/>
        <v>0</v>
      </c>
    </row>
    <row r="136" spans="1:23" x14ac:dyDescent="0.25">
      <c r="A136" s="13" t="s">
        <v>145</v>
      </c>
      <c r="B136" s="4"/>
      <c r="C136" s="64"/>
      <c r="D136" s="64"/>
      <c r="E136" s="64"/>
      <c r="F136" s="185">
        <f>'Percent-Soil-Carbon-Content'!I10*'Soil-errosion2'!I10</f>
        <v>0</v>
      </c>
      <c r="G136" s="185">
        <f>'Percent-Soil-Carbon-Content'!T10*'Soil-errosion2'!U10</f>
        <v>0</v>
      </c>
      <c r="H136" s="185">
        <f>'Percent-Soil-Carbon-Content'!AE10*'Soil-errosion2'!AG10</f>
        <v>0</v>
      </c>
      <c r="I136" s="95">
        <f t="shared" si="146"/>
        <v>0</v>
      </c>
      <c r="J136" s="185">
        <f t="shared" si="147"/>
        <v>0</v>
      </c>
      <c r="K136" s="185">
        <f t="shared" si="148"/>
        <v>0</v>
      </c>
      <c r="L136" s="185">
        <f t="shared" si="149"/>
        <v>0</v>
      </c>
      <c r="M136" s="185">
        <f t="shared" si="150"/>
        <v>0</v>
      </c>
      <c r="N136" s="69">
        <f t="shared" ref="N136:P136" si="160">J136*C38*$B38</f>
        <v>0</v>
      </c>
      <c r="O136" s="69">
        <f t="shared" si="160"/>
        <v>0</v>
      </c>
      <c r="P136" s="69">
        <f t="shared" si="160"/>
        <v>0</v>
      </c>
      <c r="Q136" s="69">
        <f t="shared" si="152"/>
        <v>0</v>
      </c>
      <c r="R136" s="346">
        <v>0</v>
      </c>
      <c r="S136" s="23">
        <f t="shared" si="153"/>
        <v>0</v>
      </c>
      <c r="T136" s="38">
        <f t="shared" si="154"/>
        <v>0</v>
      </c>
      <c r="U136" s="9">
        <v>0</v>
      </c>
      <c r="V136" s="9">
        <v>0</v>
      </c>
      <c r="W136" s="38">
        <f t="shared" si="155"/>
        <v>0</v>
      </c>
    </row>
    <row r="137" spans="1:23" x14ac:dyDescent="0.25">
      <c r="A137" s="13" t="s">
        <v>146</v>
      </c>
      <c r="B137" s="4"/>
      <c r="C137" s="64"/>
      <c r="D137" s="64"/>
      <c r="E137" s="64"/>
      <c r="F137" s="185">
        <f>'Percent-Soil-Carbon-Content'!I11*'Soil-errosion2'!I11</f>
        <v>0</v>
      </c>
      <c r="G137" s="185">
        <f>'Percent-Soil-Carbon-Content'!T11*'Soil-errosion2'!U11</f>
        <v>0</v>
      </c>
      <c r="H137" s="185">
        <f>'Percent-Soil-Carbon-Content'!AE11*'Soil-errosion2'!AG11</f>
        <v>0</v>
      </c>
      <c r="I137" s="95">
        <f t="shared" si="146"/>
        <v>0</v>
      </c>
      <c r="J137" s="185">
        <f t="shared" si="147"/>
        <v>0</v>
      </c>
      <c r="K137" s="185">
        <f t="shared" si="148"/>
        <v>0</v>
      </c>
      <c r="L137" s="185">
        <f t="shared" si="149"/>
        <v>0</v>
      </c>
      <c r="M137" s="185">
        <f t="shared" si="150"/>
        <v>0</v>
      </c>
      <c r="N137" s="69">
        <f t="shared" ref="N137:P137" si="161">J137*C39*$B39</f>
        <v>0</v>
      </c>
      <c r="O137" s="69">
        <f t="shared" si="161"/>
        <v>0</v>
      </c>
      <c r="P137" s="69">
        <f t="shared" si="161"/>
        <v>0</v>
      </c>
      <c r="Q137" s="69">
        <f t="shared" si="152"/>
        <v>0</v>
      </c>
      <c r="R137" s="346">
        <v>0</v>
      </c>
      <c r="S137" s="23">
        <f t="shared" si="153"/>
        <v>0</v>
      </c>
      <c r="T137" s="38">
        <f t="shared" si="154"/>
        <v>0</v>
      </c>
      <c r="U137" s="9">
        <v>0</v>
      </c>
      <c r="V137" s="9">
        <v>0</v>
      </c>
      <c r="W137" s="38">
        <f t="shared" si="155"/>
        <v>0</v>
      </c>
    </row>
    <row r="138" spans="1:23" x14ac:dyDescent="0.25">
      <c r="A138" s="13" t="s">
        <v>147</v>
      </c>
      <c r="B138" s="4"/>
      <c r="C138" s="64"/>
      <c r="D138" s="64"/>
      <c r="E138" s="64"/>
      <c r="F138" s="185">
        <f>'Percent-Soil-Carbon-Content'!I12*'Soil-errosion2'!I12</f>
        <v>0</v>
      </c>
      <c r="G138" s="185">
        <f>'Percent-Soil-Carbon-Content'!T12*'Soil-errosion2'!U12</f>
        <v>0</v>
      </c>
      <c r="H138" s="185">
        <f>'Percent-Soil-Carbon-Content'!AE12*'Soil-errosion2'!AG12</f>
        <v>0</v>
      </c>
      <c r="I138" s="95">
        <f t="shared" si="146"/>
        <v>0</v>
      </c>
      <c r="J138" s="185">
        <f t="shared" si="147"/>
        <v>0</v>
      </c>
      <c r="K138" s="185">
        <f t="shared" si="148"/>
        <v>0</v>
      </c>
      <c r="L138" s="185">
        <f t="shared" si="149"/>
        <v>0</v>
      </c>
      <c r="M138" s="185">
        <f t="shared" si="150"/>
        <v>0</v>
      </c>
      <c r="N138" s="69">
        <f t="shared" ref="N138:P138" si="162">J138*C40*$B40</f>
        <v>0</v>
      </c>
      <c r="O138" s="69">
        <f t="shared" si="162"/>
        <v>0</v>
      </c>
      <c r="P138" s="69">
        <f t="shared" si="162"/>
        <v>0</v>
      </c>
      <c r="Q138" s="69">
        <f t="shared" si="152"/>
        <v>0</v>
      </c>
      <c r="R138" s="346">
        <v>0</v>
      </c>
      <c r="S138" s="23">
        <f t="shared" si="153"/>
        <v>0</v>
      </c>
      <c r="T138" s="38">
        <f t="shared" si="154"/>
        <v>0</v>
      </c>
      <c r="U138" s="9">
        <v>0</v>
      </c>
      <c r="V138" s="9">
        <v>0</v>
      </c>
      <c r="W138" s="38">
        <f t="shared" si="155"/>
        <v>0</v>
      </c>
    </row>
    <row r="139" spans="1:23" x14ac:dyDescent="0.25">
      <c r="A139" s="13" t="s">
        <v>148</v>
      </c>
      <c r="B139" s="4"/>
      <c r="C139" s="64"/>
      <c r="D139" s="64"/>
      <c r="E139" s="64"/>
      <c r="F139" s="185">
        <f>'Percent-Soil-Carbon-Content'!I13*'Soil-errosion2'!I13</f>
        <v>0</v>
      </c>
      <c r="G139" s="185">
        <f>'Percent-Soil-Carbon-Content'!T13*'Soil-errosion2'!U13</f>
        <v>0</v>
      </c>
      <c r="H139" s="185">
        <f>'Percent-Soil-Carbon-Content'!AE13*'Soil-errosion2'!AG13</f>
        <v>0</v>
      </c>
      <c r="I139" s="95">
        <f t="shared" si="146"/>
        <v>0</v>
      </c>
      <c r="J139" s="185">
        <f t="shared" si="147"/>
        <v>0</v>
      </c>
      <c r="K139" s="185">
        <f t="shared" si="148"/>
        <v>0</v>
      </c>
      <c r="L139" s="185">
        <f t="shared" si="149"/>
        <v>0</v>
      </c>
      <c r="M139" s="185">
        <f t="shared" si="150"/>
        <v>0</v>
      </c>
      <c r="N139" s="69">
        <f t="shared" ref="N139:P139" si="163">J139*C41*$B41</f>
        <v>0</v>
      </c>
      <c r="O139" s="69">
        <f t="shared" si="163"/>
        <v>0</v>
      </c>
      <c r="P139" s="69">
        <f t="shared" si="163"/>
        <v>0</v>
      </c>
      <c r="Q139" s="69">
        <f t="shared" si="152"/>
        <v>0</v>
      </c>
      <c r="R139" s="346">
        <v>0</v>
      </c>
      <c r="S139" s="23">
        <f t="shared" si="153"/>
        <v>0</v>
      </c>
      <c r="T139" s="38">
        <f t="shared" si="154"/>
        <v>0</v>
      </c>
      <c r="U139" s="9">
        <v>0</v>
      </c>
      <c r="V139" s="9">
        <v>0</v>
      </c>
      <c r="W139" s="38">
        <f t="shared" si="155"/>
        <v>0</v>
      </c>
    </row>
    <row r="140" spans="1:23" x14ac:dyDescent="0.25">
      <c r="A140" s="13" t="s">
        <v>149</v>
      </c>
      <c r="B140" s="4"/>
      <c r="C140" s="64"/>
      <c r="D140" s="64"/>
      <c r="E140" s="64"/>
      <c r="F140" s="185">
        <f>'Percent-Soil-Carbon-Content'!I14*'Soil-errosion2'!I14</f>
        <v>0</v>
      </c>
      <c r="G140" s="185">
        <f>'Percent-Soil-Carbon-Content'!T14*'Soil-errosion2'!U14</f>
        <v>0</v>
      </c>
      <c r="H140" s="185">
        <f>'Percent-Soil-Carbon-Content'!AE14*'Soil-errosion2'!AG14</f>
        <v>0</v>
      </c>
      <c r="I140" s="95">
        <f t="shared" si="146"/>
        <v>0</v>
      </c>
      <c r="J140" s="185">
        <f t="shared" si="147"/>
        <v>0</v>
      </c>
      <c r="K140" s="185">
        <f t="shared" si="148"/>
        <v>0</v>
      </c>
      <c r="L140" s="185">
        <f t="shared" si="149"/>
        <v>0</v>
      </c>
      <c r="M140" s="185">
        <f t="shared" si="150"/>
        <v>0</v>
      </c>
      <c r="N140" s="69">
        <f t="shared" ref="N140:P140" si="164">J140*C42*$B42</f>
        <v>0</v>
      </c>
      <c r="O140" s="69">
        <f t="shared" si="164"/>
        <v>0</v>
      </c>
      <c r="P140" s="69">
        <f t="shared" si="164"/>
        <v>0</v>
      </c>
      <c r="Q140" s="69">
        <f t="shared" si="152"/>
        <v>0</v>
      </c>
      <c r="R140" s="346">
        <v>0</v>
      </c>
      <c r="S140" s="23">
        <f t="shared" si="153"/>
        <v>0</v>
      </c>
      <c r="T140" s="38">
        <f t="shared" si="154"/>
        <v>0</v>
      </c>
      <c r="U140" s="9">
        <v>0</v>
      </c>
      <c r="V140" s="9">
        <v>0</v>
      </c>
      <c r="W140" s="38">
        <f t="shared" si="155"/>
        <v>0</v>
      </c>
    </row>
    <row r="141" spans="1:23" x14ac:dyDescent="0.25">
      <c r="A141" s="13" t="s">
        <v>150</v>
      </c>
      <c r="B141" s="4"/>
      <c r="C141" s="64"/>
      <c r="D141" s="64"/>
      <c r="E141" s="64"/>
      <c r="F141" s="185">
        <f>'Percent-Soil-Carbon-Content'!I15*'Soil-errosion2'!I15</f>
        <v>0</v>
      </c>
      <c r="G141" s="185">
        <f>'Percent-Soil-Carbon-Content'!T15*'Soil-errosion2'!U15</f>
        <v>0</v>
      </c>
      <c r="H141" s="185">
        <f>'Percent-Soil-Carbon-Content'!AE15*'Soil-errosion2'!AG15</f>
        <v>0</v>
      </c>
      <c r="I141" s="95">
        <f t="shared" si="146"/>
        <v>0</v>
      </c>
      <c r="J141" s="185">
        <f t="shared" si="147"/>
        <v>0</v>
      </c>
      <c r="K141" s="185">
        <f t="shared" si="148"/>
        <v>0</v>
      </c>
      <c r="L141" s="185">
        <f t="shared" si="149"/>
        <v>0</v>
      </c>
      <c r="M141" s="185">
        <f t="shared" si="150"/>
        <v>0</v>
      </c>
      <c r="N141" s="69">
        <f t="shared" ref="N141:P141" si="165">J141*C43*$B43</f>
        <v>0</v>
      </c>
      <c r="O141" s="69">
        <f t="shared" si="165"/>
        <v>0</v>
      </c>
      <c r="P141" s="69">
        <f t="shared" si="165"/>
        <v>0</v>
      </c>
      <c r="Q141" s="69">
        <f t="shared" si="152"/>
        <v>0</v>
      </c>
      <c r="R141" s="346">
        <v>0</v>
      </c>
      <c r="S141" s="23">
        <f t="shared" si="153"/>
        <v>0</v>
      </c>
      <c r="T141" s="38">
        <f t="shared" si="154"/>
        <v>0</v>
      </c>
      <c r="U141" s="9">
        <v>0</v>
      </c>
      <c r="V141" s="9">
        <v>0</v>
      </c>
      <c r="W141" s="38">
        <f t="shared" si="155"/>
        <v>0</v>
      </c>
    </row>
    <row r="142" spans="1:23" x14ac:dyDescent="0.25">
      <c r="A142" s="13" t="s">
        <v>151</v>
      </c>
      <c r="B142" s="4"/>
      <c r="C142" s="64"/>
      <c r="D142" s="64"/>
      <c r="E142" s="64"/>
      <c r="F142" s="185">
        <f>'Percent-Soil-Carbon-Content'!I16*'Soil-errosion2'!I16</f>
        <v>0</v>
      </c>
      <c r="G142" s="185">
        <f>'Percent-Soil-Carbon-Content'!T16*'Soil-errosion2'!U16</f>
        <v>0</v>
      </c>
      <c r="H142" s="185">
        <f>'Percent-Soil-Carbon-Content'!AE16*'Soil-errosion2'!AG16</f>
        <v>0</v>
      </c>
      <c r="I142" s="95">
        <f t="shared" si="146"/>
        <v>0</v>
      </c>
      <c r="J142" s="185">
        <f t="shared" si="147"/>
        <v>0</v>
      </c>
      <c r="K142" s="185">
        <f t="shared" si="148"/>
        <v>0</v>
      </c>
      <c r="L142" s="185">
        <f t="shared" si="149"/>
        <v>0</v>
      </c>
      <c r="M142" s="185">
        <f t="shared" si="150"/>
        <v>0</v>
      </c>
      <c r="N142" s="69">
        <f t="shared" ref="N142:P142" si="166">J142*C44*$B44</f>
        <v>0</v>
      </c>
      <c r="O142" s="69">
        <f t="shared" si="166"/>
        <v>0</v>
      </c>
      <c r="P142" s="69">
        <f t="shared" si="166"/>
        <v>0</v>
      </c>
      <c r="Q142" s="69">
        <f t="shared" si="152"/>
        <v>0</v>
      </c>
      <c r="R142" s="346">
        <v>0</v>
      </c>
      <c r="S142" s="23">
        <f t="shared" si="153"/>
        <v>0</v>
      </c>
      <c r="T142" s="38">
        <f t="shared" si="154"/>
        <v>0</v>
      </c>
      <c r="U142" s="9">
        <v>0</v>
      </c>
      <c r="V142" s="9">
        <v>0</v>
      </c>
      <c r="W142" s="38">
        <f t="shared" si="155"/>
        <v>0</v>
      </c>
    </row>
    <row r="143" spans="1:23" x14ac:dyDescent="0.25">
      <c r="A143" s="13" t="s">
        <v>152</v>
      </c>
      <c r="B143" s="4"/>
      <c r="C143" s="64"/>
      <c r="D143" s="64"/>
      <c r="E143" s="64"/>
      <c r="F143" s="185">
        <f>'Percent-Soil-Carbon-Content'!I17*'Soil-errosion2'!I17</f>
        <v>0</v>
      </c>
      <c r="G143" s="185">
        <f>'Percent-Soil-Carbon-Content'!T17*'Soil-errosion2'!U17</f>
        <v>0</v>
      </c>
      <c r="H143" s="185">
        <f>'Percent-Soil-Carbon-Content'!AE17*'Soil-errosion2'!AG17</f>
        <v>0</v>
      </c>
      <c r="I143" s="95">
        <f t="shared" si="146"/>
        <v>0</v>
      </c>
      <c r="J143" s="185">
        <f t="shared" si="147"/>
        <v>0</v>
      </c>
      <c r="K143" s="185">
        <f t="shared" si="148"/>
        <v>0</v>
      </c>
      <c r="L143" s="185">
        <f t="shared" si="149"/>
        <v>0</v>
      </c>
      <c r="M143" s="185">
        <f t="shared" si="150"/>
        <v>0</v>
      </c>
      <c r="N143" s="69">
        <f t="shared" ref="N143:P143" si="167">J143*C45*$B45</f>
        <v>0</v>
      </c>
      <c r="O143" s="69">
        <f t="shared" si="167"/>
        <v>0</v>
      </c>
      <c r="P143" s="69">
        <f t="shared" si="167"/>
        <v>0</v>
      </c>
      <c r="Q143" s="69">
        <f t="shared" si="152"/>
        <v>0</v>
      </c>
      <c r="R143" s="346">
        <v>0</v>
      </c>
      <c r="S143" s="23">
        <f t="shared" si="153"/>
        <v>0</v>
      </c>
      <c r="T143" s="38">
        <f t="shared" si="154"/>
        <v>0</v>
      </c>
      <c r="U143" s="9">
        <v>0</v>
      </c>
      <c r="V143" s="9">
        <v>0</v>
      </c>
      <c r="W143" s="38">
        <f t="shared" si="155"/>
        <v>0</v>
      </c>
    </row>
    <row r="144" spans="1:23" x14ac:dyDescent="0.25">
      <c r="A144" s="13" t="s">
        <v>153</v>
      </c>
      <c r="B144" s="4"/>
      <c r="C144" s="64"/>
      <c r="D144" s="64"/>
      <c r="E144" s="64"/>
      <c r="F144" s="185">
        <f>'Percent-Soil-Carbon-Content'!I18*'Soil-errosion2'!I18</f>
        <v>0</v>
      </c>
      <c r="G144" s="185">
        <f>'Percent-Soil-Carbon-Content'!T18*'Soil-errosion2'!U18</f>
        <v>0</v>
      </c>
      <c r="H144" s="185">
        <f>'Percent-Soil-Carbon-Content'!AE18*'Soil-errosion2'!AG18</f>
        <v>0</v>
      </c>
      <c r="I144" s="95">
        <f t="shared" si="146"/>
        <v>0</v>
      </c>
      <c r="J144" s="185">
        <f t="shared" si="147"/>
        <v>0</v>
      </c>
      <c r="K144" s="185">
        <f t="shared" si="148"/>
        <v>0</v>
      </c>
      <c r="L144" s="185">
        <f t="shared" si="149"/>
        <v>0</v>
      </c>
      <c r="M144" s="185">
        <f t="shared" si="150"/>
        <v>0</v>
      </c>
      <c r="N144" s="69">
        <f t="shared" ref="N144:P144" si="168">J144*C46*$B46</f>
        <v>0</v>
      </c>
      <c r="O144" s="69">
        <f t="shared" si="168"/>
        <v>0</v>
      </c>
      <c r="P144" s="69">
        <f t="shared" si="168"/>
        <v>0</v>
      </c>
      <c r="Q144" s="69">
        <f t="shared" si="152"/>
        <v>0</v>
      </c>
      <c r="R144" s="346">
        <v>0</v>
      </c>
      <c r="S144" s="23">
        <f t="shared" si="153"/>
        <v>0</v>
      </c>
      <c r="T144" s="38">
        <f t="shared" si="154"/>
        <v>0</v>
      </c>
      <c r="U144" s="9">
        <v>0</v>
      </c>
      <c r="V144" s="9">
        <v>0</v>
      </c>
      <c r="W144" s="38">
        <f t="shared" si="155"/>
        <v>0</v>
      </c>
    </row>
    <row r="145" spans="1:24" x14ac:dyDescent="0.25">
      <c r="A145" s="13" t="s">
        <v>154</v>
      </c>
      <c r="B145" s="4"/>
      <c r="C145" s="64"/>
      <c r="D145" s="64"/>
      <c r="E145" s="64"/>
      <c r="F145" s="185">
        <f>'Percent-Soil-Carbon-Content'!I19*'Soil-errosion2'!I19</f>
        <v>0</v>
      </c>
      <c r="G145" s="185">
        <f>'Percent-Soil-Carbon-Content'!T19*'Soil-errosion2'!U19</f>
        <v>0</v>
      </c>
      <c r="H145" s="185">
        <f>'Percent-Soil-Carbon-Content'!AE19*'Soil-errosion2'!AG19</f>
        <v>0</v>
      </c>
      <c r="I145" s="95">
        <f t="shared" si="146"/>
        <v>0</v>
      </c>
      <c r="J145" s="185">
        <f t="shared" si="147"/>
        <v>0</v>
      </c>
      <c r="K145" s="185">
        <f t="shared" si="148"/>
        <v>0</v>
      </c>
      <c r="L145" s="185">
        <f t="shared" si="149"/>
        <v>0</v>
      </c>
      <c r="M145" s="185">
        <f t="shared" si="150"/>
        <v>0</v>
      </c>
      <c r="N145" s="69">
        <f t="shared" ref="N145:P145" si="169">J145*C47*$B47</f>
        <v>0</v>
      </c>
      <c r="O145" s="69">
        <f t="shared" si="169"/>
        <v>0</v>
      </c>
      <c r="P145" s="69">
        <f t="shared" si="169"/>
        <v>0</v>
      </c>
      <c r="Q145" s="69">
        <f t="shared" si="152"/>
        <v>0</v>
      </c>
      <c r="R145" s="346">
        <v>0</v>
      </c>
      <c r="S145" s="23">
        <f t="shared" si="153"/>
        <v>0</v>
      </c>
      <c r="T145" s="38">
        <f t="shared" si="154"/>
        <v>0</v>
      </c>
      <c r="U145" s="9">
        <v>0</v>
      </c>
      <c r="V145" s="9">
        <v>0</v>
      </c>
      <c r="W145" s="38">
        <f t="shared" si="155"/>
        <v>0</v>
      </c>
    </row>
    <row r="146" spans="1:24" x14ac:dyDescent="0.25">
      <c r="A146" s="13" t="s">
        <v>155</v>
      </c>
      <c r="B146" s="4"/>
      <c r="C146" s="64"/>
      <c r="D146" s="64"/>
      <c r="E146" s="64"/>
      <c r="F146" s="185">
        <f>'Percent-Soil-Carbon-Content'!I20*'Soil-errosion2'!I20</f>
        <v>0</v>
      </c>
      <c r="G146" s="185">
        <f>'Percent-Soil-Carbon-Content'!T20*'Soil-errosion2'!U20</f>
        <v>0</v>
      </c>
      <c r="H146" s="185">
        <f>'Percent-Soil-Carbon-Content'!AE20*'Soil-errosion2'!AG20</f>
        <v>0</v>
      </c>
      <c r="I146" s="95">
        <f t="shared" si="146"/>
        <v>0</v>
      </c>
      <c r="J146" s="185">
        <f t="shared" si="147"/>
        <v>0</v>
      </c>
      <c r="K146" s="185">
        <f t="shared" si="148"/>
        <v>0</v>
      </c>
      <c r="L146" s="185">
        <f t="shared" si="149"/>
        <v>0</v>
      </c>
      <c r="M146" s="185">
        <f t="shared" si="150"/>
        <v>0</v>
      </c>
      <c r="N146" s="69">
        <f t="shared" ref="N146:P146" si="170">J146*C48*$B48</f>
        <v>0</v>
      </c>
      <c r="O146" s="69">
        <f t="shared" si="170"/>
        <v>0</v>
      </c>
      <c r="P146" s="69">
        <f t="shared" si="170"/>
        <v>0</v>
      </c>
      <c r="Q146" s="69">
        <f t="shared" si="152"/>
        <v>0</v>
      </c>
      <c r="R146" s="346">
        <v>0</v>
      </c>
      <c r="S146" s="23">
        <f t="shared" si="153"/>
        <v>0</v>
      </c>
      <c r="T146" s="38">
        <f t="shared" si="154"/>
        <v>0</v>
      </c>
      <c r="U146" s="9">
        <v>0</v>
      </c>
      <c r="V146" s="9">
        <v>0</v>
      </c>
      <c r="W146" s="38">
        <f t="shared" si="155"/>
        <v>0</v>
      </c>
    </row>
    <row r="147" spans="1:24" x14ac:dyDescent="0.25">
      <c r="A147" s="13" t="s">
        <v>156</v>
      </c>
      <c r="B147" s="4"/>
      <c r="C147" s="64"/>
      <c r="D147" s="64"/>
      <c r="E147" s="64"/>
      <c r="F147" s="185">
        <f>'Percent-Soil-Carbon-Content'!I21*'Soil-errosion2'!I21</f>
        <v>0</v>
      </c>
      <c r="G147" s="185">
        <f>'Percent-Soil-Carbon-Content'!T21*'Soil-errosion2'!U21</f>
        <v>0</v>
      </c>
      <c r="H147" s="185">
        <f>'Percent-Soil-Carbon-Content'!AE21*'Soil-errosion2'!AG21</f>
        <v>0</v>
      </c>
      <c r="I147" s="95">
        <f t="shared" si="146"/>
        <v>0</v>
      </c>
      <c r="J147" s="185">
        <f t="shared" si="147"/>
        <v>0</v>
      </c>
      <c r="K147" s="185">
        <f t="shared" si="148"/>
        <v>0</v>
      </c>
      <c r="L147" s="185">
        <f t="shared" si="149"/>
        <v>0</v>
      </c>
      <c r="M147" s="185">
        <f t="shared" si="150"/>
        <v>0</v>
      </c>
      <c r="N147" s="69">
        <f t="shared" ref="N147:P147" si="171">J147*C49*$B49</f>
        <v>0</v>
      </c>
      <c r="O147" s="69">
        <f t="shared" si="171"/>
        <v>0</v>
      </c>
      <c r="P147" s="69">
        <f t="shared" si="171"/>
        <v>0</v>
      </c>
      <c r="Q147" s="69">
        <f t="shared" si="152"/>
        <v>0</v>
      </c>
      <c r="R147" s="346">
        <v>0</v>
      </c>
      <c r="S147" s="23">
        <f t="shared" si="153"/>
        <v>0</v>
      </c>
      <c r="T147" s="38">
        <f t="shared" si="154"/>
        <v>0</v>
      </c>
      <c r="U147" s="9">
        <v>0</v>
      </c>
      <c r="V147" s="9">
        <v>0</v>
      </c>
      <c r="W147" s="38">
        <f t="shared" si="155"/>
        <v>0</v>
      </c>
    </row>
    <row r="148" spans="1:24" x14ac:dyDescent="0.25">
      <c r="A148" s="13" t="s">
        <v>157</v>
      </c>
      <c r="B148" s="4"/>
      <c r="C148" s="64"/>
      <c r="D148" s="64"/>
      <c r="E148" s="64"/>
      <c r="F148" s="185">
        <f>'Percent-Soil-Carbon-Content'!I22*'Soil-errosion2'!I22</f>
        <v>0</v>
      </c>
      <c r="G148" s="185">
        <f>'Percent-Soil-Carbon-Content'!T22*'Soil-errosion2'!U22</f>
        <v>0</v>
      </c>
      <c r="H148" s="185">
        <f>'Percent-Soil-Carbon-Content'!AE22*'Soil-errosion2'!AG22</f>
        <v>0</v>
      </c>
      <c r="I148" s="95">
        <f t="shared" si="146"/>
        <v>0</v>
      </c>
      <c r="J148" s="185">
        <f t="shared" si="147"/>
        <v>0</v>
      </c>
      <c r="K148" s="185">
        <f t="shared" si="148"/>
        <v>0</v>
      </c>
      <c r="L148" s="185">
        <f t="shared" si="149"/>
        <v>0</v>
      </c>
      <c r="M148" s="185">
        <f t="shared" si="150"/>
        <v>0</v>
      </c>
      <c r="N148" s="69">
        <f t="shared" ref="N148:P148" si="172">J148*C50*$B50</f>
        <v>0</v>
      </c>
      <c r="O148" s="69">
        <f t="shared" si="172"/>
        <v>0</v>
      </c>
      <c r="P148" s="69">
        <f t="shared" si="172"/>
        <v>0</v>
      </c>
      <c r="Q148" s="69">
        <f t="shared" si="152"/>
        <v>0</v>
      </c>
      <c r="R148" s="346">
        <v>0</v>
      </c>
      <c r="S148" s="23">
        <f t="shared" si="153"/>
        <v>0</v>
      </c>
      <c r="T148" s="38">
        <f t="shared" si="154"/>
        <v>0</v>
      </c>
      <c r="U148" s="9">
        <v>0</v>
      </c>
      <c r="V148" s="9">
        <v>0</v>
      </c>
      <c r="W148" s="38">
        <f t="shared" si="155"/>
        <v>0</v>
      </c>
    </row>
    <row r="149" spans="1:24" x14ac:dyDescent="0.25">
      <c r="A149" s="13" t="s">
        <v>158</v>
      </c>
      <c r="B149" s="4"/>
      <c r="C149" s="64"/>
      <c r="D149" s="64"/>
      <c r="E149" s="64"/>
      <c r="F149" s="185">
        <f>'Percent-Soil-Carbon-Content'!I23*'Soil-errosion2'!I23</f>
        <v>0</v>
      </c>
      <c r="G149" s="185">
        <f>'Percent-Soil-Carbon-Content'!T23*'Soil-errosion2'!U23</f>
        <v>0</v>
      </c>
      <c r="H149" s="185">
        <f>'Percent-Soil-Carbon-Content'!AE23*'Soil-errosion2'!AG23</f>
        <v>0</v>
      </c>
      <c r="I149" s="95">
        <f t="shared" si="146"/>
        <v>0</v>
      </c>
      <c r="J149" s="185">
        <f t="shared" si="147"/>
        <v>0</v>
      </c>
      <c r="K149" s="185">
        <f t="shared" si="148"/>
        <v>0</v>
      </c>
      <c r="L149" s="185">
        <f t="shared" si="149"/>
        <v>0</v>
      </c>
      <c r="M149" s="185">
        <f t="shared" si="150"/>
        <v>0</v>
      </c>
      <c r="N149" s="69">
        <f t="shared" ref="N149:P149" si="173">J149*C51*$B51</f>
        <v>0</v>
      </c>
      <c r="O149" s="69">
        <f t="shared" si="173"/>
        <v>0</v>
      </c>
      <c r="P149" s="69">
        <f t="shared" si="173"/>
        <v>0</v>
      </c>
      <c r="Q149" s="69">
        <f t="shared" si="152"/>
        <v>0</v>
      </c>
      <c r="R149" s="346">
        <v>0</v>
      </c>
      <c r="S149" s="23">
        <f t="shared" si="153"/>
        <v>0</v>
      </c>
      <c r="T149" s="38">
        <f t="shared" si="154"/>
        <v>0</v>
      </c>
      <c r="U149" s="9">
        <v>0</v>
      </c>
      <c r="V149" s="9">
        <v>0</v>
      </c>
      <c r="W149" s="38">
        <f t="shared" si="155"/>
        <v>0</v>
      </c>
    </row>
    <row r="150" spans="1:24" x14ac:dyDescent="0.25">
      <c r="A150" s="13" t="s">
        <v>159</v>
      </c>
      <c r="B150" s="4"/>
      <c r="C150" s="64"/>
      <c r="D150" s="64"/>
      <c r="E150" s="64"/>
      <c r="F150" s="185">
        <f>'Percent-Soil-Carbon-Content'!I24*'Soil-errosion2'!I24</f>
        <v>0</v>
      </c>
      <c r="G150" s="185">
        <f>'Percent-Soil-Carbon-Content'!T24*'Soil-errosion2'!U24</f>
        <v>0</v>
      </c>
      <c r="H150" s="185">
        <f>'Percent-Soil-Carbon-Content'!AE24*'Soil-errosion2'!AG24</f>
        <v>0</v>
      </c>
      <c r="I150" s="95">
        <f t="shared" si="146"/>
        <v>0</v>
      </c>
      <c r="J150" s="185">
        <f t="shared" si="147"/>
        <v>0</v>
      </c>
      <c r="K150" s="185">
        <f t="shared" si="148"/>
        <v>0</v>
      </c>
      <c r="L150" s="185">
        <f t="shared" si="149"/>
        <v>0</v>
      </c>
      <c r="M150" s="185">
        <f t="shared" si="150"/>
        <v>0</v>
      </c>
      <c r="N150" s="69">
        <f t="shared" ref="N150:P150" si="174">J150*C52*$B52</f>
        <v>0</v>
      </c>
      <c r="O150" s="69">
        <f t="shared" si="174"/>
        <v>0</v>
      </c>
      <c r="P150" s="69">
        <f t="shared" si="174"/>
        <v>0</v>
      </c>
      <c r="Q150" s="69">
        <f t="shared" si="152"/>
        <v>0</v>
      </c>
      <c r="R150" s="346">
        <v>0</v>
      </c>
      <c r="S150" s="23">
        <f t="shared" si="153"/>
        <v>0</v>
      </c>
      <c r="T150" s="38">
        <f t="shared" si="154"/>
        <v>0</v>
      </c>
      <c r="U150" s="9">
        <v>0</v>
      </c>
      <c r="V150" s="9">
        <v>0</v>
      </c>
      <c r="W150" s="38">
        <f t="shared" si="155"/>
        <v>0</v>
      </c>
    </row>
    <row r="151" spans="1:24" x14ac:dyDescent="0.25">
      <c r="A151" s="13" t="s">
        <v>160</v>
      </c>
      <c r="B151" s="4"/>
      <c r="C151" s="64"/>
      <c r="D151" s="64"/>
      <c r="E151" s="64"/>
      <c r="F151" s="185">
        <f>'Percent-Soil-Carbon-Content'!I25*'Soil-errosion2'!I25</f>
        <v>0</v>
      </c>
      <c r="G151" s="185">
        <f>'Percent-Soil-Carbon-Content'!T25*'Soil-errosion2'!U25</f>
        <v>0</v>
      </c>
      <c r="H151" s="185">
        <f>'Percent-Soil-Carbon-Content'!AE25*'Soil-errosion2'!AG25</f>
        <v>0</v>
      </c>
      <c r="I151" s="95">
        <f t="shared" si="146"/>
        <v>0</v>
      </c>
      <c r="J151" s="185">
        <f t="shared" si="147"/>
        <v>0</v>
      </c>
      <c r="K151" s="185">
        <f t="shared" si="148"/>
        <v>0</v>
      </c>
      <c r="L151" s="185">
        <f t="shared" si="149"/>
        <v>0</v>
      </c>
      <c r="M151" s="185">
        <f t="shared" si="150"/>
        <v>0</v>
      </c>
      <c r="N151" s="69">
        <f t="shared" ref="N151:P151" si="175">J151*C53*$B53</f>
        <v>0</v>
      </c>
      <c r="O151" s="69">
        <f t="shared" si="175"/>
        <v>0</v>
      </c>
      <c r="P151" s="69">
        <f t="shared" si="175"/>
        <v>0</v>
      </c>
      <c r="Q151" s="69">
        <f t="shared" si="152"/>
        <v>0</v>
      </c>
      <c r="R151" s="346">
        <v>0</v>
      </c>
      <c r="S151" s="23">
        <f t="shared" si="153"/>
        <v>0</v>
      </c>
      <c r="T151" s="38">
        <f t="shared" si="154"/>
        <v>0</v>
      </c>
      <c r="U151" s="9">
        <v>0</v>
      </c>
      <c r="V151" s="9">
        <v>0</v>
      </c>
      <c r="W151" s="38">
        <f t="shared" si="155"/>
        <v>0</v>
      </c>
    </row>
    <row r="152" spans="1:24" x14ac:dyDescent="0.25">
      <c r="A152" s="13" t="s">
        <v>161</v>
      </c>
      <c r="B152" s="4"/>
      <c r="C152" s="64"/>
      <c r="D152" s="64"/>
      <c r="E152" s="64"/>
      <c r="F152" s="185">
        <f>'Percent-Soil-Carbon-Content'!I26*'Soil-errosion2'!I26</f>
        <v>0</v>
      </c>
      <c r="G152" s="185">
        <f>'Percent-Soil-Carbon-Content'!T26*'Soil-errosion2'!U26</f>
        <v>0</v>
      </c>
      <c r="H152" s="185">
        <f>'Percent-Soil-Carbon-Content'!AE26*'Soil-errosion2'!AG26</f>
        <v>0</v>
      </c>
      <c r="I152" s="95">
        <f t="shared" si="146"/>
        <v>0</v>
      </c>
      <c r="J152" s="185">
        <f t="shared" si="147"/>
        <v>0</v>
      </c>
      <c r="K152" s="185">
        <f t="shared" si="148"/>
        <v>0</v>
      </c>
      <c r="L152" s="185">
        <f t="shared" si="149"/>
        <v>0</v>
      </c>
      <c r="M152" s="185">
        <f t="shared" si="150"/>
        <v>0</v>
      </c>
      <c r="N152" s="69">
        <f t="shared" ref="N152:P152" si="176">J152*C54*$B54</f>
        <v>0</v>
      </c>
      <c r="O152" s="69">
        <f t="shared" si="176"/>
        <v>0</v>
      </c>
      <c r="P152" s="69">
        <f t="shared" si="176"/>
        <v>0</v>
      </c>
      <c r="Q152" s="69">
        <f t="shared" si="152"/>
        <v>0</v>
      </c>
      <c r="R152" s="346">
        <v>0</v>
      </c>
      <c r="S152" s="23">
        <f t="shared" si="153"/>
        <v>0</v>
      </c>
      <c r="T152" s="38">
        <f t="shared" si="154"/>
        <v>0</v>
      </c>
      <c r="U152" s="9">
        <v>0</v>
      </c>
      <c r="V152" s="9">
        <v>0</v>
      </c>
      <c r="W152" s="38">
        <f t="shared" si="155"/>
        <v>0</v>
      </c>
    </row>
    <row r="153" spans="1:24" x14ac:dyDescent="0.25">
      <c r="A153" s="13" t="s">
        <v>162</v>
      </c>
      <c r="B153" s="4"/>
      <c r="C153" s="64"/>
      <c r="D153" s="64"/>
      <c r="E153" s="64"/>
      <c r="F153" s="185">
        <f>'Percent-Soil-Carbon-Content'!I27*'Soil-errosion2'!I27</f>
        <v>0</v>
      </c>
      <c r="G153" s="185">
        <f>'Percent-Soil-Carbon-Content'!T27*'Soil-errosion2'!U27</f>
        <v>0</v>
      </c>
      <c r="H153" s="185">
        <f>'Percent-Soil-Carbon-Content'!AE27*'Soil-errosion2'!AG27</f>
        <v>0</v>
      </c>
      <c r="I153" s="95">
        <f t="shared" si="146"/>
        <v>0</v>
      </c>
      <c r="J153" s="185">
        <f t="shared" si="147"/>
        <v>0</v>
      </c>
      <c r="K153" s="185">
        <f t="shared" si="148"/>
        <v>0</v>
      </c>
      <c r="L153" s="185">
        <f t="shared" si="149"/>
        <v>0</v>
      </c>
      <c r="M153" s="185">
        <f t="shared" si="150"/>
        <v>0</v>
      </c>
      <c r="N153" s="69">
        <f t="shared" ref="N153:P153" si="177">J153*C55*$B55</f>
        <v>0</v>
      </c>
      <c r="O153" s="69">
        <f t="shared" si="177"/>
        <v>0</v>
      </c>
      <c r="P153" s="69">
        <f t="shared" si="177"/>
        <v>0</v>
      </c>
      <c r="Q153" s="69">
        <f t="shared" si="152"/>
        <v>0</v>
      </c>
      <c r="R153" s="346">
        <v>0</v>
      </c>
      <c r="S153" s="23">
        <f t="shared" si="153"/>
        <v>0</v>
      </c>
      <c r="T153" s="38">
        <f t="shared" si="154"/>
        <v>0</v>
      </c>
      <c r="U153" s="9">
        <v>0</v>
      </c>
      <c r="V153" s="9">
        <v>0</v>
      </c>
      <c r="W153" s="38">
        <f t="shared" si="155"/>
        <v>0</v>
      </c>
    </row>
    <row r="154" spans="1:24" s="1" customFormat="1" x14ac:dyDescent="0.25">
      <c r="A154" s="1" t="s">
        <v>163</v>
      </c>
      <c r="B154" s="10">
        <f>SUM(B130:B153)</f>
        <v>0</v>
      </c>
      <c r="C154" s="71" t="e">
        <f>SUMPRODUCT(C130:C153,$B$62:$B$85)/$B$86</f>
        <v>#DIV/0!</v>
      </c>
      <c r="D154" s="71" t="e">
        <f t="shared" ref="D154:L154" si="178">SUMPRODUCT(D130:D153,$B$62:$B$85)/$B$86</f>
        <v>#DIV/0!</v>
      </c>
      <c r="E154" s="71" t="e">
        <f t="shared" si="178"/>
        <v>#DIV/0!</v>
      </c>
      <c r="F154" s="590" t="e">
        <f t="shared" si="178"/>
        <v>#DIV/0!</v>
      </c>
      <c r="G154" s="590" t="e">
        <f t="shared" si="178"/>
        <v>#DIV/0!</v>
      </c>
      <c r="H154" s="590" t="e">
        <f t="shared" si="178"/>
        <v>#DIV/0!</v>
      </c>
      <c r="I154" s="71" t="e">
        <f t="shared" si="178"/>
        <v>#DIV/0!</v>
      </c>
      <c r="J154" s="590" t="e">
        <f t="shared" si="178"/>
        <v>#DIV/0!</v>
      </c>
      <c r="K154" s="590" t="e">
        <f t="shared" si="178"/>
        <v>#DIV/0!</v>
      </c>
      <c r="L154" s="590" t="e">
        <f t="shared" si="178"/>
        <v>#DIV/0!</v>
      </c>
      <c r="M154" s="590" t="e">
        <f>SUMPRODUCT(M130:M153,$B$62:$B$85)/$B$86</f>
        <v>#DIV/0!</v>
      </c>
      <c r="N154" s="23">
        <f>SUM(N130:N153)</f>
        <v>0</v>
      </c>
      <c r="O154" s="24">
        <f>SUM(O130:O153)</f>
        <v>0</v>
      </c>
      <c r="P154" s="24">
        <f>SUM(P130:P153)</f>
        <v>0</v>
      </c>
      <c r="Q154" s="24">
        <f t="shared" ref="Q154" si="179">SUM(N154:P154)</f>
        <v>0</v>
      </c>
      <c r="R154" s="135">
        <f>SUM(R130:R153)</f>
        <v>0</v>
      </c>
      <c r="S154" s="23">
        <f t="shared" ref="S154" si="180">Q154+R154</f>
        <v>0</v>
      </c>
      <c r="T154" s="24">
        <f t="shared" ref="T154" si="181">S154*$D$122</f>
        <v>0</v>
      </c>
      <c r="U154" s="10">
        <f t="shared" ref="U154:V154" si="182">SUM(U130:U153)</f>
        <v>0</v>
      </c>
      <c r="V154" s="10">
        <f t="shared" si="182"/>
        <v>0</v>
      </c>
      <c r="W154" s="38">
        <f t="shared" si="145"/>
        <v>0</v>
      </c>
      <c r="X154" s="591">
        <f>W154/'Summary-all-crops'!C3</f>
        <v>0</v>
      </c>
    </row>
    <row r="155" spans="1:24" x14ac:dyDescent="0.25">
      <c r="A155" s="1"/>
      <c r="S155" s="24" t="b">
        <f>SUM(S130:S153)=S154</f>
        <v>1</v>
      </c>
      <c r="T155" s="70"/>
    </row>
    <row r="156" spans="1:24" x14ac:dyDescent="0.25">
      <c r="A156" s="1"/>
      <c r="F156" s="2"/>
    </row>
    <row r="157" spans="1:24" x14ac:dyDescent="0.25">
      <c r="A157" s="1" t="s">
        <v>369</v>
      </c>
    </row>
    <row r="159" spans="1:24" ht="42.6" customHeight="1" x14ac:dyDescent="0.25">
      <c r="A159" s="838" t="s">
        <v>101</v>
      </c>
      <c r="B159" s="839" t="s">
        <v>370</v>
      </c>
      <c r="C159" s="839"/>
      <c r="D159" s="839"/>
      <c r="E159" s="839"/>
    </row>
    <row r="160" spans="1:24" x14ac:dyDescent="0.25">
      <c r="A160" s="838"/>
      <c r="F160" s="11"/>
    </row>
    <row r="161" spans="1:6" x14ac:dyDescent="0.25">
      <c r="A161" s="838"/>
      <c r="B161" s="1" t="s">
        <v>136</v>
      </c>
      <c r="C161" s="1" t="s">
        <v>137</v>
      </c>
      <c r="D161" s="1" t="s">
        <v>289</v>
      </c>
      <c r="E161" s="1" t="s">
        <v>120</v>
      </c>
      <c r="F161" s="11"/>
    </row>
    <row r="162" spans="1:6" x14ac:dyDescent="0.25">
      <c r="A162" s="13" t="s">
        <v>139</v>
      </c>
      <c r="B162" s="45">
        <f>$D$21*(K32)+$E$21*(K62)</f>
        <v>0</v>
      </c>
      <c r="C162" s="45">
        <f>$D$21*(L32)+$E$21*(L62)</f>
        <v>0</v>
      </c>
      <c r="D162" s="45">
        <f>$D$21*(M32)+$E$21*(M62)</f>
        <v>0</v>
      </c>
      <c r="E162" s="23">
        <f>SUM(B162:D162)</f>
        <v>0</v>
      </c>
    </row>
    <row r="163" spans="1:6" x14ac:dyDescent="0.25">
      <c r="A163" s="13" t="s">
        <v>140</v>
      </c>
      <c r="B163" s="45">
        <f t="shared" ref="B163:D163" si="183">$D$21*(K33)+$E$21*(K63)</f>
        <v>0</v>
      </c>
      <c r="C163" s="45">
        <f t="shared" si="183"/>
        <v>0</v>
      </c>
      <c r="D163" s="45">
        <f t="shared" si="183"/>
        <v>0</v>
      </c>
      <c r="E163" s="23">
        <f t="shared" ref="E163:E185" si="184">SUM(B163:D163)</f>
        <v>0</v>
      </c>
    </row>
    <row r="164" spans="1:6" x14ac:dyDescent="0.25">
      <c r="A164" s="13" t="s">
        <v>141</v>
      </c>
      <c r="B164" s="45">
        <f t="shared" ref="B164:D164" si="185">$D$21*(K34)+$E$21*(K64)</f>
        <v>0</v>
      </c>
      <c r="C164" s="45">
        <f t="shared" si="185"/>
        <v>0</v>
      </c>
      <c r="D164" s="45">
        <f t="shared" si="185"/>
        <v>0</v>
      </c>
      <c r="E164" s="23">
        <f t="shared" si="184"/>
        <v>0</v>
      </c>
    </row>
    <row r="165" spans="1:6" x14ac:dyDescent="0.25">
      <c r="A165" s="13" t="s">
        <v>142</v>
      </c>
      <c r="B165" s="45">
        <f t="shared" ref="B165:D165" si="186">$D$21*(K35)+$E$21*(K65)</f>
        <v>0</v>
      </c>
      <c r="C165" s="45">
        <f t="shared" si="186"/>
        <v>0</v>
      </c>
      <c r="D165" s="45">
        <f t="shared" si="186"/>
        <v>0</v>
      </c>
      <c r="E165" s="23">
        <f t="shared" si="184"/>
        <v>0</v>
      </c>
    </row>
    <row r="166" spans="1:6" x14ac:dyDescent="0.25">
      <c r="A166" s="13" t="s">
        <v>143</v>
      </c>
      <c r="B166" s="45">
        <f t="shared" ref="B166:D166" si="187">$D$21*(K36)+$E$21*(K66)</f>
        <v>0</v>
      </c>
      <c r="C166" s="45">
        <f t="shared" si="187"/>
        <v>0</v>
      </c>
      <c r="D166" s="45">
        <f t="shared" si="187"/>
        <v>0</v>
      </c>
      <c r="E166" s="23">
        <f t="shared" si="184"/>
        <v>0</v>
      </c>
    </row>
    <row r="167" spans="1:6" x14ac:dyDescent="0.25">
      <c r="A167" s="13" t="s">
        <v>144</v>
      </c>
      <c r="B167" s="45">
        <f t="shared" ref="B167:D167" si="188">$D$21*(K37)+$E$21*(K67)</f>
        <v>0</v>
      </c>
      <c r="C167" s="45">
        <f t="shared" si="188"/>
        <v>0</v>
      </c>
      <c r="D167" s="45">
        <f t="shared" si="188"/>
        <v>0</v>
      </c>
      <c r="E167" s="23">
        <f t="shared" si="184"/>
        <v>0</v>
      </c>
    </row>
    <row r="168" spans="1:6" x14ac:dyDescent="0.25">
      <c r="A168" s="13" t="s">
        <v>145</v>
      </c>
      <c r="B168" s="45">
        <f t="shared" ref="B168:D168" si="189">$D$21*(K38)+$E$21*(K68)</f>
        <v>0</v>
      </c>
      <c r="C168" s="45">
        <f t="shared" si="189"/>
        <v>0</v>
      </c>
      <c r="D168" s="45">
        <f t="shared" si="189"/>
        <v>0</v>
      </c>
      <c r="E168" s="23">
        <f t="shared" si="184"/>
        <v>0</v>
      </c>
    </row>
    <row r="169" spans="1:6" x14ac:dyDescent="0.25">
      <c r="A169" s="13" t="s">
        <v>146</v>
      </c>
      <c r="B169" s="45">
        <f t="shared" ref="B169:D169" si="190">$D$21*(K39)+$E$21*(K69)</f>
        <v>0</v>
      </c>
      <c r="C169" s="45">
        <f t="shared" si="190"/>
        <v>0</v>
      </c>
      <c r="D169" s="45">
        <f t="shared" si="190"/>
        <v>0</v>
      </c>
      <c r="E169" s="23">
        <f t="shared" si="184"/>
        <v>0</v>
      </c>
    </row>
    <row r="170" spans="1:6" x14ac:dyDescent="0.25">
      <c r="A170" s="13" t="s">
        <v>147</v>
      </c>
      <c r="B170" s="45">
        <f t="shared" ref="B170:D170" si="191">$D$21*(K40)+$E$21*(K70)</f>
        <v>0</v>
      </c>
      <c r="C170" s="45">
        <f t="shared" si="191"/>
        <v>0</v>
      </c>
      <c r="D170" s="45">
        <f t="shared" si="191"/>
        <v>0</v>
      </c>
      <c r="E170" s="23">
        <f t="shared" si="184"/>
        <v>0</v>
      </c>
    </row>
    <row r="171" spans="1:6" x14ac:dyDescent="0.25">
      <c r="A171" s="13" t="s">
        <v>148</v>
      </c>
      <c r="B171" s="45">
        <f t="shared" ref="B171:D171" si="192">$D$21*(K41)+$E$21*(K71)</f>
        <v>0</v>
      </c>
      <c r="C171" s="45">
        <f t="shared" si="192"/>
        <v>0</v>
      </c>
      <c r="D171" s="45">
        <f t="shared" si="192"/>
        <v>0</v>
      </c>
      <c r="E171" s="23">
        <f t="shared" si="184"/>
        <v>0</v>
      </c>
    </row>
    <row r="172" spans="1:6" x14ac:dyDescent="0.25">
      <c r="A172" s="13" t="s">
        <v>149</v>
      </c>
      <c r="B172" s="45">
        <f t="shared" ref="B172:D172" si="193">$D$21*(K42)+$E$21*(K72)</f>
        <v>0</v>
      </c>
      <c r="C172" s="45">
        <f t="shared" si="193"/>
        <v>0</v>
      </c>
      <c r="D172" s="45">
        <f t="shared" si="193"/>
        <v>0</v>
      </c>
      <c r="E172" s="23">
        <f t="shared" si="184"/>
        <v>0</v>
      </c>
    </row>
    <row r="173" spans="1:6" x14ac:dyDescent="0.25">
      <c r="A173" s="13" t="s">
        <v>150</v>
      </c>
      <c r="B173" s="45">
        <f t="shared" ref="B173:D173" si="194">$D$21*(K43)+$E$21*(K73)</f>
        <v>0</v>
      </c>
      <c r="C173" s="45">
        <f t="shared" si="194"/>
        <v>0</v>
      </c>
      <c r="D173" s="45">
        <f t="shared" si="194"/>
        <v>0</v>
      </c>
      <c r="E173" s="23">
        <f t="shared" si="184"/>
        <v>0</v>
      </c>
    </row>
    <row r="174" spans="1:6" x14ac:dyDescent="0.25">
      <c r="A174" s="13" t="s">
        <v>151</v>
      </c>
      <c r="B174" s="45">
        <f t="shared" ref="B174:D174" si="195">$D$21*(K44)+$E$21*(K74)</f>
        <v>0</v>
      </c>
      <c r="C174" s="45">
        <f t="shared" si="195"/>
        <v>0</v>
      </c>
      <c r="D174" s="45">
        <f t="shared" si="195"/>
        <v>0</v>
      </c>
      <c r="E174" s="23">
        <f t="shared" si="184"/>
        <v>0</v>
      </c>
    </row>
    <row r="175" spans="1:6" x14ac:dyDescent="0.25">
      <c r="A175" s="13" t="s">
        <v>152</v>
      </c>
      <c r="B175" s="45">
        <f t="shared" ref="B175:D175" si="196">$D$21*(K45)+$E$21*(K75)</f>
        <v>0</v>
      </c>
      <c r="C175" s="45">
        <f t="shared" si="196"/>
        <v>0</v>
      </c>
      <c r="D175" s="45">
        <f t="shared" si="196"/>
        <v>0</v>
      </c>
      <c r="E175" s="23">
        <f t="shared" si="184"/>
        <v>0</v>
      </c>
    </row>
    <row r="176" spans="1:6" x14ac:dyDescent="0.25">
      <c r="A176" s="13" t="s">
        <v>153</v>
      </c>
      <c r="B176" s="45">
        <f t="shared" ref="B176:D176" si="197">$D$21*(K46)+$E$21*(K76)</f>
        <v>0</v>
      </c>
      <c r="C176" s="45">
        <f t="shared" si="197"/>
        <v>0</v>
      </c>
      <c r="D176" s="45">
        <f t="shared" si="197"/>
        <v>0</v>
      </c>
      <c r="E176" s="23">
        <f t="shared" si="184"/>
        <v>0</v>
      </c>
    </row>
    <row r="177" spans="1:8" x14ac:dyDescent="0.25">
      <c r="A177" s="13" t="s">
        <v>154</v>
      </c>
      <c r="B177" s="45">
        <f t="shared" ref="B177:D177" si="198">$D$21*(K47)+$E$21*(K77)</f>
        <v>0</v>
      </c>
      <c r="C177" s="45">
        <f t="shared" si="198"/>
        <v>0</v>
      </c>
      <c r="D177" s="45">
        <f t="shared" si="198"/>
        <v>0</v>
      </c>
      <c r="E177" s="23">
        <f t="shared" si="184"/>
        <v>0</v>
      </c>
    </row>
    <row r="178" spans="1:8" x14ac:dyDescent="0.25">
      <c r="A178" s="13" t="s">
        <v>155</v>
      </c>
      <c r="B178" s="45">
        <f t="shared" ref="B178:D178" si="199">$D$21*(K48)+$E$21*(K78)</f>
        <v>0</v>
      </c>
      <c r="C178" s="45">
        <f t="shared" si="199"/>
        <v>0</v>
      </c>
      <c r="D178" s="45">
        <f t="shared" si="199"/>
        <v>0</v>
      </c>
      <c r="E178" s="23">
        <f t="shared" si="184"/>
        <v>0</v>
      </c>
    </row>
    <row r="179" spans="1:8" x14ac:dyDescent="0.25">
      <c r="A179" s="13" t="s">
        <v>156</v>
      </c>
      <c r="B179" s="45">
        <f t="shared" ref="B179:D179" si="200">$D$21*(K49)+$E$21*(K79)</f>
        <v>0</v>
      </c>
      <c r="C179" s="45">
        <f t="shared" si="200"/>
        <v>0</v>
      </c>
      <c r="D179" s="45">
        <f t="shared" si="200"/>
        <v>0</v>
      </c>
      <c r="E179" s="23">
        <f t="shared" si="184"/>
        <v>0</v>
      </c>
    </row>
    <row r="180" spans="1:8" x14ac:dyDescent="0.25">
      <c r="A180" s="13" t="s">
        <v>157</v>
      </c>
      <c r="B180" s="45">
        <f t="shared" ref="B180:D180" si="201">$D$21*(K50)+$E$21*(K80)</f>
        <v>0</v>
      </c>
      <c r="C180" s="45">
        <f t="shared" si="201"/>
        <v>0</v>
      </c>
      <c r="D180" s="45">
        <f t="shared" si="201"/>
        <v>0</v>
      </c>
      <c r="E180" s="23">
        <f t="shared" si="184"/>
        <v>0</v>
      </c>
    </row>
    <row r="181" spans="1:8" x14ac:dyDescent="0.25">
      <c r="A181" s="13" t="s">
        <v>158</v>
      </c>
      <c r="B181" s="45">
        <f t="shared" ref="B181:D181" si="202">$D$21*(K51)+$E$21*(K81)</f>
        <v>0</v>
      </c>
      <c r="C181" s="45">
        <f t="shared" si="202"/>
        <v>0</v>
      </c>
      <c r="D181" s="45">
        <f t="shared" si="202"/>
        <v>0</v>
      </c>
      <c r="E181" s="23">
        <f t="shared" si="184"/>
        <v>0</v>
      </c>
    </row>
    <row r="182" spans="1:8" x14ac:dyDescent="0.25">
      <c r="A182" s="13" t="s">
        <v>159</v>
      </c>
      <c r="B182" s="45">
        <f t="shared" ref="B182:D182" si="203">$D$21*(K52)+$E$21*(K82)</f>
        <v>0</v>
      </c>
      <c r="C182" s="45">
        <f t="shared" si="203"/>
        <v>0</v>
      </c>
      <c r="D182" s="45">
        <f t="shared" si="203"/>
        <v>0</v>
      </c>
      <c r="E182" s="23">
        <f t="shared" si="184"/>
        <v>0</v>
      </c>
    </row>
    <row r="183" spans="1:8" x14ac:dyDescent="0.25">
      <c r="A183" s="13" t="s">
        <v>160</v>
      </c>
      <c r="B183" s="45">
        <f t="shared" ref="B183:D183" si="204">$D$21*(K53)+$E$21*(K83)</f>
        <v>0</v>
      </c>
      <c r="C183" s="45">
        <f t="shared" si="204"/>
        <v>0</v>
      </c>
      <c r="D183" s="45">
        <f t="shared" si="204"/>
        <v>0</v>
      </c>
      <c r="E183" s="23">
        <f t="shared" si="184"/>
        <v>0</v>
      </c>
    </row>
    <row r="184" spans="1:8" x14ac:dyDescent="0.25">
      <c r="A184" s="13" t="s">
        <v>161</v>
      </c>
      <c r="B184" s="45">
        <f t="shared" ref="B184:D184" si="205">$D$21*(K54)+$E$21*(K84)</f>
        <v>0</v>
      </c>
      <c r="C184" s="45">
        <f t="shared" si="205"/>
        <v>0</v>
      </c>
      <c r="D184" s="45">
        <f t="shared" si="205"/>
        <v>0</v>
      </c>
      <c r="E184" s="23">
        <f t="shared" si="184"/>
        <v>0</v>
      </c>
    </row>
    <row r="185" spans="1:8" x14ac:dyDescent="0.25">
      <c r="A185" s="13" t="s">
        <v>162</v>
      </c>
      <c r="B185" s="45">
        <f t="shared" ref="B185:D185" si="206">$D$21*(K55)+$E$21*(K85)</f>
        <v>0</v>
      </c>
      <c r="C185" s="45">
        <f t="shared" si="206"/>
        <v>0</v>
      </c>
      <c r="D185" s="45">
        <f t="shared" si="206"/>
        <v>0</v>
      </c>
      <c r="E185" s="23">
        <f t="shared" si="184"/>
        <v>0</v>
      </c>
    </row>
    <row r="186" spans="1:8" x14ac:dyDescent="0.25">
      <c r="A186" s="1" t="s">
        <v>163</v>
      </c>
      <c r="B186" s="23">
        <f>SUM(B162:B185)</f>
        <v>0</v>
      </c>
      <c r="C186" s="23">
        <f t="shared" ref="C186:D186" si="207">SUM(C162:C185)</f>
        <v>0</v>
      </c>
      <c r="D186" s="23">
        <f t="shared" si="207"/>
        <v>0</v>
      </c>
      <c r="E186" s="23">
        <f>SUM(B186:D186)</f>
        <v>0</v>
      </c>
      <c r="F186" s="29" t="b">
        <f>SUM(E162:E185)=E186</f>
        <v>1</v>
      </c>
      <c r="G186" s="1"/>
      <c r="H186" s="1"/>
    </row>
    <row r="187" spans="1:8" x14ac:dyDescent="0.25">
      <c r="G187" s="1"/>
      <c r="H187" s="1"/>
    </row>
    <row r="188" spans="1:8" ht="18.75" x14ac:dyDescent="0.3">
      <c r="A188" s="12" t="s">
        <v>432</v>
      </c>
    </row>
    <row r="189" spans="1:8" x14ac:dyDescent="0.25">
      <c r="A189" t="s">
        <v>372</v>
      </c>
      <c r="C189" s="24">
        <f>'Cereals-all-year'!K2</f>
        <v>134280440000</v>
      </c>
    </row>
    <row r="190" spans="1:8" ht="15.75" thickBot="1" x14ac:dyDescent="0.3">
      <c r="A190" t="s">
        <v>373</v>
      </c>
      <c r="C190" s="24">
        <f>'Cereals-all-year'!K3</f>
        <v>46690000000</v>
      </c>
    </row>
    <row r="191" spans="1:8" x14ac:dyDescent="0.25">
      <c r="A191" s="853"/>
      <c r="B191" s="798" t="s">
        <v>374</v>
      </c>
      <c r="C191" s="848"/>
      <c r="D191" s="848"/>
      <c r="E191" s="848"/>
      <c r="F191" s="849"/>
      <c r="G191" s="855" t="s">
        <v>367</v>
      </c>
      <c r="H191" s="22"/>
    </row>
    <row r="192" spans="1:8" x14ac:dyDescent="0.25">
      <c r="A192" s="854"/>
      <c r="B192" s="15" t="s">
        <v>375</v>
      </c>
      <c r="C192" s="16" t="s">
        <v>376</v>
      </c>
      <c r="D192" s="16" t="s">
        <v>377</v>
      </c>
      <c r="E192" s="16" t="s">
        <v>378</v>
      </c>
      <c r="F192" s="16" t="s">
        <v>379</v>
      </c>
      <c r="G192" s="856"/>
      <c r="H192" s="22"/>
    </row>
    <row r="193" spans="1:11" x14ac:dyDescent="0.25">
      <c r="A193" s="13" t="s">
        <v>139</v>
      </c>
      <c r="B193" s="43">
        <f>R32+R62</f>
        <v>0</v>
      </c>
      <c r="C193" s="14">
        <f>N95</f>
        <v>0</v>
      </c>
      <c r="D193" s="14">
        <f>W130</f>
        <v>0</v>
      </c>
      <c r="E193" s="242">
        <f>E162</f>
        <v>0</v>
      </c>
      <c r="F193" s="48">
        <f>SUM(B193:E193)</f>
        <v>0</v>
      </c>
      <c r="G193" s="150">
        <f>F193/$C$190</f>
        <v>0</v>
      </c>
      <c r="H193" s="61"/>
    </row>
    <row r="194" spans="1:11" x14ac:dyDescent="0.25">
      <c r="A194" s="13" t="s">
        <v>140</v>
      </c>
      <c r="B194" s="43">
        <f t="shared" ref="B194:B216" si="208">R33+R63</f>
        <v>0</v>
      </c>
      <c r="C194" s="14">
        <f t="shared" ref="C194:C216" si="209">N96</f>
        <v>0</v>
      </c>
      <c r="D194" s="14">
        <f t="shared" ref="D194:D216" si="210">W131</f>
        <v>0</v>
      </c>
      <c r="E194" s="242">
        <f t="shared" ref="E194:E216" si="211">E163</f>
        <v>0</v>
      </c>
      <c r="F194" s="48">
        <f t="shared" ref="F194:F216" si="212">SUM(B194:E194)</f>
        <v>0</v>
      </c>
      <c r="G194" s="150">
        <f t="shared" ref="G194:G216" si="213">F194/$C$190</f>
        <v>0</v>
      </c>
      <c r="H194" s="61"/>
    </row>
    <row r="195" spans="1:11" x14ac:dyDescent="0.25">
      <c r="A195" s="13" t="s">
        <v>141</v>
      </c>
      <c r="B195" s="43">
        <f t="shared" si="208"/>
        <v>0</v>
      </c>
      <c r="C195" s="14">
        <f t="shared" si="209"/>
        <v>0</v>
      </c>
      <c r="D195" s="14">
        <f t="shared" si="210"/>
        <v>0</v>
      </c>
      <c r="E195" s="242">
        <f t="shared" si="211"/>
        <v>0</v>
      </c>
      <c r="F195" s="48">
        <f t="shared" si="212"/>
        <v>0</v>
      </c>
      <c r="G195" s="150">
        <f t="shared" si="213"/>
        <v>0</v>
      </c>
      <c r="H195" s="61"/>
    </row>
    <row r="196" spans="1:11" x14ac:dyDescent="0.25">
      <c r="A196" s="13" t="s">
        <v>142</v>
      </c>
      <c r="B196" s="43">
        <f t="shared" si="208"/>
        <v>0</v>
      </c>
      <c r="C196" s="14">
        <f t="shared" si="209"/>
        <v>0</v>
      </c>
      <c r="D196" s="14">
        <f t="shared" si="210"/>
        <v>0</v>
      </c>
      <c r="E196" s="242">
        <f t="shared" si="211"/>
        <v>0</v>
      </c>
      <c r="F196" s="48">
        <f t="shared" si="212"/>
        <v>0</v>
      </c>
      <c r="G196" s="150">
        <f t="shared" si="213"/>
        <v>0</v>
      </c>
      <c r="H196" s="61"/>
    </row>
    <row r="197" spans="1:11" x14ac:dyDescent="0.25">
      <c r="A197" s="13" t="s">
        <v>143</v>
      </c>
      <c r="B197" s="43">
        <f t="shared" si="208"/>
        <v>0</v>
      </c>
      <c r="C197" s="14">
        <f t="shared" si="209"/>
        <v>0</v>
      </c>
      <c r="D197" s="14">
        <f t="shared" si="210"/>
        <v>0</v>
      </c>
      <c r="E197" s="242">
        <f t="shared" si="211"/>
        <v>0</v>
      </c>
      <c r="F197" s="48">
        <f t="shared" si="212"/>
        <v>0</v>
      </c>
      <c r="G197" s="150">
        <f t="shared" si="213"/>
        <v>0</v>
      </c>
      <c r="H197" s="61"/>
    </row>
    <row r="198" spans="1:11" x14ac:dyDescent="0.25">
      <c r="A198" s="13" t="s">
        <v>144</v>
      </c>
      <c r="B198" s="43">
        <f t="shared" si="208"/>
        <v>0</v>
      </c>
      <c r="C198" s="14">
        <f t="shared" si="209"/>
        <v>0</v>
      </c>
      <c r="D198" s="14">
        <f t="shared" si="210"/>
        <v>0</v>
      </c>
      <c r="E198" s="242">
        <f t="shared" si="211"/>
        <v>0</v>
      </c>
      <c r="F198" s="48">
        <f t="shared" si="212"/>
        <v>0</v>
      </c>
      <c r="G198" s="150">
        <f t="shared" si="213"/>
        <v>0</v>
      </c>
      <c r="H198" s="61"/>
    </row>
    <row r="199" spans="1:11" x14ac:dyDescent="0.25">
      <c r="A199" s="13" t="s">
        <v>145</v>
      </c>
      <c r="B199" s="43">
        <f t="shared" si="208"/>
        <v>0</v>
      </c>
      <c r="C199" s="14">
        <f t="shared" si="209"/>
        <v>0</v>
      </c>
      <c r="D199" s="14">
        <f t="shared" si="210"/>
        <v>0</v>
      </c>
      <c r="E199" s="242">
        <f t="shared" si="211"/>
        <v>0</v>
      </c>
      <c r="F199" s="48">
        <f t="shared" si="212"/>
        <v>0</v>
      </c>
      <c r="G199" s="150">
        <f t="shared" si="213"/>
        <v>0</v>
      </c>
      <c r="H199" s="61"/>
    </row>
    <row r="200" spans="1:11" x14ac:dyDescent="0.25">
      <c r="A200" s="13" t="s">
        <v>146</v>
      </c>
      <c r="B200" s="43">
        <f t="shared" si="208"/>
        <v>0</v>
      </c>
      <c r="C200" s="14">
        <f t="shared" si="209"/>
        <v>0</v>
      </c>
      <c r="D200" s="14">
        <f t="shared" si="210"/>
        <v>0</v>
      </c>
      <c r="E200" s="242">
        <f t="shared" si="211"/>
        <v>0</v>
      </c>
      <c r="F200" s="48">
        <f t="shared" si="212"/>
        <v>0</v>
      </c>
      <c r="G200" s="150">
        <f t="shared" si="213"/>
        <v>0</v>
      </c>
      <c r="H200" s="61"/>
    </row>
    <row r="201" spans="1:11" x14ac:dyDescent="0.25">
      <c r="A201" s="13" t="s">
        <v>147</v>
      </c>
      <c r="B201" s="43">
        <f t="shared" si="208"/>
        <v>0</v>
      </c>
      <c r="C201" s="14">
        <f t="shared" si="209"/>
        <v>0</v>
      </c>
      <c r="D201" s="14">
        <f t="shared" si="210"/>
        <v>0</v>
      </c>
      <c r="E201" s="242">
        <f t="shared" si="211"/>
        <v>0</v>
      </c>
      <c r="F201" s="48">
        <f t="shared" si="212"/>
        <v>0</v>
      </c>
      <c r="G201" s="150">
        <f t="shared" si="213"/>
        <v>0</v>
      </c>
      <c r="H201" s="61"/>
    </row>
    <row r="202" spans="1:11" x14ac:dyDescent="0.25">
      <c r="A202" s="13" t="s">
        <v>148</v>
      </c>
      <c r="B202" s="43">
        <f t="shared" si="208"/>
        <v>0</v>
      </c>
      <c r="C202" s="14">
        <f t="shared" si="209"/>
        <v>0</v>
      </c>
      <c r="D202" s="14">
        <f t="shared" si="210"/>
        <v>0</v>
      </c>
      <c r="E202" s="242">
        <f t="shared" si="211"/>
        <v>0</v>
      </c>
      <c r="F202" s="48">
        <f t="shared" si="212"/>
        <v>0</v>
      </c>
      <c r="G202" s="150">
        <f t="shared" si="213"/>
        <v>0</v>
      </c>
      <c r="H202" s="61"/>
    </row>
    <row r="203" spans="1:11" x14ac:dyDescent="0.25">
      <c r="A203" s="13" t="s">
        <v>149</v>
      </c>
      <c r="B203" s="43">
        <f t="shared" si="208"/>
        <v>0</v>
      </c>
      <c r="C203" s="14">
        <f t="shared" si="209"/>
        <v>0</v>
      </c>
      <c r="D203" s="14">
        <f t="shared" si="210"/>
        <v>0</v>
      </c>
      <c r="E203" s="242">
        <f t="shared" si="211"/>
        <v>0</v>
      </c>
      <c r="F203" s="48">
        <f t="shared" si="212"/>
        <v>0</v>
      </c>
      <c r="G203" s="150">
        <f t="shared" si="213"/>
        <v>0</v>
      </c>
      <c r="H203" s="61"/>
    </row>
    <row r="204" spans="1:11" x14ac:dyDescent="0.25">
      <c r="A204" s="13" t="s">
        <v>150</v>
      </c>
      <c r="B204" s="43">
        <f t="shared" si="208"/>
        <v>0</v>
      </c>
      <c r="C204" s="14">
        <f t="shared" si="209"/>
        <v>0</v>
      </c>
      <c r="D204" s="14">
        <f t="shared" si="210"/>
        <v>0</v>
      </c>
      <c r="E204" s="242">
        <f t="shared" si="211"/>
        <v>0</v>
      </c>
      <c r="F204" s="48">
        <f t="shared" si="212"/>
        <v>0</v>
      </c>
      <c r="G204" s="150">
        <f t="shared" si="213"/>
        <v>0</v>
      </c>
      <c r="H204" s="61"/>
    </row>
    <row r="205" spans="1:11" x14ac:dyDescent="0.25">
      <c r="A205" s="13" t="s">
        <v>151</v>
      </c>
      <c r="B205" s="43">
        <f t="shared" si="208"/>
        <v>0</v>
      </c>
      <c r="C205" s="14">
        <f t="shared" si="209"/>
        <v>0</v>
      </c>
      <c r="D205" s="14">
        <f t="shared" si="210"/>
        <v>0</v>
      </c>
      <c r="E205" s="242">
        <f t="shared" si="211"/>
        <v>0</v>
      </c>
      <c r="F205" s="48">
        <f t="shared" si="212"/>
        <v>0</v>
      </c>
      <c r="G205" s="150">
        <f t="shared" si="213"/>
        <v>0</v>
      </c>
      <c r="H205" s="61"/>
    </row>
    <row r="206" spans="1:11" x14ac:dyDescent="0.25">
      <c r="A206" s="13" t="s">
        <v>152</v>
      </c>
      <c r="B206" s="43">
        <f t="shared" si="208"/>
        <v>0</v>
      </c>
      <c r="C206" s="14">
        <f t="shared" si="209"/>
        <v>0</v>
      </c>
      <c r="D206" s="14">
        <f t="shared" si="210"/>
        <v>0</v>
      </c>
      <c r="E206" s="242">
        <f t="shared" si="211"/>
        <v>0</v>
      </c>
      <c r="F206" s="48">
        <f t="shared" si="212"/>
        <v>0</v>
      </c>
      <c r="G206" s="150">
        <f t="shared" si="213"/>
        <v>0</v>
      </c>
      <c r="H206" s="61"/>
    </row>
    <row r="207" spans="1:11" x14ac:dyDescent="0.25">
      <c r="A207" s="13" t="s">
        <v>153</v>
      </c>
      <c r="B207" s="43">
        <f t="shared" si="208"/>
        <v>0</v>
      </c>
      <c r="C207" s="14">
        <f t="shared" si="209"/>
        <v>0</v>
      </c>
      <c r="D207" s="14">
        <f t="shared" si="210"/>
        <v>0</v>
      </c>
      <c r="E207" s="242">
        <f t="shared" si="211"/>
        <v>0</v>
      </c>
      <c r="F207" s="48">
        <f t="shared" si="212"/>
        <v>0</v>
      </c>
      <c r="G207" s="150">
        <f t="shared" si="213"/>
        <v>0</v>
      </c>
      <c r="H207" s="61"/>
    </row>
    <row r="208" spans="1:11" x14ac:dyDescent="0.25">
      <c r="A208" s="13" t="s">
        <v>154</v>
      </c>
      <c r="B208" s="43">
        <f t="shared" si="208"/>
        <v>0</v>
      </c>
      <c r="C208" s="14">
        <f t="shared" si="209"/>
        <v>0</v>
      </c>
      <c r="D208" s="14">
        <f t="shared" si="210"/>
        <v>0</v>
      </c>
      <c r="E208" s="242">
        <f t="shared" si="211"/>
        <v>0</v>
      </c>
      <c r="F208" s="48">
        <f t="shared" si="212"/>
        <v>0</v>
      </c>
      <c r="G208" s="150">
        <f t="shared" si="213"/>
        <v>0</v>
      </c>
      <c r="H208" s="61"/>
      <c r="K208" s="1" t="s">
        <v>380</v>
      </c>
    </row>
    <row r="209" spans="1:17" x14ac:dyDescent="0.25">
      <c r="A209" s="13" t="s">
        <v>155</v>
      </c>
      <c r="B209" s="43">
        <f t="shared" si="208"/>
        <v>0</v>
      </c>
      <c r="C209" s="14">
        <f t="shared" si="209"/>
        <v>0</v>
      </c>
      <c r="D209" s="14">
        <f t="shared" si="210"/>
        <v>0</v>
      </c>
      <c r="E209" s="242">
        <f t="shared" si="211"/>
        <v>0</v>
      </c>
      <c r="F209" s="48">
        <f t="shared" si="212"/>
        <v>0</v>
      </c>
      <c r="G209" s="150">
        <f t="shared" si="213"/>
        <v>0</v>
      </c>
      <c r="H209" s="61"/>
      <c r="K209" t="s">
        <v>381</v>
      </c>
      <c r="L209" t="s">
        <v>382</v>
      </c>
      <c r="M209" t="s">
        <v>383</v>
      </c>
      <c r="N209" t="s">
        <v>384</v>
      </c>
      <c r="O209" t="s">
        <v>385</v>
      </c>
      <c r="P209" t="s">
        <v>386</v>
      </c>
      <c r="Q209" t="s">
        <v>213</v>
      </c>
    </row>
    <row r="210" spans="1:17" x14ac:dyDescent="0.25">
      <c r="A210" s="13" t="s">
        <v>156</v>
      </c>
      <c r="B210" s="43">
        <f t="shared" si="208"/>
        <v>0</v>
      </c>
      <c r="C210" s="14">
        <f t="shared" si="209"/>
        <v>0</v>
      </c>
      <c r="D210" s="14">
        <f t="shared" si="210"/>
        <v>0</v>
      </c>
      <c r="E210" s="242">
        <f t="shared" si="211"/>
        <v>0</v>
      </c>
      <c r="F210" s="48">
        <f t="shared" si="212"/>
        <v>0</v>
      </c>
      <c r="G210" s="150">
        <f t="shared" si="213"/>
        <v>0</v>
      </c>
      <c r="H210" s="61"/>
      <c r="J210" t="s">
        <v>387</v>
      </c>
      <c r="K210" s="186">
        <v>425</v>
      </c>
      <c r="L210" s="186">
        <v>395</v>
      </c>
      <c r="M210" s="186">
        <v>478</v>
      </c>
      <c r="N210" s="186">
        <v>460</v>
      </c>
      <c r="O210" s="186">
        <v>405</v>
      </c>
      <c r="P210" s="186">
        <v>539</v>
      </c>
      <c r="Q210" s="187">
        <f>SUMPRODUCT(K210:P210,K211:P211)/Q211</f>
        <v>450.92541087231353</v>
      </c>
    </row>
    <row r="211" spans="1:17" x14ac:dyDescent="0.25">
      <c r="A211" s="13" t="s">
        <v>157</v>
      </c>
      <c r="B211" s="43">
        <f t="shared" si="208"/>
        <v>0</v>
      </c>
      <c r="C211" s="14">
        <f t="shared" si="209"/>
        <v>0</v>
      </c>
      <c r="D211" s="14">
        <f t="shared" si="210"/>
        <v>0</v>
      </c>
      <c r="E211" s="242">
        <f t="shared" si="211"/>
        <v>0</v>
      </c>
      <c r="F211" s="48">
        <f t="shared" si="212"/>
        <v>0</v>
      </c>
      <c r="G211" s="150">
        <f t="shared" si="213"/>
        <v>0</v>
      </c>
      <c r="H211" s="61"/>
      <c r="J211" t="s">
        <v>388</v>
      </c>
      <c r="K211">
        <v>11.7</v>
      </c>
      <c r="L211">
        <v>12.3</v>
      </c>
      <c r="M211">
        <v>22.8</v>
      </c>
      <c r="N211">
        <v>45</v>
      </c>
      <c r="O211">
        <v>43.9</v>
      </c>
      <c r="P211">
        <v>22.5</v>
      </c>
      <c r="Q211" s="9">
        <f>SUM(K211:P211)</f>
        <v>158.19999999999999</v>
      </c>
    </row>
    <row r="212" spans="1:17" x14ac:dyDescent="0.25">
      <c r="A212" s="13" t="s">
        <v>158</v>
      </c>
      <c r="B212" s="43">
        <f t="shared" si="208"/>
        <v>0</v>
      </c>
      <c r="C212" s="14">
        <f t="shared" si="209"/>
        <v>0</v>
      </c>
      <c r="D212" s="14">
        <f t="shared" si="210"/>
        <v>0</v>
      </c>
      <c r="E212" s="242">
        <f t="shared" si="211"/>
        <v>0</v>
      </c>
      <c r="F212" s="48">
        <f t="shared" si="212"/>
        <v>0</v>
      </c>
      <c r="G212" s="150">
        <f t="shared" si="213"/>
        <v>0</v>
      </c>
      <c r="H212" s="61"/>
    </row>
    <row r="213" spans="1:17" x14ac:dyDescent="0.25">
      <c r="A213" s="13" t="s">
        <v>159</v>
      </c>
      <c r="B213" s="43">
        <f t="shared" si="208"/>
        <v>0</v>
      </c>
      <c r="C213" s="14">
        <f t="shared" si="209"/>
        <v>0</v>
      </c>
      <c r="D213" s="14">
        <f t="shared" si="210"/>
        <v>0</v>
      </c>
      <c r="E213" s="242">
        <f t="shared" si="211"/>
        <v>0</v>
      </c>
      <c r="F213" s="48">
        <f t="shared" si="212"/>
        <v>0</v>
      </c>
      <c r="G213" s="150">
        <f t="shared" si="213"/>
        <v>0</v>
      </c>
      <c r="H213" s="61"/>
      <c r="J213" t="s">
        <v>82</v>
      </c>
      <c r="K213" s="20" t="s">
        <v>389</v>
      </c>
      <c r="O213" s="20" t="s">
        <v>390</v>
      </c>
    </row>
    <row r="214" spans="1:17" x14ac:dyDescent="0.25">
      <c r="A214" s="13" t="s">
        <v>160</v>
      </c>
      <c r="B214" s="43">
        <f t="shared" si="208"/>
        <v>0</v>
      </c>
      <c r="C214" s="14">
        <f t="shared" si="209"/>
        <v>0</v>
      </c>
      <c r="D214" s="14">
        <f t="shared" si="210"/>
        <v>0</v>
      </c>
      <c r="E214" s="242">
        <f t="shared" si="211"/>
        <v>0</v>
      </c>
      <c r="F214" s="48">
        <f t="shared" si="212"/>
        <v>0</v>
      </c>
      <c r="G214" s="150">
        <f t="shared" si="213"/>
        <v>0</v>
      </c>
      <c r="H214" s="61"/>
      <c r="J214" s="838" t="s">
        <v>391</v>
      </c>
      <c r="K214" s="838"/>
      <c r="L214" s="838"/>
    </row>
    <row r="215" spans="1:17" x14ac:dyDescent="0.25">
      <c r="A215" s="13" t="s">
        <v>161</v>
      </c>
      <c r="B215" s="43">
        <f t="shared" si="208"/>
        <v>0</v>
      </c>
      <c r="C215" s="14">
        <f t="shared" si="209"/>
        <v>0</v>
      </c>
      <c r="D215" s="14">
        <f t="shared" si="210"/>
        <v>0</v>
      </c>
      <c r="E215" s="242">
        <f t="shared" si="211"/>
        <v>0</v>
      </c>
      <c r="F215" s="48">
        <f t="shared" si="212"/>
        <v>0</v>
      </c>
      <c r="G215" s="150">
        <f t="shared" si="213"/>
        <v>0</v>
      </c>
      <c r="H215" s="61"/>
      <c r="L215" t="s">
        <v>392</v>
      </c>
    </row>
    <row r="216" spans="1:17" x14ac:dyDescent="0.25">
      <c r="A216" s="13" t="s">
        <v>162</v>
      </c>
      <c r="B216" s="43">
        <f t="shared" si="208"/>
        <v>0</v>
      </c>
      <c r="C216" s="14">
        <f t="shared" si="209"/>
        <v>0</v>
      </c>
      <c r="D216" s="14">
        <f t="shared" si="210"/>
        <v>0</v>
      </c>
      <c r="E216" s="242">
        <f t="shared" si="211"/>
        <v>0</v>
      </c>
      <c r="F216" s="48">
        <f t="shared" si="212"/>
        <v>0</v>
      </c>
      <c r="G216" s="150">
        <f t="shared" si="213"/>
        <v>0</v>
      </c>
      <c r="H216" s="61"/>
      <c r="L216" s="188">
        <f>Q210</f>
        <v>450.92541087231353</v>
      </c>
    </row>
    <row r="217" spans="1:17" x14ac:dyDescent="0.25">
      <c r="A217" s="144" t="s">
        <v>163</v>
      </c>
      <c r="B217" s="46">
        <f>SUM(B193:B216)</f>
        <v>0</v>
      </c>
      <c r="C217" s="46">
        <f t="shared" ref="C217:E217" si="214">SUM(C193:C216)</f>
        <v>0</v>
      </c>
      <c r="D217" s="46">
        <f t="shared" si="214"/>
        <v>0</v>
      </c>
      <c r="E217" s="214">
        <f t="shared" si="214"/>
        <v>0</v>
      </c>
      <c r="F217" s="48">
        <f>SUM(B217:E217)</f>
        <v>0</v>
      </c>
      <c r="G217" s="574">
        <f t="shared" ref="G217" si="215">F217/$C$190</f>
        <v>0</v>
      </c>
      <c r="H217" s="61"/>
    </row>
    <row r="218" spans="1:17" ht="15.75" thickBot="1" x14ac:dyDescent="0.3">
      <c r="A218" s="145" t="s">
        <v>393</v>
      </c>
      <c r="B218" s="165">
        <f>B217/'Summary-all-crops'!$C$3</f>
        <v>0</v>
      </c>
      <c r="C218" s="165">
        <f>C217/'Summary-all-crops'!$C$3</f>
        <v>0</v>
      </c>
      <c r="D218" s="165">
        <f>D217/'Summary-all-crops'!$C$3</f>
        <v>0</v>
      </c>
      <c r="E218" s="165">
        <f>E217/'Summary-all-crops'!$C$3</f>
        <v>0</v>
      </c>
      <c r="F218" s="320">
        <f>F217/'Summary-all-crops'!$C$3</f>
        <v>0</v>
      </c>
      <c r="G218" s="166"/>
    </row>
    <row r="219" spans="1:17" x14ac:dyDescent="0.25">
      <c r="F219" s="92">
        <f>F217*K1</f>
        <v>0</v>
      </c>
      <c r="G219" s="498" t="b">
        <f>SUM(F193:F216)=F217</f>
        <v>1</v>
      </c>
    </row>
    <row r="221" spans="1:17" ht="43.35" customHeight="1" x14ac:dyDescent="0.25">
      <c r="A221" s="845" t="s">
        <v>706</v>
      </c>
      <c r="B221" s="845"/>
      <c r="C221" s="845"/>
      <c r="D221" s="845"/>
      <c r="E221" s="845"/>
      <c r="F221" s="845"/>
      <c r="G221" s="845"/>
      <c r="H221" s="845"/>
      <c r="I221" s="845"/>
      <c r="J221" s="845"/>
      <c r="K221" s="845"/>
      <c r="L221" s="845"/>
      <c r="M221" s="845"/>
      <c r="N221" s="845"/>
      <c r="O221" s="845"/>
      <c r="P221" s="845"/>
      <c r="Q221" s="845"/>
    </row>
    <row r="222" spans="1:17" x14ac:dyDescent="0.25">
      <c r="A222" s="24">
        <f>N56</f>
        <v>0</v>
      </c>
      <c r="B222" s="62" t="s">
        <v>707</v>
      </c>
      <c r="C222" s="6"/>
      <c r="D222" s="6"/>
      <c r="E222" s="6"/>
      <c r="F222" s="6"/>
      <c r="G222" s="6"/>
      <c r="H222" s="6"/>
      <c r="I222" s="6"/>
      <c r="J222" s="6"/>
      <c r="K222" s="6"/>
      <c r="L222" s="6"/>
      <c r="M222" s="6"/>
      <c r="N222" s="6"/>
      <c r="O222" s="6"/>
      <c r="P222" s="6"/>
      <c r="Q222" s="6"/>
    </row>
    <row r="223" spans="1:17" x14ac:dyDescent="0.25">
      <c r="A223" s="24">
        <f>N86</f>
        <v>0</v>
      </c>
      <c r="B223" s="62" t="s">
        <v>708</v>
      </c>
      <c r="C223" s="6"/>
      <c r="D223" s="6"/>
      <c r="E223" s="6"/>
      <c r="F223" s="6"/>
      <c r="G223" s="6"/>
      <c r="H223" s="6"/>
      <c r="I223" s="6"/>
      <c r="J223" s="6"/>
      <c r="K223" s="6"/>
      <c r="L223" s="6"/>
      <c r="M223" s="6"/>
      <c r="N223" s="6"/>
      <c r="O223" s="6"/>
      <c r="P223" s="6"/>
      <c r="Q223" s="6"/>
    </row>
    <row r="224" spans="1:17" x14ac:dyDescent="0.25">
      <c r="A224" s="24">
        <f>F217</f>
        <v>0</v>
      </c>
      <c r="B224" s="6" t="s">
        <v>397</v>
      </c>
      <c r="C224" s="24">
        <f>A224*K1</f>
        <v>0</v>
      </c>
      <c r="D224" s="6" t="s">
        <v>398</v>
      </c>
      <c r="E224" s="6"/>
      <c r="F224" s="573">
        <f>G217</f>
        <v>0</v>
      </c>
      <c r="G224" s="6" t="s">
        <v>399</v>
      </c>
      <c r="H224" s="6"/>
      <c r="I224" s="6"/>
      <c r="J224" s="6"/>
      <c r="K224" s="6"/>
      <c r="L224" s="6"/>
      <c r="M224" s="6"/>
      <c r="N224" s="6"/>
      <c r="O224" s="6"/>
      <c r="P224" s="6"/>
      <c r="Q224" s="6"/>
    </row>
  </sheetData>
  <mergeCells count="42">
    <mergeCell ref="AC11:AH14"/>
    <mergeCell ref="J214:L214"/>
    <mergeCell ref="K93:N93"/>
    <mergeCell ref="A221:Q221"/>
    <mergeCell ref="T128:T129"/>
    <mergeCell ref="W128:W129"/>
    <mergeCell ref="A159:A161"/>
    <mergeCell ref="B159:E159"/>
    <mergeCell ref="A191:A192"/>
    <mergeCell ref="B191:F191"/>
    <mergeCell ref="G191:G192"/>
    <mergeCell ref="A127:A128"/>
    <mergeCell ref="B127:F127"/>
    <mergeCell ref="C128:E128"/>
    <mergeCell ref="F128:I128"/>
    <mergeCell ref="J128:M128"/>
    <mergeCell ref="N128:Q128"/>
    <mergeCell ref="R128:R129"/>
    <mergeCell ref="S128:S129"/>
    <mergeCell ref="C87:E87"/>
    <mergeCell ref="A93:A94"/>
    <mergeCell ref="B93:B94"/>
    <mergeCell ref="C93:F93"/>
    <mergeCell ref="G93:J93"/>
    <mergeCell ref="O60:R60"/>
    <mergeCell ref="U60:W60"/>
    <mergeCell ref="B30:B31"/>
    <mergeCell ref="C30:F30"/>
    <mergeCell ref="G30:J30"/>
    <mergeCell ref="K30:N30"/>
    <mergeCell ref="O30:R30"/>
    <mergeCell ref="C57:E57"/>
    <mergeCell ref="B60:B61"/>
    <mergeCell ref="C60:F60"/>
    <mergeCell ref="G60:J60"/>
    <mergeCell ref="K60:N60"/>
    <mergeCell ref="A25:B25"/>
    <mergeCell ref="A1:E1"/>
    <mergeCell ref="D15:E15"/>
    <mergeCell ref="F15:G15"/>
    <mergeCell ref="A16:B16"/>
    <mergeCell ref="A24:D24"/>
  </mergeCells>
  <hyperlinks>
    <hyperlink ref="O59" r:id="rId1" display="https://www.semanticscholar.org/paper/Differences-in-grain%2Fstraw-ratio%2C-protein-content-Konvalina-Stehno/c8920241b02879926ffb06363c1fe2306dde4d96/figure/4" xr:uid="{D610A858-BA71-4B83-AF11-3A841B986BAE}"/>
    <hyperlink ref="H59" r:id="rId2" xr:uid="{07195B1A-B355-486B-B741-1FBDE6D87822}"/>
    <hyperlink ref="I126" r:id="rId3" xr:uid="{D7FF9155-6AF8-41B1-BDB4-CF95D9BFD996}"/>
    <hyperlink ref="X59" r:id="rId4" xr:uid="{FFEF9889-9542-40AB-BE5F-BDF1FD466754}"/>
    <hyperlink ref="K213" r:id="rId5" xr:uid="{00A51C34-0F0A-43A7-8F93-605B2EC58F55}"/>
    <hyperlink ref="O213" r:id="rId6" xr:uid="{D252CEAF-6756-459F-8E7B-539E6F188882}"/>
    <hyperlink ref="H120" r:id="rId7" xr:uid="{9E0DB208-40D6-401D-B426-2001E24DD671}"/>
    <hyperlink ref="H122" r:id="rId8" location=":~:text=The%20study%2C%20published%20today%20in,estimate%20of%20%2451%20per%20ton. " xr:uid="{57765A75-5920-4EC3-87BF-D19CD9BC6F5A}"/>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83F86-C9A7-49E9-84A0-3C648AA3A46C}">
  <dimension ref="A1:AO225"/>
  <sheetViews>
    <sheetView workbookViewId="0">
      <selection activeCell="C131" sqref="C131:E154"/>
    </sheetView>
  </sheetViews>
  <sheetFormatPr defaultRowHeight="15" x14ac:dyDescent="0.25"/>
  <cols>
    <col min="1" max="1" width="14.5703125" bestFit="1" customWidth="1"/>
    <col min="2" max="2" width="25.5703125" customWidth="1"/>
    <col min="3" max="3" width="24.5703125" customWidth="1"/>
    <col min="4" max="4" width="18.85546875" customWidth="1"/>
    <col min="5" max="5" width="23.140625" customWidth="1"/>
    <col min="6" max="6" width="22" customWidth="1"/>
    <col min="7" max="7" width="19" customWidth="1"/>
    <col min="8" max="8" width="13.5703125" customWidth="1"/>
    <col min="9" max="9" width="12.140625" customWidth="1"/>
    <col min="10" max="10" width="20.140625" customWidth="1"/>
    <col min="11" max="11" width="16.425781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13.5703125" customWidth="1"/>
    <col min="23" max="23" width="14.140625" bestFit="1" customWidth="1"/>
    <col min="24" max="24" width="22.42578125" customWidth="1"/>
    <col min="25" max="25" width="25.42578125" bestFit="1" customWidth="1"/>
    <col min="26" max="26" width="13.85546875" customWidth="1"/>
    <col min="27" max="28" width="16.5703125" bestFit="1" customWidth="1"/>
    <col min="29" max="29" width="17.85546875" bestFit="1" customWidth="1"/>
    <col min="30" max="31" width="10.5703125" bestFit="1" customWidth="1"/>
    <col min="32" max="32" width="17.7109375" customWidth="1"/>
    <col min="33" max="33" width="21.85546875" customWidth="1"/>
    <col min="36" max="36" width="13.5703125" customWidth="1"/>
    <col min="37" max="37" width="10.5703125" customWidth="1"/>
    <col min="38" max="38" width="10.5703125" bestFit="1" customWidth="1"/>
  </cols>
  <sheetData>
    <row r="1" spans="1:34" ht="18.75" x14ac:dyDescent="0.3">
      <c r="A1" s="841" t="s">
        <v>255</v>
      </c>
      <c r="B1" s="841"/>
      <c r="C1" s="841"/>
      <c r="D1" s="841"/>
      <c r="E1" s="841"/>
      <c r="F1" s="12"/>
      <c r="G1" s="12"/>
      <c r="H1" s="58"/>
      <c r="J1" s="1" t="s">
        <v>400</v>
      </c>
      <c r="K1" s="197">
        <f>'Prices,exch.rates,harvest index'!M2</f>
        <v>2.8759999999999999</v>
      </c>
      <c r="L1" s="1" t="s">
        <v>257</v>
      </c>
      <c r="M1" s="1"/>
      <c r="N1" s="1"/>
      <c r="O1" s="1"/>
    </row>
    <row r="2" spans="1:34" x14ac:dyDescent="0.25">
      <c r="A2" s="3" t="s">
        <v>260</v>
      </c>
      <c r="B2" s="8" t="s">
        <v>480</v>
      </c>
      <c r="C2" s="8"/>
      <c r="D2" s="8"/>
      <c r="E2" s="4"/>
      <c r="G2" s="3"/>
      <c r="H2" s="3"/>
    </row>
    <row r="3" spans="1:34" x14ac:dyDescent="0.25">
      <c r="A3" s="3"/>
      <c r="B3" s="10" t="s">
        <v>263</v>
      </c>
      <c r="C3" s="10"/>
      <c r="D3" s="10"/>
      <c r="E3" s="10"/>
      <c r="F3" s="1"/>
      <c r="G3" s="1"/>
      <c r="H3" s="1"/>
      <c r="I3" s="1"/>
      <c r="J3" s="1"/>
      <c r="K3" s="1"/>
      <c r="L3" s="1"/>
      <c r="M3" s="1"/>
      <c r="N3" s="1"/>
      <c r="O3" s="1"/>
      <c r="P3" s="1"/>
      <c r="Q3" s="1"/>
    </row>
    <row r="4" spans="1:34" x14ac:dyDescent="0.25">
      <c r="A4" s="3"/>
      <c r="B4" s="7" t="s">
        <v>265</v>
      </c>
      <c r="C4" s="62"/>
      <c r="D4" s="62"/>
      <c r="E4" s="62"/>
      <c r="F4" s="1"/>
      <c r="G4" s="1"/>
      <c r="H4" s="1"/>
      <c r="I4" s="1"/>
      <c r="J4" s="1"/>
      <c r="K4" s="1"/>
      <c r="L4" s="1"/>
      <c r="M4" s="1"/>
      <c r="N4" s="1"/>
      <c r="O4" s="1"/>
      <c r="P4" s="1"/>
      <c r="Q4" s="1"/>
    </row>
    <row r="5" spans="1:34" x14ac:dyDescent="0.25">
      <c r="A5" s="3"/>
      <c r="B5" s="183" t="s">
        <v>481</v>
      </c>
      <c r="C5" s="136"/>
      <c r="D5" s="136"/>
      <c r="E5" s="136"/>
      <c r="F5" s="1"/>
      <c r="G5" s="1"/>
      <c r="H5" s="1"/>
      <c r="I5" s="1"/>
      <c r="J5" s="1" t="s">
        <v>267</v>
      </c>
      <c r="K5" s="197">
        <f>'Prices,exch.rates,harvest index'!N2</f>
        <v>1.43</v>
      </c>
      <c r="L5" s="1" t="s">
        <v>257</v>
      </c>
      <c r="M5" s="1"/>
      <c r="N5" s="1"/>
      <c r="O5" s="1"/>
      <c r="P5" s="1"/>
      <c r="Q5" s="1"/>
    </row>
    <row r="6" spans="1:34" x14ac:dyDescent="0.25">
      <c r="A6" s="3"/>
      <c r="B6" s="293" t="s">
        <v>268</v>
      </c>
      <c r="C6" s="294"/>
      <c r="D6" s="294"/>
      <c r="E6" s="294"/>
      <c r="F6" s="1"/>
      <c r="G6" s="1"/>
      <c r="H6" s="1"/>
      <c r="I6" s="1"/>
      <c r="J6" s="1"/>
      <c r="K6" s="1"/>
      <c r="L6" s="1"/>
      <c r="M6" s="1"/>
      <c r="N6" s="1"/>
      <c r="O6" s="1"/>
      <c r="P6" s="1"/>
      <c r="Q6" s="1"/>
    </row>
    <row r="7" spans="1:34" x14ac:dyDescent="0.25">
      <c r="A7" s="7" t="s">
        <v>269</v>
      </c>
      <c r="B7" s="7"/>
      <c r="C7" s="7"/>
      <c r="D7" s="7"/>
      <c r="E7" s="7"/>
      <c r="F7" s="7"/>
      <c r="G7" s="7"/>
      <c r="H7" s="7"/>
      <c r="I7" s="6"/>
      <c r="J7" s="6"/>
      <c r="K7" s="6"/>
      <c r="L7" s="6"/>
      <c r="M7" s="6"/>
      <c r="N7" s="6"/>
      <c r="O7" s="6"/>
      <c r="P7" s="6"/>
      <c r="Q7" s="6"/>
      <c r="R7" s="6"/>
      <c r="S7" s="6"/>
      <c r="T7" s="6"/>
    </row>
    <row r="8" spans="1:34" ht="14.45" customHeight="1" x14ac:dyDescent="0.25">
      <c r="A8" s="7" t="s">
        <v>270</v>
      </c>
      <c r="B8" s="7"/>
      <c r="C8" s="7"/>
      <c r="D8" s="7"/>
      <c r="E8" s="7"/>
      <c r="F8" s="7"/>
      <c r="G8" s="7"/>
      <c r="H8" s="7"/>
      <c r="I8" s="7"/>
      <c r="J8" s="7"/>
      <c r="K8" s="7"/>
      <c r="L8" s="7"/>
      <c r="M8" s="7"/>
      <c r="N8" s="7"/>
      <c r="O8" s="7"/>
      <c r="P8" s="7"/>
      <c r="Q8" s="7"/>
      <c r="R8" s="7"/>
      <c r="S8" s="7"/>
      <c r="T8" s="7"/>
    </row>
    <row r="9" spans="1:34" ht="14.45" customHeight="1" x14ac:dyDescent="0.25">
      <c r="A9" s="7"/>
      <c r="B9" s="7"/>
      <c r="C9" s="7"/>
      <c r="D9" s="7"/>
      <c r="E9" s="7"/>
      <c r="F9" s="7"/>
      <c r="G9" s="7"/>
      <c r="H9" s="7"/>
      <c r="I9" s="7"/>
      <c r="J9" s="7"/>
      <c r="K9" s="7"/>
      <c r="L9" s="7"/>
      <c r="M9" s="7"/>
      <c r="N9" s="7"/>
      <c r="O9" s="7"/>
      <c r="P9" s="7"/>
      <c r="Q9" s="7"/>
      <c r="R9" s="7"/>
      <c r="S9" s="7"/>
      <c r="T9" s="7"/>
    </row>
    <row r="10" spans="1:34" ht="14.45" customHeight="1" x14ac:dyDescent="0.25">
      <c r="A10" s="7"/>
      <c r="B10" s="7"/>
      <c r="C10" s="7"/>
      <c r="D10" s="7"/>
      <c r="E10" s="7"/>
      <c r="F10" s="7"/>
      <c r="G10" s="7"/>
      <c r="H10" s="7"/>
      <c r="I10" s="7"/>
      <c r="J10" s="7"/>
      <c r="K10" s="7"/>
      <c r="L10" s="7"/>
      <c r="M10" s="7"/>
      <c r="N10" s="7"/>
      <c r="O10" s="7"/>
      <c r="P10" s="7"/>
      <c r="Q10" s="7"/>
      <c r="R10" s="7"/>
      <c r="S10" s="7"/>
      <c r="T10" s="7"/>
      <c r="AC10" s="852" t="s">
        <v>1258</v>
      </c>
      <c r="AD10" s="852"/>
      <c r="AE10" s="852"/>
      <c r="AF10" s="852"/>
      <c r="AG10" s="852"/>
      <c r="AH10" s="852"/>
    </row>
    <row r="11" spans="1:34" ht="14.45" customHeight="1" x14ac:dyDescent="0.25">
      <c r="A11" s="3"/>
      <c r="B11" s="3"/>
      <c r="C11" s="3"/>
      <c r="D11" s="3"/>
      <c r="E11" s="3"/>
      <c r="F11" s="3"/>
      <c r="G11" s="3"/>
      <c r="H11" s="3"/>
      <c r="I11" s="3"/>
      <c r="J11" s="3"/>
      <c r="K11" s="3"/>
      <c r="L11" s="3"/>
      <c r="M11" s="3"/>
      <c r="N11" s="3"/>
      <c r="O11" s="3"/>
      <c r="P11" s="3"/>
      <c r="Q11" s="3"/>
      <c r="R11" s="3"/>
      <c r="S11" s="3"/>
      <c r="T11" s="3"/>
      <c r="AC11" s="852"/>
      <c r="AD11" s="852"/>
      <c r="AE11" s="852"/>
      <c r="AF11" s="852"/>
      <c r="AG11" s="852"/>
      <c r="AH11" s="852"/>
    </row>
    <row r="12" spans="1:34" ht="27" customHeight="1" x14ac:dyDescent="0.25">
      <c r="A12" s="194" t="s">
        <v>709</v>
      </c>
      <c r="B12" s="15" t="s">
        <v>103</v>
      </c>
      <c r="C12" s="15" t="s">
        <v>276</v>
      </c>
      <c r="D12" s="195" t="s">
        <v>277</v>
      </c>
      <c r="E12" s="195" t="s">
        <v>278</v>
      </c>
      <c r="F12" s="194" t="s">
        <v>279</v>
      </c>
      <c r="G12" s="194" t="s">
        <v>280</v>
      </c>
      <c r="H12" s="3"/>
      <c r="I12" s="3"/>
      <c r="J12" s="3"/>
      <c r="K12" s="3"/>
      <c r="L12" s="3"/>
      <c r="M12" s="3"/>
      <c r="N12" s="3"/>
      <c r="O12" s="3"/>
      <c r="P12" s="3"/>
      <c r="Q12" s="3"/>
      <c r="R12" s="3"/>
      <c r="S12" s="3"/>
      <c r="T12" s="3"/>
      <c r="U12" s="3"/>
      <c r="V12" s="3"/>
      <c r="AC12" s="852"/>
      <c r="AD12" s="852"/>
      <c r="AE12" s="852"/>
      <c r="AF12" s="852"/>
      <c r="AG12" s="852"/>
      <c r="AH12" s="852"/>
    </row>
    <row r="13" spans="1:34" ht="14.45" customHeight="1" x14ac:dyDescent="0.25">
      <c r="A13" s="199" t="s">
        <v>686</v>
      </c>
      <c r="B13" s="242">
        <f>'Crop-area&amp;production'!BE32</f>
        <v>0</v>
      </c>
      <c r="C13" s="242">
        <f>'Crop-area&amp;production'!DR32</f>
        <v>0</v>
      </c>
      <c r="D13" s="242">
        <f>'Prices,exch.rates,harvest index'!E46</f>
        <v>0</v>
      </c>
      <c r="E13" s="14"/>
      <c r="F13" s="215">
        <f>'Prices,exch.rates,harvest index'!F46</f>
        <v>0</v>
      </c>
      <c r="G13" s="319"/>
      <c r="H13" s="3"/>
      <c r="I13" s="3"/>
      <c r="J13" s="3"/>
      <c r="K13" s="3"/>
      <c r="L13" s="3"/>
      <c r="M13" s="3"/>
      <c r="N13" s="3"/>
      <c r="O13" s="3"/>
      <c r="P13" s="3"/>
      <c r="Q13" s="3"/>
      <c r="R13" s="3"/>
      <c r="S13" s="3"/>
      <c r="T13" s="3"/>
      <c r="U13" s="3"/>
      <c r="V13" s="3"/>
      <c r="Z13" s="271"/>
      <c r="AC13" s="852"/>
      <c r="AD13" s="852"/>
      <c r="AE13" s="852"/>
      <c r="AF13" s="852"/>
      <c r="AG13" s="852"/>
      <c r="AH13" s="852"/>
    </row>
    <row r="14" spans="1:34" ht="14.45" customHeight="1" x14ac:dyDescent="0.25">
      <c r="A14" s="199" t="s">
        <v>77</v>
      </c>
      <c r="B14" s="242">
        <f>'Crop-area&amp;production'!BF32</f>
        <v>0</v>
      </c>
      <c r="C14" s="242">
        <f>'Crop-area&amp;production'!DS32</f>
        <v>0</v>
      </c>
      <c r="D14" s="215">
        <f>'Prices,exch.rates,harvest index'!E47</f>
        <v>0</v>
      </c>
      <c r="E14" s="14"/>
      <c r="F14" s="215">
        <f>'Prices,exch.rates,harvest index'!F47</f>
        <v>0</v>
      </c>
      <c r="G14" s="14"/>
      <c r="H14" s="3"/>
      <c r="I14" s="3"/>
      <c r="J14" s="3"/>
      <c r="K14" s="3"/>
      <c r="L14" s="3"/>
      <c r="M14" s="3"/>
      <c r="N14" s="3"/>
      <c r="O14" s="3"/>
      <c r="P14" s="3"/>
      <c r="Q14" s="3"/>
      <c r="R14" s="3"/>
      <c r="S14" s="3"/>
      <c r="T14" s="3"/>
      <c r="U14" s="3"/>
      <c r="V14" s="3"/>
      <c r="Z14" s="430"/>
    </row>
    <row r="15" spans="1:34" ht="31.5" customHeight="1" x14ac:dyDescent="0.25">
      <c r="A15" s="194" t="s">
        <v>710</v>
      </c>
      <c r="B15" s="307">
        <f>SUM(B13:B14)</f>
        <v>0</v>
      </c>
      <c r="C15" s="307">
        <f>SUM(C13:C14)</f>
        <v>0</v>
      </c>
      <c r="D15" s="307" t="e">
        <f>SUMPRODUCT(C13:C14,D13:D14)/C15</f>
        <v>#DIV/0!</v>
      </c>
      <c r="E15" s="198" t="e">
        <f>SUMPRODUCT($C13:$C14,E13:E14)/$C15</f>
        <v>#DIV/0!</v>
      </c>
      <c r="F15" s="307" t="e">
        <f>SUMPRODUCT(C13:C14,F13:F14)/C15</f>
        <v>#DIV/0!</v>
      </c>
      <c r="G15" s="198" t="e">
        <f>SUMPRODUCT($C13:$C14,G13:G14)/$C15</f>
        <v>#DIV/0!</v>
      </c>
      <c r="J15" s="22"/>
      <c r="K15" s="44"/>
      <c r="L15" s="44"/>
      <c r="M15" s="49"/>
      <c r="N15" s="1"/>
      <c r="R15" s="18"/>
      <c r="S15" s="44"/>
      <c r="T15" s="265"/>
      <c r="X15" s="1" t="s">
        <v>711</v>
      </c>
    </row>
    <row r="16" spans="1:34" ht="15.75" x14ac:dyDescent="0.25">
      <c r="A16" s="86"/>
      <c r="B16" s="201"/>
      <c r="C16" s="201"/>
      <c r="D16" s="814" t="s">
        <v>450</v>
      </c>
      <c r="E16" s="814"/>
      <c r="F16" s="784" t="s">
        <v>451</v>
      </c>
      <c r="G16" s="784"/>
      <c r="J16" s="22"/>
      <c r="K16" s="44"/>
      <c r="L16" s="1"/>
      <c r="M16" s="49"/>
      <c r="N16" s="1"/>
      <c r="O16" s="449"/>
      <c r="Q16" s="18"/>
      <c r="T16" s="2"/>
      <c r="V16" s="13"/>
      <c r="W16" s="15" t="s">
        <v>136</v>
      </c>
      <c r="X16" s="15" t="s">
        <v>137</v>
      </c>
      <c r="Y16" s="15" t="s">
        <v>289</v>
      </c>
      <c r="Z16" s="85" t="s">
        <v>290</v>
      </c>
      <c r="AA16" s="15" t="s">
        <v>291</v>
      </c>
      <c r="AB16" s="15" t="s">
        <v>292</v>
      </c>
      <c r="AC16" s="15" t="s">
        <v>200</v>
      </c>
      <c r="AD16" s="15" t="s">
        <v>293</v>
      </c>
      <c r="AE16" s="15" t="s">
        <v>294</v>
      </c>
      <c r="AF16" s="15" t="s">
        <v>295</v>
      </c>
    </row>
    <row r="17" spans="1:41" ht="28.5" customHeight="1" thickBot="1" x14ac:dyDescent="0.4">
      <c r="A17" s="843" t="s">
        <v>296</v>
      </c>
      <c r="B17" s="843"/>
      <c r="C17" s="18"/>
      <c r="D17" s="18">
        <v>2021</v>
      </c>
      <c r="E17" s="18">
        <v>2010</v>
      </c>
      <c r="F17" s="18">
        <v>2021</v>
      </c>
      <c r="G17" s="18">
        <v>2010</v>
      </c>
      <c r="K17" s="440"/>
      <c r="L17" s="441"/>
      <c r="P17" s="18"/>
      <c r="S17" s="443"/>
      <c r="T17" s="444"/>
      <c r="U17" s="196"/>
      <c r="V17" s="272" t="s">
        <v>139</v>
      </c>
      <c r="W17" s="295"/>
      <c r="X17" s="295"/>
      <c r="Y17" s="295"/>
      <c r="Z17" s="95">
        <f>'Yield-data'!J5</f>
        <v>0</v>
      </c>
      <c r="AA17" s="140">
        <f>IFERROR(Z17*B33,"")</f>
        <v>0</v>
      </c>
      <c r="AB17" s="575">
        <f>'Yield-penalty-by-LD-class'!N5</f>
        <v>0</v>
      </c>
      <c r="AC17" s="575">
        <f>'Yield-penalty-by-LD-class'!O5</f>
        <v>0</v>
      </c>
      <c r="AD17" s="95">
        <f>IFERROR(((W17-X17)/X17)-AB17,0)</f>
        <v>0</v>
      </c>
      <c r="AE17" s="95">
        <f>IFERROR(((X17-Y17)/Y17)-AC17,0)</f>
        <v>0</v>
      </c>
      <c r="AF17" s="95">
        <f>SUMPRODUCT(W17:Y17,C33:E33)-Z17</f>
        <v>0</v>
      </c>
    </row>
    <row r="18" spans="1:41" ht="15.75" thickBot="1" x14ac:dyDescent="0.3">
      <c r="A18" s="1" t="s">
        <v>712</v>
      </c>
      <c r="B18" s="1"/>
      <c r="C18" s="1"/>
      <c r="D18" s="214" t="e">
        <f>D15/K1</f>
        <v>#DIV/0!</v>
      </c>
      <c r="E18" s="312" t="e">
        <f>F15/K5</f>
        <v>#DIV/0!</v>
      </c>
      <c r="F18" s="214" t="e">
        <f>D15</f>
        <v>#DIV/0!</v>
      </c>
      <c r="G18" s="312" t="e">
        <f>F15</f>
        <v>#DIV/0!</v>
      </c>
      <c r="K18" s="246"/>
      <c r="L18" s="441"/>
      <c r="S18" s="443"/>
      <c r="T18" s="444"/>
      <c r="U18" s="196"/>
      <c r="V18" s="13" t="s">
        <v>140</v>
      </c>
      <c r="W18" s="295"/>
      <c r="X18" s="295"/>
      <c r="Y18" s="295"/>
      <c r="Z18" s="95">
        <f>'Yield-data'!J6</f>
        <v>0</v>
      </c>
      <c r="AA18" s="140">
        <f t="shared" ref="AA18:AA40" si="0">IFERROR(Z18*B34,"")</f>
        <v>0</v>
      </c>
      <c r="AB18" s="206">
        <f>'Yield-penalty-by-LD-class'!N6</f>
        <v>0</v>
      </c>
      <c r="AC18" s="206">
        <f>'Yield-penalty-by-LD-class'!O6</f>
        <v>0</v>
      </c>
      <c r="AD18" s="95">
        <f t="shared" ref="AD18:AD40" si="1">IFERROR(((W18-X18)/X18)-AB18,0)</f>
        <v>0</v>
      </c>
      <c r="AE18" s="95">
        <f t="shared" ref="AE18:AE40" si="2">IFERROR(((X18-Y18)/Y18)-AC18,0)</f>
        <v>0</v>
      </c>
      <c r="AF18" s="95">
        <f t="shared" ref="AF18:AF40" si="3">SUMPRODUCT(W18:Y18,C34:E34)-Z18</f>
        <v>0</v>
      </c>
    </row>
    <row r="19" spans="1:41" ht="15.75" thickBot="1" x14ac:dyDescent="0.3">
      <c r="A19" s="1" t="s">
        <v>713</v>
      </c>
      <c r="B19" s="1"/>
      <c r="C19" s="1"/>
      <c r="D19" s="214" t="e">
        <f>E15/K1</f>
        <v>#DIV/0!</v>
      </c>
      <c r="E19" s="312" t="e">
        <f>G15/K5</f>
        <v>#DIV/0!</v>
      </c>
      <c r="F19" s="214" t="e">
        <f>E15</f>
        <v>#DIV/0!</v>
      </c>
      <c r="G19" s="312" t="e">
        <f>G15</f>
        <v>#DIV/0!</v>
      </c>
      <c r="K19" s="246"/>
      <c r="L19" s="441"/>
      <c r="S19" s="443"/>
      <c r="T19" s="444"/>
      <c r="V19" s="13" t="s">
        <v>141</v>
      </c>
      <c r="W19" s="295"/>
      <c r="X19" s="295"/>
      <c r="Y19" s="295"/>
      <c r="Z19" s="95">
        <f>'Yield-data'!J7</f>
        <v>0</v>
      </c>
      <c r="AA19" s="140">
        <f t="shared" si="0"/>
        <v>0</v>
      </c>
      <c r="AB19" s="206">
        <f>'Yield-penalty-by-LD-class'!N7</f>
        <v>0</v>
      </c>
      <c r="AC19" s="206">
        <f>'Yield-penalty-by-LD-class'!O7</f>
        <v>0</v>
      </c>
      <c r="AD19" s="95">
        <f t="shared" si="1"/>
        <v>0</v>
      </c>
      <c r="AE19" s="95">
        <f t="shared" si="2"/>
        <v>0</v>
      </c>
      <c r="AF19" s="95">
        <f t="shared" si="3"/>
        <v>0</v>
      </c>
    </row>
    <row r="20" spans="1:41" ht="15.75" thickBot="1" x14ac:dyDescent="0.3">
      <c r="A20" s="1"/>
      <c r="B20" s="1"/>
      <c r="C20" s="1"/>
      <c r="D20" s="80" t="s">
        <v>493</v>
      </c>
      <c r="E20" s="17" t="s">
        <v>300</v>
      </c>
      <c r="F20" s="126"/>
      <c r="K20" s="246"/>
      <c r="L20" s="441"/>
      <c r="S20" s="443"/>
      <c r="T20" s="444"/>
      <c r="V20" s="13" t="s">
        <v>142</v>
      </c>
      <c r="W20" s="295"/>
      <c r="X20" s="295"/>
      <c r="Y20" s="295"/>
      <c r="Z20" s="95">
        <f>'Yield-data'!J8</f>
        <v>0</v>
      </c>
      <c r="AA20" s="140">
        <f t="shared" si="0"/>
        <v>0</v>
      </c>
      <c r="AB20" s="206">
        <f>'Yield-penalty-by-LD-class'!N8</f>
        <v>0</v>
      </c>
      <c r="AC20" s="206">
        <f>'Yield-penalty-by-LD-class'!O8</f>
        <v>0</v>
      </c>
      <c r="AD20" s="95">
        <f t="shared" si="1"/>
        <v>0</v>
      </c>
      <c r="AE20" s="95">
        <f t="shared" si="2"/>
        <v>0</v>
      </c>
      <c r="AF20" s="95">
        <f t="shared" si="3"/>
        <v>0</v>
      </c>
    </row>
    <row r="21" spans="1:41" ht="15.75" thickBot="1" x14ac:dyDescent="0.3">
      <c r="A21" s="1" t="s">
        <v>301</v>
      </c>
      <c r="B21" s="1"/>
      <c r="C21" s="1"/>
      <c r="D21" s="124" t="e">
        <f>(F18-G18)/($F$17-$G$17)/K1</f>
        <v>#DIV/0!</v>
      </c>
      <c r="E21" s="124" t="e">
        <f>(F19-G19)/(F17-G17)/K5</f>
        <v>#DIV/0!</v>
      </c>
      <c r="M21" s="44"/>
      <c r="N21" s="44"/>
      <c r="O21" s="44"/>
      <c r="P21" s="44"/>
      <c r="Q21" s="44"/>
      <c r="S21" s="443"/>
      <c r="T21" s="444"/>
      <c r="V21" s="13" t="s">
        <v>143</v>
      </c>
      <c r="W21" s="295"/>
      <c r="X21" s="295"/>
      <c r="Y21" s="295"/>
      <c r="Z21" s="95">
        <f>'Yield-data'!J9</f>
        <v>0</v>
      </c>
      <c r="AA21" s="140">
        <f t="shared" si="0"/>
        <v>0</v>
      </c>
      <c r="AB21" s="206">
        <f>'Yield-penalty-by-LD-class'!N9</f>
        <v>0</v>
      </c>
      <c r="AC21" s="206">
        <f>'Yield-penalty-by-LD-class'!O9</f>
        <v>0</v>
      </c>
      <c r="AD21" s="95">
        <f t="shared" si="1"/>
        <v>0</v>
      </c>
      <c r="AE21" s="95">
        <f t="shared" si="2"/>
        <v>0</v>
      </c>
      <c r="AF21" s="95">
        <f t="shared" si="3"/>
        <v>0</v>
      </c>
    </row>
    <row r="22" spans="1:41" ht="15.75" thickBot="1" x14ac:dyDescent="0.3">
      <c r="A22" s="1" t="s">
        <v>302</v>
      </c>
      <c r="B22" s="1"/>
      <c r="C22" s="1"/>
      <c r="D22" s="124" t="e">
        <f>D21*$F$23</f>
        <v>#DIV/0!</v>
      </c>
      <c r="E22" s="124" t="e">
        <f>E21*$F$23</f>
        <v>#DIV/0!</v>
      </c>
      <c r="F22" s="1"/>
      <c r="M22" s="1"/>
      <c r="N22" s="1"/>
      <c r="O22" s="1"/>
      <c r="P22" s="1"/>
      <c r="Q22" s="1"/>
      <c r="S22" s="443"/>
      <c r="T22" s="444"/>
      <c r="V22" s="13" t="s">
        <v>144</v>
      </c>
      <c r="W22" s="295"/>
      <c r="X22" s="295"/>
      <c r="Y22" s="295"/>
      <c r="Z22" s="95">
        <f>'Yield-data'!J10</f>
        <v>0</v>
      </c>
      <c r="AA22" s="140">
        <f t="shared" si="0"/>
        <v>0</v>
      </c>
      <c r="AB22" s="206">
        <f>'Yield-penalty-by-LD-class'!N10</f>
        <v>0</v>
      </c>
      <c r="AC22" s="206">
        <f>'Yield-penalty-by-LD-class'!O10</f>
        <v>0</v>
      </c>
      <c r="AD22" s="95">
        <f t="shared" si="1"/>
        <v>0</v>
      </c>
      <c r="AE22" s="95">
        <f t="shared" si="2"/>
        <v>0</v>
      </c>
      <c r="AF22" s="95">
        <f t="shared" si="3"/>
        <v>0</v>
      </c>
    </row>
    <row r="23" spans="1:41" ht="15.75" thickBot="1" x14ac:dyDescent="0.3">
      <c r="A23" s="1" t="s">
        <v>303</v>
      </c>
      <c r="B23" s="1"/>
      <c r="C23" s="176">
        <f>'Cereals-all-year'!C24</f>
        <v>6.0970000000000003E-2</v>
      </c>
      <c r="D23" s="1"/>
      <c r="E23" s="1" t="s">
        <v>304</v>
      </c>
      <c r="F23" s="78">
        <f>1/(1+C23)</f>
        <v>0.94253371914380235</v>
      </c>
      <c r="M23" s="452"/>
      <c r="N23" s="33"/>
      <c r="O23" s="33"/>
      <c r="P23" s="33"/>
      <c r="S23" s="443"/>
      <c r="T23" s="444"/>
      <c r="V23" s="13" t="s">
        <v>145</v>
      </c>
      <c r="W23" s="295"/>
      <c r="X23" s="295"/>
      <c r="Y23" s="295"/>
      <c r="Z23" s="95">
        <f>'Yield-data'!J11</f>
        <v>0</v>
      </c>
      <c r="AA23" s="140">
        <f t="shared" si="0"/>
        <v>0</v>
      </c>
      <c r="AB23" s="206">
        <f>'Yield-penalty-by-LD-class'!N11</f>
        <v>0</v>
      </c>
      <c r="AC23" s="206">
        <f>'Yield-penalty-by-LD-class'!O11</f>
        <v>0</v>
      </c>
      <c r="AD23" s="95">
        <f t="shared" si="1"/>
        <v>0</v>
      </c>
      <c r="AE23" s="95">
        <f t="shared" si="2"/>
        <v>0</v>
      </c>
      <c r="AF23" s="95">
        <f t="shared" si="3"/>
        <v>0</v>
      </c>
    </row>
    <row r="24" spans="1:41" ht="28.5" customHeight="1" thickBot="1" x14ac:dyDescent="0.3">
      <c r="A24" s="1"/>
      <c r="B24" s="1"/>
      <c r="C24" s="1"/>
      <c r="D24" s="1"/>
      <c r="E24" s="1"/>
      <c r="M24" s="452"/>
      <c r="N24" s="33"/>
      <c r="O24" s="33"/>
      <c r="P24" s="33"/>
      <c r="S24" s="443"/>
      <c r="T24" s="444"/>
      <c r="V24" s="13" t="s">
        <v>146</v>
      </c>
      <c r="W24" s="295"/>
      <c r="X24" s="295"/>
      <c r="Y24" s="295"/>
      <c r="Z24" s="95">
        <f>'Yield-data'!J12</f>
        <v>0</v>
      </c>
      <c r="AA24" s="140">
        <f t="shared" si="0"/>
        <v>0</v>
      </c>
      <c r="AB24" s="206">
        <f>'Yield-penalty-by-LD-class'!N12</f>
        <v>0</v>
      </c>
      <c r="AC24" s="206">
        <f>'Yield-penalty-by-LD-class'!O12</f>
        <v>0</v>
      </c>
      <c r="AD24" s="95">
        <f t="shared" si="1"/>
        <v>0</v>
      </c>
      <c r="AE24" s="95">
        <f t="shared" si="2"/>
        <v>0</v>
      </c>
      <c r="AF24" s="95">
        <f t="shared" si="3"/>
        <v>0</v>
      </c>
    </row>
    <row r="25" spans="1:41" ht="28.5" customHeight="1" thickBot="1" x14ac:dyDescent="0.3">
      <c r="A25" s="844" t="s">
        <v>305</v>
      </c>
      <c r="B25" s="844"/>
      <c r="C25" s="844"/>
      <c r="D25" s="844"/>
      <c r="E25" s="18"/>
      <c r="M25" s="452"/>
      <c r="N25" s="33"/>
      <c r="O25" s="33"/>
      <c r="P25" s="33"/>
      <c r="S25" s="443"/>
      <c r="T25" s="444"/>
      <c r="V25" s="13" t="s">
        <v>147</v>
      </c>
      <c r="W25" s="295"/>
      <c r="X25" s="295"/>
      <c r="Y25" s="295"/>
      <c r="Z25" s="95">
        <f>'Yield-data'!J13</f>
        <v>0</v>
      </c>
      <c r="AA25" s="140">
        <f t="shared" si="0"/>
        <v>0</v>
      </c>
      <c r="AB25" s="206">
        <f>'Yield-penalty-by-LD-class'!N13</f>
        <v>0</v>
      </c>
      <c r="AC25" s="206">
        <f>'Yield-penalty-by-LD-class'!O13</f>
        <v>0</v>
      </c>
      <c r="AD25" s="95">
        <f t="shared" si="1"/>
        <v>0</v>
      </c>
      <c r="AE25" s="95">
        <f t="shared" si="2"/>
        <v>0</v>
      </c>
      <c r="AF25" s="95">
        <f t="shared" si="3"/>
        <v>0</v>
      </c>
    </row>
    <row r="26" spans="1:41" ht="15.75" thickBot="1" x14ac:dyDescent="0.3">
      <c r="A26" s="844" t="s">
        <v>306</v>
      </c>
      <c r="B26" s="844"/>
      <c r="C26" s="18"/>
      <c r="D26" s="18"/>
      <c r="E26" s="18"/>
      <c r="M26" s="452"/>
      <c r="N26" s="33"/>
      <c r="O26" s="33"/>
      <c r="P26" s="33"/>
      <c r="S26" s="443"/>
      <c r="T26" s="444"/>
      <c r="V26" s="13" t="s">
        <v>148</v>
      </c>
      <c r="W26" s="295"/>
      <c r="X26" s="295"/>
      <c r="Y26" s="295"/>
      <c r="Z26" s="95">
        <f>'Yield-data'!J14</f>
        <v>0</v>
      </c>
      <c r="AA26" s="140">
        <f t="shared" si="0"/>
        <v>0</v>
      </c>
      <c r="AB26" s="206">
        <f>'Yield-penalty-by-LD-class'!N14</f>
        <v>0</v>
      </c>
      <c r="AC26" s="206">
        <f>'Yield-penalty-by-LD-class'!O14</f>
        <v>0</v>
      </c>
      <c r="AD26" s="95">
        <f t="shared" si="1"/>
        <v>0</v>
      </c>
      <c r="AE26" s="95">
        <f t="shared" si="2"/>
        <v>0</v>
      </c>
      <c r="AF26" s="95">
        <f t="shared" si="3"/>
        <v>0</v>
      </c>
    </row>
    <row r="27" spans="1:41" ht="27.6" customHeight="1" x14ac:dyDescent="0.25">
      <c r="A27" s="3" t="s">
        <v>714</v>
      </c>
      <c r="B27" s="3"/>
      <c r="C27" s="3"/>
      <c r="D27" s="3"/>
      <c r="E27" s="3"/>
      <c r="M27" s="441"/>
      <c r="N27" s="34"/>
      <c r="O27" s="34"/>
      <c r="P27" s="34"/>
      <c r="Q27" s="35"/>
      <c r="V27" s="13" t="s">
        <v>149</v>
      </c>
      <c r="W27" s="295"/>
      <c r="X27" s="295"/>
      <c r="Y27" s="295"/>
      <c r="Z27" s="95">
        <f>'Yield-data'!J15</f>
        <v>0</v>
      </c>
      <c r="AA27" s="140">
        <f t="shared" si="0"/>
        <v>0</v>
      </c>
      <c r="AB27" s="206">
        <f>'Yield-penalty-by-LD-class'!N15</f>
        <v>0</v>
      </c>
      <c r="AC27" s="206">
        <f>'Yield-penalty-by-LD-class'!O15</f>
        <v>0</v>
      </c>
      <c r="AD27" s="95">
        <f t="shared" si="1"/>
        <v>0</v>
      </c>
      <c r="AE27" s="95">
        <f t="shared" si="2"/>
        <v>0</v>
      </c>
      <c r="AF27" s="95">
        <f t="shared" si="3"/>
        <v>0</v>
      </c>
      <c r="AL27" s="1"/>
      <c r="AM27" s="1"/>
      <c r="AN27" s="1"/>
      <c r="AO27" s="22"/>
    </row>
    <row r="28" spans="1:41" x14ac:dyDescent="0.25">
      <c r="A28" s="1" t="s">
        <v>308</v>
      </c>
      <c r="F28" s="1"/>
      <c r="V28" s="13" t="s">
        <v>150</v>
      </c>
      <c r="W28" s="295"/>
      <c r="X28" s="295"/>
      <c r="Y28" s="295"/>
      <c r="Z28" s="95">
        <f>'Yield-data'!J16</f>
        <v>0</v>
      </c>
      <c r="AA28" s="140">
        <f t="shared" si="0"/>
        <v>0</v>
      </c>
      <c r="AB28" s="206">
        <f>'Yield-penalty-by-LD-class'!N16</f>
        <v>0</v>
      </c>
      <c r="AC28" s="206">
        <f>'Yield-penalty-by-LD-class'!O16</f>
        <v>0</v>
      </c>
      <c r="AD28" s="95">
        <f t="shared" si="1"/>
        <v>0</v>
      </c>
      <c r="AE28" s="95">
        <f t="shared" si="2"/>
        <v>0</v>
      </c>
      <c r="AF28" s="95">
        <f t="shared" si="3"/>
        <v>0</v>
      </c>
      <c r="AL28" s="49"/>
      <c r="AM28" s="49"/>
      <c r="AN28" s="49"/>
      <c r="AO28" s="49"/>
    </row>
    <row r="29" spans="1:41" x14ac:dyDescent="0.25">
      <c r="V29" s="13" t="s">
        <v>151</v>
      </c>
      <c r="W29" s="295"/>
      <c r="X29" s="295"/>
      <c r="Y29" s="295"/>
      <c r="Z29" s="95">
        <f>'Yield-data'!J17</f>
        <v>0</v>
      </c>
      <c r="AA29" s="140">
        <f t="shared" si="0"/>
        <v>0</v>
      </c>
      <c r="AB29" s="206">
        <f>'Yield-penalty-by-LD-class'!N17</f>
        <v>0</v>
      </c>
      <c r="AC29" s="206">
        <f>'Yield-penalty-by-LD-class'!O17</f>
        <v>0</v>
      </c>
      <c r="AD29" s="95">
        <f t="shared" si="1"/>
        <v>0</v>
      </c>
      <c r="AE29" s="95">
        <f t="shared" si="2"/>
        <v>0</v>
      </c>
      <c r="AF29" s="95">
        <f t="shared" si="3"/>
        <v>0</v>
      </c>
      <c r="AL29" s="83"/>
      <c r="AM29" s="83"/>
      <c r="AN29" s="83"/>
    </row>
    <row r="30" spans="1:41" ht="19.350000000000001" customHeight="1" x14ac:dyDescent="0.25">
      <c r="A30" s="1" t="s">
        <v>715</v>
      </c>
      <c r="D30" s="1"/>
      <c r="F30" s="1"/>
      <c r="G30" s="60"/>
      <c r="H30" s="60"/>
      <c r="J30" s="246"/>
      <c r="K30" s="246"/>
      <c r="L30" s="442"/>
      <c r="V30" s="13" t="s">
        <v>152</v>
      </c>
      <c r="W30" s="295"/>
      <c r="X30" s="295"/>
      <c r="Y30" s="295"/>
      <c r="Z30" s="95">
        <f>'Yield-data'!J18</f>
        <v>0</v>
      </c>
      <c r="AA30" s="140">
        <f t="shared" si="0"/>
        <v>0</v>
      </c>
      <c r="AB30" s="206">
        <f>'Yield-penalty-by-LD-class'!N18</f>
        <v>0</v>
      </c>
      <c r="AC30" s="206">
        <f>'Yield-penalty-by-LD-class'!O18</f>
        <v>0</v>
      </c>
      <c r="AD30" s="95">
        <f t="shared" si="1"/>
        <v>0</v>
      </c>
      <c r="AE30" s="95">
        <f t="shared" si="2"/>
        <v>0</v>
      </c>
      <c r="AF30" s="95">
        <f t="shared" si="3"/>
        <v>0</v>
      </c>
    </row>
    <row r="31" spans="1:41" ht="44.45" customHeight="1" x14ac:dyDescent="0.25">
      <c r="A31" s="1" t="s">
        <v>101</v>
      </c>
      <c r="B31" s="814" t="s">
        <v>716</v>
      </c>
      <c r="C31" s="814" t="s">
        <v>717</v>
      </c>
      <c r="D31" s="814"/>
      <c r="E31" s="814"/>
      <c r="F31" s="814"/>
      <c r="G31" s="814" t="s">
        <v>718</v>
      </c>
      <c r="H31" s="814"/>
      <c r="I31" s="814"/>
      <c r="J31" s="814"/>
      <c r="K31" s="814" t="s">
        <v>719</v>
      </c>
      <c r="L31" s="814"/>
      <c r="M31" s="814"/>
      <c r="N31" s="814"/>
      <c r="O31" s="814" t="s">
        <v>720</v>
      </c>
      <c r="P31" s="814"/>
      <c r="Q31" s="814"/>
      <c r="R31" s="814"/>
      <c r="S31" s="17" t="s">
        <v>120</v>
      </c>
      <c r="T31" s="44"/>
      <c r="V31" s="13" t="s">
        <v>153</v>
      </c>
      <c r="W31" s="295"/>
      <c r="X31" s="295"/>
      <c r="Y31" s="295"/>
      <c r="Z31" s="95">
        <f>'Yield-data'!J19</f>
        <v>0</v>
      </c>
      <c r="AA31" s="140">
        <f t="shared" si="0"/>
        <v>0</v>
      </c>
      <c r="AB31" s="206">
        <f>'Yield-penalty-by-LD-class'!N19</f>
        <v>0</v>
      </c>
      <c r="AC31" s="206">
        <f>'Yield-penalty-by-LD-class'!O19</f>
        <v>0</v>
      </c>
      <c r="AD31" s="95">
        <f t="shared" si="1"/>
        <v>0</v>
      </c>
      <c r="AE31" s="95">
        <f t="shared" si="2"/>
        <v>0</v>
      </c>
      <c r="AF31" s="95">
        <f t="shared" si="3"/>
        <v>0</v>
      </c>
      <c r="AM31" s="52"/>
      <c r="AN31" s="1"/>
      <c r="AO31" s="1"/>
    </row>
    <row r="32" spans="1:41" x14ac:dyDescent="0.25">
      <c r="A32" s="1"/>
      <c r="B32" s="814"/>
      <c r="C32" s="1" t="s">
        <v>136</v>
      </c>
      <c r="D32" s="1" t="s">
        <v>137</v>
      </c>
      <c r="E32" s="1" t="s">
        <v>138</v>
      </c>
      <c r="F32" s="1" t="s">
        <v>120</v>
      </c>
      <c r="G32" s="1" t="s">
        <v>136</v>
      </c>
      <c r="H32" s="1" t="s">
        <v>137</v>
      </c>
      <c r="I32" s="1" t="s">
        <v>289</v>
      </c>
      <c r="J32" s="1" t="s">
        <v>120</v>
      </c>
      <c r="K32" s="1" t="s">
        <v>136</v>
      </c>
      <c r="L32" s="1" t="s">
        <v>137</v>
      </c>
      <c r="M32" s="1" t="s">
        <v>289</v>
      </c>
      <c r="N32" s="1" t="s">
        <v>120</v>
      </c>
      <c r="O32" s="1" t="s">
        <v>136</v>
      </c>
      <c r="P32" s="1" t="s">
        <v>137</v>
      </c>
      <c r="Q32" s="1" t="s">
        <v>289</v>
      </c>
      <c r="R32" s="1" t="s">
        <v>120</v>
      </c>
      <c r="V32" s="13" t="s">
        <v>154</v>
      </c>
      <c r="W32" s="295"/>
      <c r="X32" s="295"/>
      <c r="Y32" s="295"/>
      <c r="Z32" s="95">
        <f>'Yield-data'!J20</f>
        <v>0</v>
      </c>
      <c r="AA32" s="140">
        <f t="shared" si="0"/>
        <v>0</v>
      </c>
      <c r="AB32" s="206">
        <f>'Yield-penalty-by-LD-class'!N20</f>
        <v>0</v>
      </c>
      <c r="AC32" s="206">
        <f>'Yield-penalty-by-LD-class'!O20</f>
        <v>0</v>
      </c>
      <c r="AD32" s="95">
        <f t="shared" si="1"/>
        <v>0</v>
      </c>
      <c r="AE32" s="95">
        <f t="shared" si="2"/>
        <v>0</v>
      </c>
      <c r="AF32" s="95">
        <f t="shared" si="3"/>
        <v>0</v>
      </c>
    </row>
    <row r="33" spans="1:32" x14ac:dyDescent="0.25">
      <c r="A33" s="13" t="s">
        <v>139</v>
      </c>
      <c r="B33" s="67">
        <f>'Area&amp;production data'!M5</f>
        <v>0</v>
      </c>
      <c r="C33" s="169">
        <f>'Area&amp;production data'!BY5</f>
        <v>0</v>
      </c>
      <c r="D33" s="169">
        <f>'Area&amp;production data'!BZ5</f>
        <v>0</v>
      </c>
      <c r="E33" s="169">
        <f>'Area&amp;production data'!CA5</f>
        <v>0</v>
      </c>
      <c r="F33" s="25">
        <f>SUM(C33:E33)</f>
        <v>0</v>
      </c>
      <c r="G33" s="180">
        <f>IFERROR($W17-W17,0)</f>
        <v>0</v>
      </c>
      <c r="H33" s="180">
        <f>IFERROR($W17-X17,0)</f>
        <v>0</v>
      </c>
      <c r="I33" s="180">
        <f t="shared" ref="I33" si="4">IFERROR($W17-Y17,0)</f>
        <v>0</v>
      </c>
      <c r="J33" s="81">
        <f>SUMPRODUCT(C33:E33,G33:I33)</f>
        <v>0</v>
      </c>
      <c r="K33" s="38">
        <f t="shared" ref="K33:M33" si="5">G33*C33*$B33</f>
        <v>0</v>
      </c>
      <c r="L33" s="38">
        <f t="shared" si="5"/>
        <v>0</v>
      </c>
      <c r="M33" s="38">
        <f t="shared" si="5"/>
        <v>0</v>
      </c>
      <c r="N33" s="38">
        <f>SUM(K33:M33)</f>
        <v>0</v>
      </c>
      <c r="O33" s="38" t="e">
        <f t="shared" ref="O33:Q33" si="6">$D$18*K33</f>
        <v>#DIV/0!</v>
      </c>
      <c r="P33" s="38" t="e">
        <f t="shared" si="6"/>
        <v>#DIV/0!</v>
      </c>
      <c r="Q33" s="38" t="e">
        <f t="shared" si="6"/>
        <v>#DIV/0!</v>
      </c>
      <c r="R33" s="24" t="e">
        <f>SUM(O33:Q33)</f>
        <v>#DIV/0!</v>
      </c>
      <c r="V33" s="13" t="s">
        <v>155</v>
      </c>
      <c r="W33" s="295"/>
      <c r="X33" s="295"/>
      <c r="Y33" s="295"/>
      <c r="Z33" s="95">
        <f>'Yield-data'!J21</f>
        <v>0</v>
      </c>
      <c r="AA33" s="140">
        <f t="shared" si="0"/>
        <v>0</v>
      </c>
      <c r="AB33" s="206">
        <f>'Yield-penalty-by-LD-class'!N21</f>
        <v>0</v>
      </c>
      <c r="AC33" s="206">
        <f>'Yield-penalty-by-LD-class'!O21</f>
        <v>0</v>
      </c>
      <c r="AD33" s="95">
        <f t="shared" si="1"/>
        <v>0</v>
      </c>
      <c r="AE33" s="95">
        <f t="shared" si="2"/>
        <v>0</v>
      </c>
      <c r="AF33" s="719">
        <f t="shared" si="3"/>
        <v>0</v>
      </c>
    </row>
    <row r="34" spans="1:32" x14ac:dyDescent="0.25">
      <c r="A34" s="13" t="s">
        <v>140</v>
      </c>
      <c r="B34" s="67">
        <f>'Area&amp;production data'!M6</f>
        <v>0</v>
      </c>
      <c r="C34" s="169">
        <f>'Area&amp;production data'!BY6</f>
        <v>0</v>
      </c>
      <c r="D34" s="169">
        <f>'Area&amp;production data'!BZ6</f>
        <v>0</v>
      </c>
      <c r="E34" s="169">
        <f>'Area&amp;production data'!CA6</f>
        <v>0</v>
      </c>
      <c r="F34" s="25">
        <f t="shared" ref="F34:F56" si="7">SUM(C34:E34)</f>
        <v>0</v>
      </c>
      <c r="G34" s="180">
        <f t="shared" ref="G34:G56" si="8">IFERROR($W18-W18,0)</f>
        <v>0</v>
      </c>
      <c r="H34" s="180">
        <f t="shared" ref="H34:H56" si="9">IFERROR($W18-X18,0)</f>
        <v>0</v>
      </c>
      <c r="I34" s="180">
        <f t="shared" ref="I34:I56" si="10">IFERROR($W18-Y18,0)</f>
        <v>0</v>
      </c>
      <c r="J34" s="81">
        <f t="shared" ref="J34:J56" si="11">SUMPRODUCT(C34:E34,G34:I34)</f>
        <v>0</v>
      </c>
      <c r="K34" s="38">
        <f t="shared" ref="K34:K56" si="12">G34*C34*$B34</f>
        <v>0</v>
      </c>
      <c r="L34" s="38">
        <f t="shared" ref="L34:L56" si="13">H34*D34*$B34</f>
        <v>0</v>
      </c>
      <c r="M34" s="38">
        <f t="shared" ref="M34:M56" si="14">I34*E34*$B34</f>
        <v>0</v>
      </c>
      <c r="N34" s="38">
        <f t="shared" ref="N34:N56" si="15">SUM(K34:M34)</f>
        <v>0</v>
      </c>
      <c r="O34" s="38" t="e">
        <f t="shared" ref="O34:O56" si="16">$D$18*K34</f>
        <v>#DIV/0!</v>
      </c>
      <c r="P34" s="38" t="e">
        <f t="shared" ref="P34:P56" si="17">$D$18*L34</f>
        <v>#DIV/0!</v>
      </c>
      <c r="Q34" s="38" t="e">
        <f t="shared" ref="Q34:Q56" si="18">$D$18*M34</f>
        <v>#DIV/0!</v>
      </c>
      <c r="R34" s="24" t="e">
        <f t="shared" ref="R34:R56" si="19">SUM(O34:Q34)</f>
        <v>#DIV/0!</v>
      </c>
      <c r="V34" s="13" t="s">
        <v>156</v>
      </c>
      <c r="W34" s="295"/>
      <c r="X34" s="295"/>
      <c r="Y34" s="295"/>
      <c r="Z34" s="95">
        <f>'Yield-data'!J22</f>
        <v>0</v>
      </c>
      <c r="AA34" s="140">
        <f t="shared" si="0"/>
        <v>0</v>
      </c>
      <c r="AB34" s="206">
        <f>'Yield-penalty-by-LD-class'!N22</f>
        <v>0</v>
      </c>
      <c r="AC34" s="206">
        <f>'Yield-penalty-by-LD-class'!O22</f>
        <v>0</v>
      </c>
      <c r="AD34" s="95">
        <f t="shared" si="1"/>
        <v>0</v>
      </c>
      <c r="AE34" s="95">
        <f t="shared" si="2"/>
        <v>0</v>
      </c>
      <c r="AF34" s="95">
        <f t="shared" si="3"/>
        <v>0</v>
      </c>
    </row>
    <row r="35" spans="1:32" x14ac:dyDescent="0.25">
      <c r="A35" s="13" t="s">
        <v>141</v>
      </c>
      <c r="B35" s="67">
        <f>'Area&amp;production data'!M7</f>
        <v>0</v>
      </c>
      <c r="C35" s="169">
        <f>'Area&amp;production data'!BY7</f>
        <v>0</v>
      </c>
      <c r="D35" s="169">
        <f>'Area&amp;production data'!BZ7</f>
        <v>0</v>
      </c>
      <c r="E35" s="169">
        <f>'Area&amp;production data'!CA7</f>
        <v>0</v>
      </c>
      <c r="F35" s="25">
        <f t="shared" si="7"/>
        <v>0</v>
      </c>
      <c r="G35" s="180">
        <f t="shared" si="8"/>
        <v>0</v>
      </c>
      <c r="H35" s="180">
        <f t="shared" si="9"/>
        <v>0</v>
      </c>
      <c r="I35" s="180">
        <f t="shared" si="10"/>
        <v>0</v>
      </c>
      <c r="J35" s="81">
        <f t="shared" si="11"/>
        <v>0</v>
      </c>
      <c r="K35" s="38">
        <f t="shared" si="12"/>
        <v>0</v>
      </c>
      <c r="L35" s="38">
        <f t="shared" si="13"/>
        <v>0</v>
      </c>
      <c r="M35" s="38">
        <f t="shared" si="14"/>
        <v>0</v>
      </c>
      <c r="N35" s="38">
        <f t="shared" si="15"/>
        <v>0</v>
      </c>
      <c r="O35" s="38" t="e">
        <f t="shared" si="16"/>
        <v>#DIV/0!</v>
      </c>
      <c r="P35" s="38" t="e">
        <f t="shared" si="17"/>
        <v>#DIV/0!</v>
      </c>
      <c r="Q35" s="38" t="e">
        <f t="shared" si="18"/>
        <v>#DIV/0!</v>
      </c>
      <c r="R35" s="24" t="e">
        <f t="shared" si="19"/>
        <v>#DIV/0!</v>
      </c>
      <c r="V35" s="13" t="s">
        <v>157</v>
      </c>
      <c r="W35" s="295"/>
      <c r="X35" s="295"/>
      <c r="Y35" s="295"/>
      <c r="Z35" s="95">
        <f>'Yield-data'!J23</f>
        <v>0</v>
      </c>
      <c r="AA35" s="140">
        <f t="shared" si="0"/>
        <v>0</v>
      </c>
      <c r="AB35" s="206">
        <f>'Yield-penalty-by-LD-class'!N23</f>
        <v>0</v>
      </c>
      <c r="AC35" s="206">
        <f>'Yield-penalty-by-LD-class'!O23</f>
        <v>0</v>
      </c>
      <c r="AD35" s="95">
        <f t="shared" si="1"/>
        <v>0</v>
      </c>
      <c r="AE35" s="95">
        <f t="shared" si="2"/>
        <v>0</v>
      </c>
      <c r="AF35" s="95">
        <f t="shared" si="3"/>
        <v>0</v>
      </c>
    </row>
    <row r="36" spans="1:32" x14ac:dyDescent="0.25">
      <c r="A36" s="13" t="s">
        <v>142</v>
      </c>
      <c r="B36" s="67">
        <f>'Area&amp;production data'!M8</f>
        <v>0</v>
      </c>
      <c r="C36" s="169">
        <f>'Area&amp;production data'!BY8</f>
        <v>0</v>
      </c>
      <c r="D36" s="169">
        <f>'Area&amp;production data'!BZ8</f>
        <v>0</v>
      </c>
      <c r="E36" s="169">
        <f>'Area&amp;production data'!CA8</f>
        <v>0</v>
      </c>
      <c r="F36" s="25">
        <f t="shared" si="7"/>
        <v>0</v>
      </c>
      <c r="G36" s="180">
        <f t="shared" si="8"/>
        <v>0</v>
      </c>
      <c r="H36" s="180">
        <f t="shared" si="9"/>
        <v>0</v>
      </c>
      <c r="I36" s="180">
        <f t="shared" si="10"/>
        <v>0</v>
      </c>
      <c r="J36" s="81">
        <f t="shared" si="11"/>
        <v>0</v>
      </c>
      <c r="K36" s="38">
        <f t="shared" si="12"/>
        <v>0</v>
      </c>
      <c r="L36" s="38">
        <f t="shared" si="13"/>
        <v>0</v>
      </c>
      <c r="M36" s="38">
        <f t="shared" si="14"/>
        <v>0</v>
      </c>
      <c r="N36" s="38">
        <f t="shared" si="15"/>
        <v>0</v>
      </c>
      <c r="O36" s="38" t="e">
        <f t="shared" si="16"/>
        <v>#DIV/0!</v>
      </c>
      <c r="P36" s="38" t="e">
        <f t="shared" si="17"/>
        <v>#DIV/0!</v>
      </c>
      <c r="Q36" s="38" t="e">
        <f t="shared" si="18"/>
        <v>#DIV/0!</v>
      </c>
      <c r="R36" s="24" t="e">
        <f t="shared" si="19"/>
        <v>#DIV/0!</v>
      </c>
      <c r="V36" s="13" t="s">
        <v>158</v>
      </c>
      <c r="W36" s="295"/>
      <c r="X36" s="295"/>
      <c r="Y36" s="295"/>
      <c r="Z36" s="95">
        <f>'Yield-data'!J24</f>
        <v>0</v>
      </c>
      <c r="AA36" s="140">
        <f t="shared" si="0"/>
        <v>0</v>
      </c>
      <c r="AB36" s="206">
        <f>'Yield-penalty-by-LD-class'!N24</f>
        <v>0</v>
      </c>
      <c r="AC36" s="206">
        <f>'Yield-penalty-by-LD-class'!O24</f>
        <v>0</v>
      </c>
      <c r="AD36" s="95">
        <f t="shared" si="1"/>
        <v>0</v>
      </c>
      <c r="AE36" s="95">
        <f t="shared" si="2"/>
        <v>0</v>
      </c>
      <c r="AF36" s="95">
        <f t="shared" si="3"/>
        <v>0</v>
      </c>
    </row>
    <row r="37" spans="1:32" x14ac:dyDescent="0.25">
      <c r="A37" s="13" t="s">
        <v>143</v>
      </c>
      <c r="B37" s="67">
        <f>'Area&amp;production data'!M9</f>
        <v>0</v>
      </c>
      <c r="C37" s="169">
        <f>'Area&amp;production data'!BY9</f>
        <v>0</v>
      </c>
      <c r="D37" s="169">
        <f>'Area&amp;production data'!BZ9</f>
        <v>0</v>
      </c>
      <c r="E37" s="169">
        <f>'Area&amp;production data'!CA9</f>
        <v>0</v>
      </c>
      <c r="F37" s="25">
        <f t="shared" si="7"/>
        <v>0</v>
      </c>
      <c r="G37" s="180">
        <f t="shared" si="8"/>
        <v>0</v>
      </c>
      <c r="H37" s="180">
        <f t="shared" si="9"/>
        <v>0</v>
      </c>
      <c r="I37" s="180">
        <f t="shared" si="10"/>
        <v>0</v>
      </c>
      <c r="J37" s="81">
        <f t="shared" si="11"/>
        <v>0</v>
      </c>
      <c r="K37" s="38">
        <f t="shared" si="12"/>
        <v>0</v>
      </c>
      <c r="L37" s="38">
        <f t="shared" si="13"/>
        <v>0</v>
      </c>
      <c r="M37" s="38">
        <f t="shared" si="14"/>
        <v>0</v>
      </c>
      <c r="N37" s="38">
        <f t="shared" si="15"/>
        <v>0</v>
      </c>
      <c r="O37" s="38" t="e">
        <f t="shared" si="16"/>
        <v>#DIV/0!</v>
      </c>
      <c r="P37" s="38" t="e">
        <f t="shared" si="17"/>
        <v>#DIV/0!</v>
      </c>
      <c r="Q37" s="38" t="e">
        <f t="shared" si="18"/>
        <v>#DIV/0!</v>
      </c>
      <c r="R37" s="24" t="e">
        <f t="shared" si="19"/>
        <v>#DIV/0!</v>
      </c>
      <c r="V37" s="13" t="s">
        <v>159</v>
      </c>
      <c r="W37" s="295"/>
      <c r="X37" s="295"/>
      <c r="Y37" s="295"/>
      <c r="Z37" s="95">
        <f>'Yield-data'!J25</f>
        <v>0</v>
      </c>
      <c r="AA37" s="140">
        <f t="shared" si="0"/>
        <v>0</v>
      </c>
      <c r="AB37" s="206">
        <f>'Yield-penalty-by-LD-class'!N25</f>
        <v>0</v>
      </c>
      <c r="AC37" s="206">
        <f>'Yield-penalty-by-LD-class'!O25</f>
        <v>0</v>
      </c>
      <c r="AD37" s="95">
        <f t="shared" si="1"/>
        <v>0</v>
      </c>
      <c r="AE37" s="95">
        <f t="shared" si="2"/>
        <v>0</v>
      </c>
      <c r="AF37" s="95">
        <f t="shared" si="3"/>
        <v>0</v>
      </c>
    </row>
    <row r="38" spans="1:32" x14ac:dyDescent="0.25">
      <c r="A38" s="13" t="s">
        <v>144</v>
      </c>
      <c r="B38" s="67">
        <f>'Area&amp;production data'!M10</f>
        <v>0</v>
      </c>
      <c r="C38" s="169">
        <f>'Area&amp;production data'!BY10</f>
        <v>0</v>
      </c>
      <c r="D38" s="169">
        <f>'Area&amp;production data'!BZ10</f>
        <v>0</v>
      </c>
      <c r="E38" s="169">
        <f>'Area&amp;production data'!CA10</f>
        <v>0</v>
      </c>
      <c r="F38" s="25">
        <f t="shared" si="7"/>
        <v>0</v>
      </c>
      <c r="G38" s="180">
        <f t="shared" si="8"/>
        <v>0</v>
      </c>
      <c r="H38" s="180">
        <f t="shared" si="9"/>
        <v>0</v>
      </c>
      <c r="I38" s="180">
        <f t="shared" si="10"/>
        <v>0</v>
      </c>
      <c r="J38" s="81">
        <f t="shared" si="11"/>
        <v>0</v>
      </c>
      <c r="K38" s="38">
        <f t="shared" si="12"/>
        <v>0</v>
      </c>
      <c r="L38" s="38">
        <f t="shared" si="13"/>
        <v>0</v>
      </c>
      <c r="M38" s="38">
        <f t="shared" si="14"/>
        <v>0</v>
      </c>
      <c r="N38" s="38">
        <f t="shared" si="15"/>
        <v>0</v>
      </c>
      <c r="O38" s="38" t="e">
        <f t="shared" si="16"/>
        <v>#DIV/0!</v>
      </c>
      <c r="P38" s="38" t="e">
        <f t="shared" si="17"/>
        <v>#DIV/0!</v>
      </c>
      <c r="Q38" s="38" t="e">
        <f t="shared" si="18"/>
        <v>#DIV/0!</v>
      </c>
      <c r="R38" s="24" t="e">
        <f t="shared" si="19"/>
        <v>#DIV/0!</v>
      </c>
      <c r="V38" s="13" t="s">
        <v>160</v>
      </c>
      <c r="W38" s="295"/>
      <c r="X38" s="295"/>
      <c r="Y38" s="295"/>
      <c r="Z38" s="95">
        <f>'Yield-data'!J26</f>
        <v>0</v>
      </c>
      <c r="AA38" s="140">
        <f t="shared" si="0"/>
        <v>0</v>
      </c>
      <c r="AB38" s="206">
        <f>'Yield-penalty-by-LD-class'!N26</f>
        <v>0</v>
      </c>
      <c r="AC38" s="206">
        <f>'Yield-penalty-by-LD-class'!O26</f>
        <v>0</v>
      </c>
      <c r="AD38" s="95">
        <f t="shared" si="1"/>
        <v>0</v>
      </c>
      <c r="AE38" s="95">
        <f t="shared" si="2"/>
        <v>0</v>
      </c>
      <c r="AF38" s="95">
        <f t="shared" si="3"/>
        <v>0</v>
      </c>
    </row>
    <row r="39" spans="1:32" x14ac:dyDescent="0.25">
      <c r="A39" s="13" t="s">
        <v>145</v>
      </c>
      <c r="B39" s="67">
        <f>'Area&amp;production data'!M11</f>
        <v>0</v>
      </c>
      <c r="C39" s="169">
        <f>'Area&amp;production data'!BY11</f>
        <v>0</v>
      </c>
      <c r="D39" s="169">
        <f>'Area&amp;production data'!BZ11</f>
        <v>0</v>
      </c>
      <c r="E39" s="169">
        <f>'Area&amp;production data'!CA11</f>
        <v>0</v>
      </c>
      <c r="F39" s="25">
        <f t="shared" si="7"/>
        <v>0</v>
      </c>
      <c r="G39" s="180">
        <f t="shared" si="8"/>
        <v>0</v>
      </c>
      <c r="H39" s="180">
        <f t="shared" si="9"/>
        <v>0</v>
      </c>
      <c r="I39" s="180">
        <f t="shared" si="10"/>
        <v>0</v>
      </c>
      <c r="J39" s="81">
        <f t="shared" si="11"/>
        <v>0</v>
      </c>
      <c r="K39" s="38">
        <f t="shared" si="12"/>
        <v>0</v>
      </c>
      <c r="L39" s="38">
        <f t="shared" si="13"/>
        <v>0</v>
      </c>
      <c r="M39" s="38">
        <f t="shared" si="14"/>
        <v>0</v>
      </c>
      <c r="N39" s="38">
        <f t="shared" si="15"/>
        <v>0</v>
      </c>
      <c r="O39" s="38" t="e">
        <f t="shared" si="16"/>
        <v>#DIV/0!</v>
      </c>
      <c r="P39" s="38" t="e">
        <f t="shared" si="17"/>
        <v>#DIV/0!</v>
      </c>
      <c r="Q39" s="38" t="e">
        <f t="shared" si="18"/>
        <v>#DIV/0!</v>
      </c>
      <c r="R39" s="24" t="e">
        <f t="shared" si="19"/>
        <v>#DIV/0!</v>
      </c>
      <c r="V39" s="13" t="s">
        <v>161</v>
      </c>
      <c r="W39" s="295"/>
      <c r="X39" s="295"/>
      <c r="Y39" s="295"/>
      <c r="Z39" s="95">
        <f>'Yield-data'!J27</f>
        <v>0</v>
      </c>
      <c r="AA39" s="140">
        <f t="shared" si="0"/>
        <v>0</v>
      </c>
      <c r="AB39" s="206">
        <f>'Yield-penalty-by-LD-class'!N27</f>
        <v>0</v>
      </c>
      <c r="AC39" s="206">
        <f>'Yield-penalty-by-LD-class'!O27</f>
        <v>0</v>
      </c>
      <c r="AD39" s="95">
        <f t="shared" si="1"/>
        <v>0</v>
      </c>
      <c r="AE39" s="95">
        <f t="shared" si="2"/>
        <v>0</v>
      </c>
      <c r="AF39" s="95">
        <f t="shared" si="3"/>
        <v>0</v>
      </c>
    </row>
    <row r="40" spans="1:32" x14ac:dyDescent="0.25">
      <c r="A40" s="13" t="s">
        <v>146</v>
      </c>
      <c r="B40" s="67">
        <f>'Area&amp;production data'!M12</f>
        <v>0</v>
      </c>
      <c r="C40" s="169">
        <f>'Area&amp;production data'!BY12</f>
        <v>0</v>
      </c>
      <c r="D40" s="169">
        <f>'Area&amp;production data'!BZ12</f>
        <v>0</v>
      </c>
      <c r="E40" s="169">
        <f>'Area&amp;production data'!CA12</f>
        <v>0</v>
      </c>
      <c r="F40" s="25">
        <f t="shared" si="7"/>
        <v>0</v>
      </c>
      <c r="G40" s="180">
        <f t="shared" si="8"/>
        <v>0</v>
      </c>
      <c r="H40" s="180">
        <f t="shared" si="9"/>
        <v>0</v>
      </c>
      <c r="I40" s="180">
        <f t="shared" si="10"/>
        <v>0</v>
      </c>
      <c r="J40" s="81">
        <f t="shared" si="11"/>
        <v>0</v>
      </c>
      <c r="K40" s="38">
        <f t="shared" si="12"/>
        <v>0</v>
      </c>
      <c r="L40" s="38">
        <f t="shared" si="13"/>
        <v>0</v>
      </c>
      <c r="M40" s="38">
        <f t="shared" si="14"/>
        <v>0</v>
      </c>
      <c r="N40" s="38">
        <f t="shared" si="15"/>
        <v>0</v>
      </c>
      <c r="O40" s="38" t="e">
        <f t="shared" si="16"/>
        <v>#DIV/0!</v>
      </c>
      <c r="P40" s="38" t="e">
        <f t="shared" si="17"/>
        <v>#DIV/0!</v>
      </c>
      <c r="Q40" s="38" t="e">
        <f t="shared" si="18"/>
        <v>#DIV/0!</v>
      </c>
      <c r="R40" s="24" t="e">
        <f t="shared" si="19"/>
        <v>#DIV/0!</v>
      </c>
      <c r="V40" s="13" t="s">
        <v>162</v>
      </c>
      <c r="W40" s="295"/>
      <c r="X40" s="295"/>
      <c r="Y40" s="295"/>
      <c r="Z40" s="95">
        <f>'Yield-data'!J28</f>
        <v>0</v>
      </c>
      <c r="AA40" s="140">
        <f t="shared" si="0"/>
        <v>0</v>
      </c>
      <c r="AB40" s="206">
        <f>'Yield-penalty-by-LD-class'!N28</f>
        <v>0</v>
      </c>
      <c r="AC40" s="206">
        <f>'Yield-penalty-by-LD-class'!O28</f>
        <v>0</v>
      </c>
      <c r="AD40" s="95">
        <f t="shared" si="1"/>
        <v>0</v>
      </c>
      <c r="AE40" s="95">
        <f t="shared" si="2"/>
        <v>0</v>
      </c>
      <c r="AF40" s="95">
        <f t="shared" si="3"/>
        <v>0</v>
      </c>
    </row>
    <row r="41" spans="1:32" x14ac:dyDescent="0.25">
      <c r="A41" s="13" t="s">
        <v>147</v>
      </c>
      <c r="B41" s="67">
        <f>'Area&amp;production data'!M13</f>
        <v>0</v>
      </c>
      <c r="C41" s="169">
        <f>'Area&amp;production data'!BY13</f>
        <v>0</v>
      </c>
      <c r="D41" s="169">
        <f>'Area&amp;production data'!BZ13</f>
        <v>0</v>
      </c>
      <c r="E41" s="169">
        <f>'Area&amp;production data'!CA13</f>
        <v>0</v>
      </c>
      <c r="F41" s="25">
        <f t="shared" si="7"/>
        <v>0</v>
      </c>
      <c r="G41" s="180">
        <f t="shared" si="8"/>
        <v>0</v>
      </c>
      <c r="H41" s="180">
        <f t="shared" si="9"/>
        <v>0</v>
      </c>
      <c r="I41" s="180">
        <f t="shared" si="10"/>
        <v>0</v>
      </c>
      <c r="J41" s="81">
        <f t="shared" si="11"/>
        <v>0</v>
      </c>
      <c r="K41" s="38">
        <f t="shared" si="12"/>
        <v>0</v>
      </c>
      <c r="L41" s="38">
        <f t="shared" si="13"/>
        <v>0</v>
      </c>
      <c r="M41" s="38">
        <f t="shared" si="14"/>
        <v>0</v>
      </c>
      <c r="N41" s="38">
        <f t="shared" si="15"/>
        <v>0</v>
      </c>
      <c r="O41" s="38" t="e">
        <f t="shared" si="16"/>
        <v>#DIV/0!</v>
      </c>
      <c r="P41" s="38" t="e">
        <f t="shared" si="17"/>
        <v>#DIV/0!</v>
      </c>
      <c r="Q41" s="38" t="e">
        <f t="shared" si="18"/>
        <v>#DIV/0!</v>
      </c>
      <c r="R41" s="24" t="e">
        <f t="shared" si="19"/>
        <v>#DIV/0!</v>
      </c>
      <c r="W41" s="26" t="e">
        <f>SUMPRODUCT($B$33:$B$56,W17:W40)/$B$57</f>
        <v>#DIV/0!</v>
      </c>
      <c r="X41" s="26" t="e">
        <f>SUMPRODUCT($B$33:$B$56,X17:X40)/$B$57</f>
        <v>#DIV/0!</v>
      </c>
      <c r="Y41" s="26" t="e">
        <f>SUMPRODUCT($B$33:$B$56,Y17:Y40)/$B$57</f>
        <v>#DIV/0!</v>
      </c>
      <c r="Z41" s="26" t="e">
        <f>SUMPRODUCT($B$33:$B$56,Z17:Z40)/$B$57</f>
        <v>#DIV/0!</v>
      </c>
      <c r="AA41" s="23">
        <f>SUM(AA17:AA40)</f>
        <v>0</v>
      </c>
      <c r="AB41" s="26" t="e">
        <f>SUMPRODUCT(AB17:AB40,B33:B56)/B57</f>
        <v>#DIV/0!</v>
      </c>
      <c r="AC41" s="26" t="e">
        <f>SUMPRODUCT(AC17:AC40,B33:B56)/B57</f>
        <v>#DIV/0!</v>
      </c>
      <c r="AD41" s="124">
        <f>SUM(AD17:AD40)</f>
        <v>0</v>
      </c>
      <c r="AE41" s="124">
        <f>SUM(AE17:AE40)</f>
        <v>0</v>
      </c>
      <c r="AF41" s="124">
        <f>SUM(AF17:AF40)</f>
        <v>0</v>
      </c>
    </row>
    <row r="42" spans="1:32" x14ac:dyDescent="0.25">
      <c r="A42" s="13" t="s">
        <v>148</v>
      </c>
      <c r="B42" s="67">
        <f>'Area&amp;production data'!M14</f>
        <v>0</v>
      </c>
      <c r="C42" s="169">
        <f>'Area&amp;production data'!BY14</f>
        <v>0</v>
      </c>
      <c r="D42" s="169">
        <f>'Area&amp;production data'!BZ14</f>
        <v>0</v>
      </c>
      <c r="E42" s="169">
        <f>'Area&amp;production data'!CA14</f>
        <v>0</v>
      </c>
      <c r="F42" s="25">
        <f t="shared" si="7"/>
        <v>0</v>
      </c>
      <c r="G42" s="180">
        <f t="shared" si="8"/>
        <v>0</v>
      </c>
      <c r="H42" s="180">
        <f t="shared" si="9"/>
        <v>0</v>
      </c>
      <c r="I42" s="180">
        <f t="shared" si="10"/>
        <v>0</v>
      </c>
      <c r="J42" s="81">
        <f t="shared" si="11"/>
        <v>0</v>
      </c>
      <c r="K42" s="38">
        <f t="shared" si="12"/>
        <v>0</v>
      </c>
      <c r="L42" s="38">
        <f t="shared" si="13"/>
        <v>0</v>
      </c>
      <c r="M42" s="38">
        <f t="shared" si="14"/>
        <v>0</v>
      </c>
      <c r="N42" s="38">
        <f t="shared" si="15"/>
        <v>0</v>
      </c>
      <c r="O42" s="38" t="e">
        <f t="shared" si="16"/>
        <v>#DIV/0!</v>
      </c>
      <c r="P42" s="38" t="e">
        <f t="shared" si="17"/>
        <v>#DIV/0!</v>
      </c>
      <c r="Q42" s="38" t="e">
        <f t="shared" si="18"/>
        <v>#DIV/0!</v>
      </c>
      <c r="R42" s="24" t="e">
        <f t="shared" si="19"/>
        <v>#DIV/0!</v>
      </c>
      <c r="V42" s="189"/>
      <c r="W42" s="1"/>
      <c r="X42" s="1"/>
      <c r="Y42" s="1"/>
    </row>
    <row r="43" spans="1:32" x14ac:dyDescent="0.25">
      <c r="A43" s="13" t="s">
        <v>149</v>
      </c>
      <c r="B43" s="67">
        <f>'Area&amp;production data'!M15</f>
        <v>0</v>
      </c>
      <c r="C43" s="169">
        <f>'Area&amp;production data'!BY15</f>
        <v>0</v>
      </c>
      <c r="D43" s="169">
        <f>'Area&amp;production data'!BZ15</f>
        <v>0</v>
      </c>
      <c r="E43" s="169">
        <f>'Area&amp;production data'!CA15</f>
        <v>0</v>
      </c>
      <c r="F43" s="25">
        <f t="shared" si="7"/>
        <v>0</v>
      </c>
      <c r="G43" s="180">
        <f t="shared" si="8"/>
        <v>0</v>
      </c>
      <c r="H43" s="180">
        <f t="shared" si="9"/>
        <v>0</v>
      </c>
      <c r="I43" s="180">
        <f t="shared" si="10"/>
        <v>0</v>
      </c>
      <c r="J43" s="81">
        <f t="shared" si="11"/>
        <v>0</v>
      </c>
      <c r="K43" s="38">
        <f t="shared" si="12"/>
        <v>0</v>
      </c>
      <c r="L43" s="38">
        <f t="shared" si="13"/>
        <v>0</v>
      </c>
      <c r="M43" s="38">
        <f t="shared" si="14"/>
        <v>0</v>
      </c>
      <c r="N43" s="38">
        <f t="shared" si="15"/>
        <v>0</v>
      </c>
      <c r="O43" s="38" t="e">
        <f t="shared" si="16"/>
        <v>#DIV/0!</v>
      </c>
      <c r="P43" s="38" t="e">
        <f t="shared" si="17"/>
        <v>#DIV/0!</v>
      </c>
      <c r="Q43" s="38" t="e">
        <f t="shared" si="18"/>
        <v>#DIV/0!</v>
      </c>
      <c r="R43" s="24" t="e">
        <f t="shared" si="19"/>
        <v>#DIV/0!</v>
      </c>
      <c r="V43" s="189"/>
      <c r="W43" s="1"/>
      <c r="X43" s="1"/>
      <c r="Y43" s="1"/>
    </row>
    <row r="44" spans="1:32" x14ac:dyDescent="0.25">
      <c r="A44" s="13" t="s">
        <v>150</v>
      </c>
      <c r="B44" s="67">
        <f>'Area&amp;production data'!M16</f>
        <v>0</v>
      </c>
      <c r="C44" s="169">
        <f>'Area&amp;production data'!BY16</f>
        <v>0</v>
      </c>
      <c r="D44" s="169">
        <f>'Area&amp;production data'!BZ16</f>
        <v>0</v>
      </c>
      <c r="E44" s="169">
        <f>'Area&amp;production data'!CA16</f>
        <v>0</v>
      </c>
      <c r="F44" s="25">
        <f t="shared" si="7"/>
        <v>0</v>
      </c>
      <c r="G44" s="180">
        <f t="shared" si="8"/>
        <v>0</v>
      </c>
      <c r="H44" s="180">
        <f t="shared" si="9"/>
        <v>0</v>
      </c>
      <c r="I44" s="180">
        <f t="shared" si="10"/>
        <v>0</v>
      </c>
      <c r="J44" s="81">
        <f t="shared" si="11"/>
        <v>0</v>
      </c>
      <c r="K44" s="38">
        <f t="shared" si="12"/>
        <v>0</v>
      </c>
      <c r="L44" s="38">
        <f t="shared" si="13"/>
        <v>0</v>
      </c>
      <c r="M44" s="38">
        <f t="shared" si="14"/>
        <v>0</v>
      </c>
      <c r="N44" s="38">
        <f t="shared" si="15"/>
        <v>0</v>
      </c>
      <c r="O44" s="38" t="e">
        <f t="shared" si="16"/>
        <v>#DIV/0!</v>
      </c>
      <c r="P44" s="38" t="e">
        <f t="shared" si="17"/>
        <v>#DIV/0!</v>
      </c>
      <c r="Q44" s="38" t="e">
        <f t="shared" si="18"/>
        <v>#DIV/0!</v>
      </c>
      <c r="R44" s="24" t="e">
        <f t="shared" si="19"/>
        <v>#DIV/0!</v>
      </c>
      <c r="V44" s="189"/>
      <c r="W44" s="1"/>
      <c r="X44" s="1"/>
      <c r="Y44" s="1"/>
    </row>
    <row r="45" spans="1:32" x14ac:dyDescent="0.25">
      <c r="A45" s="13" t="s">
        <v>151</v>
      </c>
      <c r="B45" s="67">
        <f>'Area&amp;production data'!M17</f>
        <v>0</v>
      </c>
      <c r="C45" s="169">
        <f>'Area&amp;production data'!BY17</f>
        <v>0</v>
      </c>
      <c r="D45" s="169">
        <f>'Area&amp;production data'!BZ17</f>
        <v>0</v>
      </c>
      <c r="E45" s="169">
        <f>'Area&amp;production data'!CA17</f>
        <v>0</v>
      </c>
      <c r="F45" s="25">
        <f t="shared" si="7"/>
        <v>0</v>
      </c>
      <c r="G45" s="180">
        <f t="shared" si="8"/>
        <v>0</v>
      </c>
      <c r="H45" s="180">
        <f t="shared" si="9"/>
        <v>0</v>
      </c>
      <c r="I45" s="180">
        <f t="shared" si="10"/>
        <v>0</v>
      </c>
      <c r="J45" s="81">
        <f t="shared" si="11"/>
        <v>0</v>
      </c>
      <c r="K45" s="38">
        <f t="shared" si="12"/>
        <v>0</v>
      </c>
      <c r="L45" s="38">
        <f t="shared" si="13"/>
        <v>0</v>
      </c>
      <c r="M45" s="38">
        <f t="shared" si="14"/>
        <v>0</v>
      </c>
      <c r="N45" s="38">
        <f t="shared" si="15"/>
        <v>0</v>
      </c>
      <c r="O45" s="38" t="e">
        <f t="shared" si="16"/>
        <v>#DIV/0!</v>
      </c>
      <c r="P45" s="38" t="e">
        <f t="shared" si="17"/>
        <v>#DIV/0!</v>
      </c>
      <c r="Q45" s="38" t="e">
        <f t="shared" si="18"/>
        <v>#DIV/0!</v>
      </c>
      <c r="R45" s="24" t="e">
        <f t="shared" si="19"/>
        <v>#DIV/0!</v>
      </c>
      <c r="V45" s="189"/>
      <c r="W45" s="1"/>
      <c r="X45" s="1"/>
      <c r="Y45" s="1"/>
    </row>
    <row r="46" spans="1:32" x14ac:dyDescent="0.25">
      <c r="A46" s="13" t="s">
        <v>152</v>
      </c>
      <c r="B46" s="67">
        <f>'Area&amp;production data'!M18</f>
        <v>0</v>
      </c>
      <c r="C46" s="169">
        <f>'Area&amp;production data'!BY18</f>
        <v>0</v>
      </c>
      <c r="D46" s="169">
        <f>'Area&amp;production data'!BZ18</f>
        <v>0</v>
      </c>
      <c r="E46" s="169">
        <f>'Area&amp;production data'!CA18</f>
        <v>0</v>
      </c>
      <c r="F46" s="25">
        <f t="shared" si="7"/>
        <v>0</v>
      </c>
      <c r="G46" s="180">
        <f t="shared" si="8"/>
        <v>0</v>
      </c>
      <c r="H46" s="180">
        <f t="shared" si="9"/>
        <v>0</v>
      </c>
      <c r="I46" s="180">
        <f t="shared" si="10"/>
        <v>0</v>
      </c>
      <c r="J46" s="81">
        <f t="shared" si="11"/>
        <v>0</v>
      </c>
      <c r="K46" s="38">
        <f t="shared" si="12"/>
        <v>0</v>
      </c>
      <c r="L46" s="38">
        <f t="shared" si="13"/>
        <v>0</v>
      </c>
      <c r="M46" s="38">
        <f t="shared" si="14"/>
        <v>0</v>
      </c>
      <c r="N46" s="38">
        <f t="shared" si="15"/>
        <v>0</v>
      </c>
      <c r="O46" s="38" t="e">
        <f t="shared" si="16"/>
        <v>#DIV/0!</v>
      </c>
      <c r="P46" s="38" t="e">
        <f t="shared" si="17"/>
        <v>#DIV/0!</v>
      </c>
      <c r="Q46" s="38" t="e">
        <f t="shared" si="18"/>
        <v>#DIV/0!</v>
      </c>
      <c r="R46" s="24" t="e">
        <f t="shared" si="19"/>
        <v>#DIV/0!</v>
      </c>
    </row>
    <row r="47" spans="1:32" x14ac:dyDescent="0.25">
      <c r="A47" s="13" t="s">
        <v>153</v>
      </c>
      <c r="B47" s="67">
        <f>'Area&amp;production data'!M19</f>
        <v>0</v>
      </c>
      <c r="C47" s="169">
        <f>'Area&amp;production data'!BY19</f>
        <v>0</v>
      </c>
      <c r="D47" s="169">
        <f>'Area&amp;production data'!BZ19</f>
        <v>0</v>
      </c>
      <c r="E47" s="169">
        <f>'Area&amp;production data'!CA19</f>
        <v>0</v>
      </c>
      <c r="F47" s="25">
        <f t="shared" si="7"/>
        <v>0</v>
      </c>
      <c r="G47" s="180">
        <f t="shared" si="8"/>
        <v>0</v>
      </c>
      <c r="H47" s="180">
        <f t="shared" si="9"/>
        <v>0</v>
      </c>
      <c r="I47" s="180">
        <f t="shared" si="10"/>
        <v>0</v>
      </c>
      <c r="J47" s="81">
        <f t="shared" si="11"/>
        <v>0</v>
      </c>
      <c r="K47" s="38">
        <f t="shared" si="12"/>
        <v>0</v>
      </c>
      <c r="L47" s="38">
        <f t="shared" si="13"/>
        <v>0</v>
      </c>
      <c r="M47" s="38">
        <f t="shared" si="14"/>
        <v>0</v>
      </c>
      <c r="N47" s="38">
        <f t="shared" si="15"/>
        <v>0</v>
      </c>
      <c r="O47" s="38" t="e">
        <f t="shared" si="16"/>
        <v>#DIV/0!</v>
      </c>
      <c r="P47" s="38" t="e">
        <f t="shared" si="17"/>
        <v>#DIV/0!</v>
      </c>
      <c r="Q47" s="38" t="e">
        <f t="shared" si="18"/>
        <v>#DIV/0!</v>
      </c>
      <c r="R47" s="24" t="e">
        <f t="shared" si="19"/>
        <v>#DIV/0!</v>
      </c>
    </row>
    <row r="48" spans="1:32" x14ac:dyDescent="0.25">
      <c r="A48" s="13" t="s">
        <v>154</v>
      </c>
      <c r="B48" s="67">
        <f>'Area&amp;production data'!M20</f>
        <v>0</v>
      </c>
      <c r="C48" s="169">
        <f>'Area&amp;production data'!BY20</f>
        <v>0</v>
      </c>
      <c r="D48" s="169">
        <f>'Area&amp;production data'!BZ20</f>
        <v>0</v>
      </c>
      <c r="E48" s="169">
        <f>'Area&amp;production data'!CA20</f>
        <v>0</v>
      </c>
      <c r="F48" s="25">
        <f t="shared" si="7"/>
        <v>0</v>
      </c>
      <c r="G48" s="180">
        <f t="shared" si="8"/>
        <v>0</v>
      </c>
      <c r="H48" s="180">
        <f t="shared" si="9"/>
        <v>0</v>
      </c>
      <c r="I48" s="180">
        <f t="shared" si="10"/>
        <v>0</v>
      </c>
      <c r="J48" s="81">
        <f t="shared" si="11"/>
        <v>0</v>
      </c>
      <c r="K48" s="38">
        <f t="shared" si="12"/>
        <v>0</v>
      </c>
      <c r="L48" s="38">
        <f t="shared" si="13"/>
        <v>0</v>
      </c>
      <c r="M48" s="38">
        <f t="shared" si="14"/>
        <v>0</v>
      </c>
      <c r="N48" s="38">
        <f t="shared" si="15"/>
        <v>0</v>
      </c>
      <c r="O48" s="38" t="e">
        <f t="shared" si="16"/>
        <v>#DIV/0!</v>
      </c>
      <c r="P48" s="38" t="e">
        <f t="shared" si="17"/>
        <v>#DIV/0!</v>
      </c>
      <c r="Q48" s="38" t="e">
        <f t="shared" si="18"/>
        <v>#DIV/0!</v>
      </c>
      <c r="R48" s="24" t="e">
        <f t="shared" si="19"/>
        <v>#DIV/0!</v>
      </c>
    </row>
    <row r="49" spans="1:30" x14ac:dyDescent="0.25">
      <c r="A49" s="13" t="s">
        <v>155</v>
      </c>
      <c r="B49" s="67">
        <f>'Area&amp;production data'!M21</f>
        <v>0</v>
      </c>
      <c r="C49" s="169">
        <f>'Area&amp;production data'!BY21</f>
        <v>0</v>
      </c>
      <c r="D49" s="169">
        <f>'Area&amp;production data'!BZ21</f>
        <v>0</v>
      </c>
      <c r="E49" s="169">
        <f>'Area&amp;production data'!CA21</f>
        <v>0</v>
      </c>
      <c r="F49" s="25">
        <f t="shared" si="7"/>
        <v>0</v>
      </c>
      <c r="G49" s="180">
        <f t="shared" si="8"/>
        <v>0</v>
      </c>
      <c r="H49" s="180">
        <f t="shared" si="9"/>
        <v>0</v>
      </c>
      <c r="I49" s="180">
        <f t="shared" si="10"/>
        <v>0</v>
      </c>
      <c r="J49" s="81">
        <f t="shared" si="11"/>
        <v>0</v>
      </c>
      <c r="K49" s="38">
        <f t="shared" si="12"/>
        <v>0</v>
      </c>
      <c r="L49" s="38">
        <f t="shared" si="13"/>
        <v>0</v>
      </c>
      <c r="M49" s="38">
        <f t="shared" si="14"/>
        <v>0</v>
      </c>
      <c r="N49" s="38">
        <f t="shared" si="15"/>
        <v>0</v>
      </c>
      <c r="O49" s="38" t="e">
        <f t="shared" si="16"/>
        <v>#DIV/0!</v>
      </c>
      <c r="P49" s="38" t="e">
        <f t="shared" si="17"/>
        <v>#DIV/0!</v>
      </c>
      <c r="Q49" s="38" t="e">
        <f t="shared" si="18"/>
        <v>#DIV/0!</v>
      </c>
      <c r="R49" s="24" t="e">
        <f t="shared" si="19"/>
        <v>#DIV/0!</v>
      </c>
    </row>
    <row r="50" spans="1:30" x14ac:dyDescent="0.25">
      <c r="A50" s="13" t="s">
        <v>156</v>
      </c>
      <c r="B50" s="67">
        <f>'Area&amp;production data'!M22</f>
        <v>0</v>
      </c>
      <c r="C50" s="169">
        <f>'Area&amp;production data'!BY22</f>
        <v>0</v>
      </c>
      <c r="D50" s="169">
        <f>'Area&amp;production data'!BZ22</f>
        <v>0</v>
      </c>
      <c r="E50" s="169">
        <f>'Area&amp;production data'!CA22</f>
        <v>0</v>
      </c>
      <c r="F50" s="25">
        <f t="shared" si="7"/>
        <v>0</v>
      </c>
      <c r="G50" s="180">
        <f t="shared" si="8"/>
        <v>0</v>
      </c>
      <c r="H50" s="180">
        <f t="shared" si="9"/>
        <v>0</v>
      </c>
      <c r="I50" s="180">
        <f t="shared" si="10"/>
        <v>0</v>
      </c>
      <c r="J50" s="81">
        <f t="shared" si="11"/>
        <v>0</v>
      </c>
      <c r="K50" s="38">
        <f t="shared" si="12"/>
        <v>0</v>
      </c>
      <c r="L50" s="38">
        <f t="shared" si="13"/>
        <v>0</v>
      </c>
      <c r="M50" s="38">
        <f t="shared" si="14"/>
        <v>0</v>
      </c>
      <c r="N50" s="38">
        <f t="shared" si="15"/>
        <v>0</v>
      </c>
      <c r="O50" s="38" t="e">
        <f t="shared" si="16"/>
        <v>#DIV/0!</v>
      </c>
      <c r="P50" s="38" t="e">
        <f t="shared" si="17"/>
        <v>#DIV/0!</v>
      </c>
      <c r="Q50" s="38" t="e">
        <f t="shared" si="18"/>
        <v>#DIV/0!</v>
      </c>
      <c r="R50" s="24" t="e">
        <f t="shared" si="19"/>
        <v>#DIV/0!</v>
      </c>
    </row>
    <row r="51" spans="1:30" x14ac:dyDescent="0.25">
      <c r="A51" s="13" t="s">
        <v>157</v>
      </c>
      <c r="B51" s="67">
        <f>'Area&amp;production data'!M23</f>
        <v>0</v>
      </c>
      <c r="C51" s="169">
        <f>'Area&amp;production data'!BY23</f>
        <v>0</v>
      </c>
      <c r="D51" s="169">
        <f>'Area&amp;production data'!BZ23</f>
        <v>0</v>
      </c>
      <c r="E51" s="169">
        <f>'Area&amp;production data'!CA23</f>
        <v>0</v>
      </c>
      <c r="F51" s="25">
        <f t="shared" si="7"/>
        <v>0</v>
      </c>
      <c r="G51" s="180">
        <f t="shared" si="8"/>
        <v>0</v>
      </c>
      <c r="H51" s="180">
        <f t="shared" si="9"/>
        <v>0</v>
      </c>
      <c r="I51" s="180">
        <f t="shared" si="10"/>
        <v>0</v>
      </c>
      <c r="J51" s="81">
        <f t="shared" si="11"/>
        <v>0</v>
      </c>
      <c r="K51" s="38">
        <f t="shared" si="12"/>
        <v>0</v>
      </c>
      <c r="L51" s="38">
        <f t="shared" si="13"/>
        <v>0</v>
      </c>
      <c r="M51" s="38">
        <f t="shared" si="14"/>
        <v>0</v>
      </c>
      <c r="N51" s="38">
        <f t="shared" si="15"/>
        <v>0</v>
      </c>
      <c r="O51" s="38" t="e">
        <f t="shared" si="16"/>
        <v>#DIV/0!</v>
      </c>
      <c r="P51" s="38" t="e">
        <f t="shared" si="17"/>
        <v>#DIV/0!</v>
      </c>
      <c r="Q51" s="38" t="e">
        <f t="shared" si="18"/>
        <v>#DIV/0!</v>
      </c>
      <c r="R51" s="24" t="e">
        <f t="shared" si="19"/>
        <v>#DIV/0!</v>
      </c>
    </row>
    <row r="52" spans="1:30" x14ac:dyDescent="0.25">
      <c r="A52" s="13" t="s">
        <v>158</v>
      </c>
      <c r="B52" s="67">
        <f>'Area&amp;production data'!M24</f>
        <v>0</v>
      </c>
      <c r="C52" s="169">
        <f>'Area&amp;production data'!BY24</f>
        <v>0</v>
      </c>
      <c r="D52" s="169">
        <f>'Area&amp;production data'!BZ24</f>
        <v>0</v>
      </c>
      <c r="E52" s="169">
        <f>'Area&amp;production data'!CA24</f>
        <v>0</v>
      </c>
      <c r="F52" s="25">
        <f t="shared" si="7"/>
        <v>0</v>
      </c>
      <c r="G52" s="180">
        <f t="shared" si="8"/>
        <v>0</v>
      </c>
      <c r="H52" s="180">
        <f t="shared" si="9"/>
        <v>0</v>
      </c>
      <c r="I52" s="180">
        <f t="shared" si="10"/>
        <v>0</v>
      </c>
      <c r="J52" s="81">
        <f t="shared" si="11"/>
        <v>0</v>
      </c>
      <c r="K52" s="38">
        <f t="shared" si="12"/>
        <v>0</v>
      </c>
      <c r="L52" s="38">
        <f t="shared" si="13"/>
        <v>0</v>
      </c>
      <c r="M52" s="38">
        <f t="shared" si="14"/>
        <v>0</v>
      </c>
      <c r="N52" s="38">
        <f t="shared" si="15"/>
        <v>0</v>
      </c>
      <c r="O52" s="38" t="e">
        <f t="shared" si="16"/>
        <v>#DIV/0!</v>
      </c>
      <c r="P52" s="38" t="e">
        <f t="shared" si="17"/>
        <v>#DIV/0!</v>
      </c>
      <c r="Q52" s="38" t="e">
        <f t="shared" si="18"/>
        <v>#DIV/0!</v>
      </c>
      <c r="R52" s="24" t="e">
        <f t="shared" si="19"/>
        <v>#DIV/0!</v>
      </c>
    </row>
    <row r="53" spans="1:30" x14ac:dyDescent="0.25">
      <c r="A53" s="13" t="s">
        <v>159</v>
      </c>
      <c r="B53" s="67">
        <f>'Area&amp;production data'!M25</f>
        <v>0</v>
      </c>
      <c r="C53" s="169">
        <f>'Area&amp;production data'!BY25</f>
        <v>0</v>
      </c>
      <c r="D53" s="169">
        <f>'Area&amp;production data'!BZ25</f>
        <v>0</v>
      </c>
      <c r="E53" s="169">
        <f>'Area&amp;production data'!CA25</f>
        <v>0</v>
      </c>
      <c r="F53" s="25">
        <f t="shared" si="7"/>
        <v>0</v>
      </c>
      <c r="G53" s="180">
        <f t="shared" si="8"/>
        <v>0</v>
      </c>
      <c r="H53" s="180">
        <f t="shared" si="9"/>
        <v>0</v>
      </c>
      <c r="I53" s="180">
        <f t="shared" si="10"/>
        <v>0</v>
      </c>
      <c r="J53" s="81">
        <f t="shared" si="11"/>
        <v>0</v>
      </c>
      <c r="K53" s="38">
        <f t="shared" si="12"/>
        <v>0</v>
      </c>
      <c r="L53" s="38">
        <f t="shared" si="13"/>
        <v>0</v>
      </c>
      <c r="M53" s="38">
        <f t="shared" si="14"/>
        <v>0</v>
      </c>
      <c r="N53" s="38">
        <f t="shared" si="15"/>
        <v>0</v>
      </c>
      <c r="O53" s="38" t="e">
        <f t="shared" si="16"/>
        <v>#DIV/0!</v>
      </c>
      <c r="P53" s="38" t="e">
        <f t="shared" si="17"/>
        <v>#DIV/0!</v>
      </c>
      <c r="Q53" s="38" t="e">
        <f t="shared" si="18"/>
        <v>#DIV/0!</v>
      </c>
      <c r="R53" s="24" t="e">
        <f t="shared" si="19"/>
        <v>#DIV/0!</v>
      </c>
    </row>
    <row r="54" spans="1:30" x14ac:dyDescent="0.25">
      <c r="A54" s="13" t="s">
        <v>160</v>
      </c>
      <c r="B54" s="67">
        <f>'Area&amp;production data'!M26</f>
        <v>0</v>
      </c>
      <c r="C54" s="169">
        <f>'Area&amp;production data'!BY26</f>
        <v>0</v>
      </c>
      <c r="D54" s="169">
        <f>'Area&amp;production data'!BZ26</f>
        <v>0</v>
      </c>
      <c r="E54" s="169">
        <f>'Area&amp;production data'!CA26</f>
        <v>0</v>
      </c>
      <c r="F54" s="25">
        <f t="shared" si="7"/>
        <v>0</v>
      </c>
      <c r="G54" s="180">
        <f t="shared" si="8"/>
        <v>0</v>
      </c>
      <c r="H54" s="180">
        <f t="shared" si="9"/>
        <v>0</v>
      </c>
      <c r="I54" s="180">
        <f t="shared" si="10"/>
        <v>0</v>
      </c>
      <c r="J54" s="81">
        <f t="shared" si="11"/>
        <v>0</v>
      </c>
      <c r="K54" s="38">
        <f t="shared" si="12"/>
        <v>0</v>
      </c>
      <c r="L54" s="38">
        <f t="shared" si="13"/>
        <v>0</v>
      </c>
      <c r="M54" s="38">
        <f t="shared" si="14"/>
        <v>0</v>
      </c>
      <c r="N54" s="38">
        <f t="shared" si="15"/>
        <v>0</v>
      </c>
      <c r="O54" s="38" t="e">
        <f t="shared" si="16"/>
        <v>#DIV/0!</v>
      </c>
      <c r="P54" s="38" t="e">
        <f t="shared" si="17"/>
        <v>#DIV/0!</v>
      </c>
      <c r="Q54" s="38" t="e">
        <f t="shared" si="18"/>
        <v>#DIV/0!</v>
      </c>
      <c r="R54" s="24" t="e">
        <f t="shared" si="19"/>
        <v>#DIV/0!</v>
      </c>
      <c r="T54" s="1"/>
      <c r="W54" s="1"/>
      <c r="X54" s="1"/>
      <c r="Y54" s="1"/>
    </row>
    <row r="55" spans="1:30" x14ac:dyDescent="0.25">
      <c r="A55" s="13" t="s">
        <v>161</v>
      </c>
      <c r="B55" s="67">
        <f>'Area&amp;production data'!M27</f>
        <v>0</v>
      </c>
      <c r="C55" s="169">
        <f>'Area&amp;production data'!BY27</f>
        <v>0</v>
      </c>
      <c r="D55" s="169">
        <f>'Area&amp;production data'!BZ27</f>
        <v>0</v>
      </c>
      <c r="E55" s="169">
        <f>'Area&amp;production data'!CA27</f>
        <v>0</v>
      </c>
      <c r="F55" s="25">
        <f t="shared" si="7"/>
        <v>0</v>
      </c>
      <c r="G55" s="180">
        <f t="shared" si="8"/>
        <v>0</v>
      </c>
      <c r="H55" s="180">
        <f t="shared" si="9"/>
        <v>0</v>
      </c>
      <c r="I55" s="180">
        <f t="shared" si="10"/>
        <v>0</v>
      </c>
      <c r="J55" s="81">
        <f t="shared" si="11"/>
        <v>0</v>
      </c>
      <c r="K55" s="38">
        <f t="shared" si="12"/>
        <v>0</v>
      </c>
      <c r="L55" s="38">
        <f t="shared" si="13"/>
        <v>0</v>
      </c>
      <c r="M55" s="38">
        <f t="shared" si="14"/>
        <v>0</v>
      </c>
      <c r="N55" s="38">
        <f t="shared" si="15"/>
        <v>0</v>
      </c>
      <c r="O55" s="38" t="e">
        <f t="shared" si="16"/>
        <v>#DIV/0!</v>
      </c>
      <c r="P55" s="38" t="e">
        <f t="shared" si="17"/>
        <v>#DIV/0!</v>
      </c>
      <c r="Q55" s="38" t="e">
        <f t="shared" si="18"/>
        <v>#DIV/0!</v>
      </c>
      <c r="R55" s="24" t="e">
        <f t="shared" si="19"/>
        <v>#DIV/0!</v>
      </c>
      <c r="U55" s="1"/>
      <c r="V55" s="1"/>
      <c r="W55" s="126"/>
    </row>
    <row r="56" spans="1:30" s="1" customFormat="1" x14ac:dyDescent="0.25">
      <c r="A56" s="13" t="s">
        <v>162</v>
      </c>
      <c r="B56" s="67">
        <f>'Area&amp;production data'!M28</f>
        <v>0</v>
      </c>
      <c r="C56" s="169">
        <f>'Area&amp;production data'!BY28</f>
        <v>0</v>
      </c>
      <c r="D56" s="169">
        <f>'Area&amp;production data'!BZ28</f>
        <v>0</v>
      </c>
      <c r="E56" s="169">
        <f>'Area&amp;production data'!CA28</f>
        <v>0</v>
      </c>
      <c r="F56" s="25">
        <f t="shared" si="7"/>
        <v>0</v>
      </c>
      <c r="G56" s="180">
        <f t="shared" si="8"/>
        <v>0</v>
      </c>
      <c r="H56" s="180">
        <f t="shared" si="9"/>
        <v>0</v>
      </c>
      <c r="I56" s="180">
        <f t="shared" si="10"/>
        <v>0</v>
      </c>
      <c r="J56" s="81">
        <f t="shared" si="11"/>
        <v>0</v>
      </c>
      <c r="K56" s="38">
        <f t="shared" si="12"/>
        <v>0</v>
      </c>
      <c r="L56" s="38">
        <f t="shared" si="13"/>
        <v>0</v>
      </c>
      <c r="M56" s="38">
        <f t="shared" si="14"/>
        <v>0</v>
      </c>
      <c r="N56" s="38">
        <f t="shared" si="15"/>
        <v>0</v>
      </c>
      <c r="O56" s="38" t="e">
        <f t="shared" si="16"/>
        <v>#DIV/0!</v>
      </c>
      <c r="P56" s="38" t="e">
        <f t="shared" si="17"/>
        <v>#DIV/0!</v>
      </c>
      <c r="Q56" s="38" t="e">
        <f t="shared" si="18"/>
        <v>#DIV/0!</v>
      </c>
      <c r="R56" s="24" t="e">
        <f t="shared" si="19"/>
        <v>#DIV/0!</v>
      </c>
      <c r="S56"/>
      <c r="T56"/>
      <c r="W56" s="126"/>
      <c r="AD56"/>
    </row>
    <row r="57" spans="1:30" x14ac:dyDescent="0.25">
      <c r="A57" s="1" t="s">
        <v>163</v>
      </c>
      <c r="B57" s="24">
        <f>SUM(B33:B56)</f>
        <v>0</v>
      </c>
      <c r="C57" s="51" t="e">
        <f>SUMPRODUCT($B$33:$B$56,C33:C56)/$B$57</f>
        <v>#DIV/0!</v>
      </c>
      <c r="D57" s="51" t="e">
        <f>SUMPRODUCT($B$33:$B$56,D33:D56)/$B$57</f>
        <v>#DIV/0!</v>
      </c>
      <c r="E57" s="51" t="e">
        <f>SUMPRODUCT($B$33:$B$56,E33:E56)/$B$57</f>
        <v>#DIV/0!</v>
      </c>
      <c r="F57" s="27" t="e">
        <f>SUM(C57:E57)</f>
        <v>#DIV/0!</v>
      </c>
      <c r="G57" s="28" t="e">
        <f>SUMPRODUCT($B$33:$B$56,G33:G56)/$B$57</f>
        <v>#DIV/0!</v>
      </c>
      <c r="H57" s="10" t="e">
        <f>SUMPRODUCT($B$33:$B$56,H33:H56)/$B$57</f>
        <v>#DIV/0!</v>
      </c>
      <c r="I57" s="10" t="e">
        <f>SUMPRODUCT($B$33:$B$56,I33:I56)/$B$57</f>
        <v>#DIV/0!</v>
      </c>
      <c r="J57" s="81" t="e">
        <f>SUMPRODUCT(C57:E57,G57:I57)</f>
        <v>#DIV/0!</v>
      </c>
      <c r="K57" s="38">
        <f>SUM(K33:K56)</f>
        <v>0</v>
      </c>
      <c r="L57" s="38">
        <f>SUM(L33:L56)</f>
        <v>0</v>
      </c>
      <c r="M57" s="38">
        <f t="shared" ref="M57" si="20">SUM(M33:M56)</f>
        <v>0</v>
      </c>
      <c r="N57" s="38">
        <f>SUM(N33:N56)</f>
        <v>0</v>
      </c>
      <c r="O57" s="38" t="e">
        <f>SUM(O33:O56)</f>
        <v>#DIV/0!</v>
      </c>
      <c r="P57" s="38" t="e">
        <f>SUM(P33:P56)</f>
        <v>#DIV/0!</v>
      </c>
      <c r="Q57" s="38" t="e">
        <f>SUM(Q33:Q56)</f>
        <v>#DIV/0!</v>
      </c>
      <c r="R57" s="24" t="e">
        <f>SUM(R33:R56)</f>
        <v>#DIV/0!</v>
      </c>
    </row>
    <row r="58" spans="1:30" x14ac:dyDescent="0.25">
      <c r="A58" s="17" t="s">
        <v>8</v>
      </c>
      <c r="B58" s="29" t="b">
        <f>B57='Area&amp;production data'!M29</f>
        <v>1</v>
      </c>
      <c r="C58" s="842"/>
      <c r="D58" s="842"/>
      <c r="E58" s="842"/>
      <c r="F58" s="6"/>
      <c r="N58" s="29" t="b">
        <f>SUM(K57:M57)=N57</f>
        <v>1</v>
      </c>
      <c r="S58" s="39" t="e">
        <f>SUM(O57:Q57)=R57</f>
        <v>#DIV/0!</v>
      </c>
      <c r="X58" s="39" t="e">
        <f>SUM(O57:Q57)=R57</f>
        <v>#DIV/0!</v>
      </c>
      <c r="AD58" s="1"/>
    </row>
    <row r="59" spans="1:30" x14ac:dyDescent="0.25">
      <c r="A59" s="17"/>
      <c r="C59" s="21"/>
      <c r="D59" s="21"/>
      <c r="E59" s="21"/>
      <c r="N59" s="30" t="e">
        <f>N57/'Area&amp;production data'!AB29</f>
        <v>#DIV/0!</v>
      </c>
    </row>
    <row r="60" spans="1:30" ht="45.95" customHeight="1" x14ac:dyDescent="0.25">
      <c r="A60" s="1" t="s">
        <v>721</v>
      </c>
      <c r="D60" s="3" t="s">
        <v>722</v>
      </c>
      <c r="E60" s="1"/>
      <c r="F60" s="190">
        <v>0</v>
      </c>
      <c r="G60" t="s">
        <v>96</v>
      </c>
      <c r="H60" s="20" t="s">
        <v>318</v>
      </c>
      <c r="O60" s="20" t="s">
        <v>723</v>
      </c>
      <c r="P60" s="20"/>
      <c r="X60" s="20" t="s">
        <v>320</v>
      </c>
    </row>
    <row r="61" spans="1:30" ht="39" customHeight="1" x14ac:dyDescent="0.25">
      <c r="A61" s="1" t="s">
        <v>101</v>
      </c>
      <c r="B61" s="814" t="s">
        <v>716</v>
      </c>
      <c r="C61" s="814" t="s">
        <v>717</v>
      </c>
      <c r="D61" s="814"/>
      <c r="E61" s="814"/>
      <c r="F61" s="814"/>
      <c r="G61" s="814" t="s">
        <v>322</v>
      </c>
      <c r="H61" s="814"/>
      <c r="I61" s="814"/>
      <c r="J61" s="814"/>
      <c r="K61" s="814" t="s">
        <v>724</v>
      </c>
      <c r="L61" s="814"/>
      <c r="M61" s="814"/>
      <c r="N61" s="814"/>
      <c r="O61" s="814" t="s">
        <v>725</v>
      </c>
      <c r="P61" s="814"/>
      <c r="Q61" s="814"/>
      <c r="R61" s="814"/>
      <c r="S61" s="17" t="s">
        <v>120</v>
      </c>
      <c r="T61" s="44"/>
      <c r="U61" s="814"/>
      <c r="V61" s="814"/>
      <c r="W61" s="814"/>
    </row>
    <row r="62" spans="1:30" x14ac:dyDescent="0.25">
      <c r="A62" s="1"/>
      <c r="B62" s="814"/>
      <c r="C62" s="1" t="s">
        <v>136</v>
      </c>
      <c r="D62" s="1" t="s">
        <v>137</v>
      </c>
      <c r="E62" s="1" t="s">
        <v>138</v>
      </c>
      <c r="F62" s="1" t="s">
        <v>120</v>
      </c>
      <c r="G62" s="1" t="s">
        <v>136</v>
      </c>
      <c r="H62" s="1" t="s">
        <v>137</v>
      </c>
      <c r="I62" s="1" t="s">
        <v>289</v>
      </c>
      <c r="J62" s="1" t="s">
        <v>120</v>
      </c>
      <c r="K62" s="1" t="s">
        <v>136</v>
      </c>
      <c r="L62" s="1" t="s">
        <v>137</v>
      </c>
      <c r="M62" s="1" t="s">
        <v>289</v>
      </c>
      <c r="N62" s="1" t="s">
        <v>120</v>
      </c>
      <c r="O62" s="1" t="s">
        <v>136</v>
      </c>
      <c r="P62" s="1" t="s">
        <v>137</v>
      </c>
      <c r="Q62" s="1" t="s">
        <v>289</v>
      </c>
      <c r="R62" s="17"/>
    </row>
    <row r="63" spans="1:30" x14ac:dyDescent="0.25">
      <c r="A63" s="13" t="s">
        <v>139</v>
      </c>
      <c r="B63" s="36">
        <f>B33</f>
        <v>0</v>
      </c>
      <c r="C63" s="25">
        <f t="shared" ref="C63:E63" si="21">C33</f>
        <v>0</v>
      </c>
      <c r="D63" s="25">
        <f t="shared" si="21"/>
        <v>0</v>
      </c>
      <c r="E63" s="25">
        <f t="shared" si="21"/>
        <v>0</v>
      </c>
      <c r="F63" s="25">
        <f>SUM(C63:E63)</f>
        <v>0</v>
      </c>
      <c r="G63" s="184">
        <f>$F$60*G33</f>
        <v>0</v>
      </c>
      <c r="H63" s="184">
        <f>$F$60*H33</f>
        <v>0</v>
      </c>
      <c r="I63" s="184">
        <f>$F$60*I33</f>
        <v>0</v>
      </c>
      <c r="J63" s="9">
        <f>SUMPRODUCT(C63:E63,G63:I63)</f>
        <v>0</v>
      </c>
      <c r="K63" s="26">
        <f t="shared" ref="K63:N63" si="22">G63*C63*$B63</f>
        <v>0</v>
      </c>
      <c r="L63" s="26">
        <f t="shared" si="22"/>
        <v>0</v>
      </c>
      <c r="M63" s="26">
        <f t="shared" si="22"/>
        <v>0</v>
      </c>
      <c r="N63" s="26">
        <f t="shared" si="22"/>
        <v>0</v>
      </c>
      <c r="O63" s="26" t="e">
        <f t="shared" ref="O63:Q63" si="23">$D$19*K63</f>
        <v>#DIV/0!</v>
      </c>
      <c r="P63" s="26" t="e">
        <f t="shared" si="23"/>
        <v>#DIV/0!</v>
      </c>
      <c r="Q63" s="26" t="e">
        <f t="shared" si="23"/>
        <v>#DIV/0!</v>
      </c>
      <c r="R63" s="26" t="e">
        <f>SUM(O63:Q63)</f>
        <v>#DIV/0!</v>
      </c>
    </row>
    <row r="64" spans="1:30" x14ac:dyDescent="0.25">
      <c r="A64" s="13" t="s">
        <v>140</v>
      </c>
      <c r="B64" s="36">
        <f t="shared" ref="B64:E64" si="24">B34</f>
        <v>0</v>
      </c>
      <c r="C64" s="25">
        <f t="shared" si="24"/>
        <v>0</v>
      </c>
      <c r="D64" s="25">
        <f t="shared" si="24"/>
        <v>0</v>
      </c>
      <c r="E64" s="25">
        <f t="shared" si="24"/>
        <v>0</v>
      </c>
      <c r="F64" s="25">
        <f t="shared" ref="F64:F86" si="25">SUM(C64:E64)</f>
        <v>0</v>
      </c>
      <c r="G64" s="184">
        <f t="shared" ref="G64:I64" si="26">$F$60*G34</f>
        <v>0</v>
      </c>
      <c r="H64" s="184">
        <f t="shared" si="26"/>
        <v>0</v>
      </c>
      <c r="I64" s="184">
        <f t="shared" si="26"/>
        <v>0</v>
      </c>
      <c r="J64" s="9">
        <f t="shared" ref="J64:J86" si="27">SUMPRODUCT(C64:E64,G64:I64)</f>
        <v>0</v>
      </c>
      <c r="K64" s="26">
        <f t="shared" ref="K64:K86" si="28">G64*C64*$B64</f>
        <v>0</v>
      </c>
      <c r="L64" s="26">
        <f t="shared" ref="L64:L86" si="29">H64*D64*$B64</f>
        <v>0</v>
      </c>
      <c r="M64" s="26">
        <f t="shared" ref="M64:M86" si="30">I64*E64*$B64</f>
        <v>0</v>
      </c>
      <c r="N64" s="26">
        <f t="shared" ref="N64:N86" si="31">J64*F64*$B64</f>
        <v>0</v>
      </c>
      <c r="O64" s="26" t="e">
        <f t="shared" ref="O64:O86" si="32">$D$19*K64</f>
        <v>#DIV/0!</v>
      </c>
      <c r="P64" s="26" t="e">
        <f t="shared" ref="P64:P86" si="33">$D$19*L64</f>
        <v>#DIV/0!</v>
      </c>
      <c r="Q64" s="26" t="e">
        <f t="shared" ref="Q64:Q86" si="34">$D$19*M64</f>
        <v>#DIV/0!</v>
      </c>
      <c r="R64" s="26" t="e">
        <f t="shared" ref="R64:R86" si="35">SUM(O64:Q64)</f>
        <v>#DIV/0!</v>
      </c>
    </row>
    <row r="65" spans="1:18" x14ac:dyDescent="0.25">
      <c r="A65" s="13" t="s">
        <v>141</v>
      </c>
      <c r="B65" s="36">
        <f t="shared" ref="B65:E65" si="36">B35</f>
        <v>0</v>
      </c>
      <c r="C65" s="25">
        <f t="shared" si="36"/>
        <v>0</v>
      </c>
      <c r="D65" s="25">
        <f t="shared" si="36"/>
        <v>0</v>
      </c>
      <c r="E65" s="25">
        <f t="shared" si="36"/>
        <v>0</v>
      </c>
      <c r="F65" s="25">
        <f t="shared" si="25"/>
        <v>0</v>
      </c>
      <c r="G65" s="184">
        <f t="shared" ref="G65:I65" si="37">$F$60*G35</f>
        <v>0</v>
      </c>
      <c r="H65" s="184">
        <f t="shared" si="37"/>
        <v>0</v>
      </c>
      <c r="I65" s="184">
        <f t="shared" si="37"/>
        <v>0</v>
      </c>
      <c r="J65" s="9">
        <f t="shared" si="27"/>
        <v>0</v>
      </c>
      <c r="K65" s="26">
        <f t="shared" si="28"/>
        <v>0</v>
      </c>
      <c r="L65" s="26">
        <f t="shared" si="29"/>
        <v>0</v>
      </c>
      <c r="M65" s="26">
        <f t="shared" si="30"/>
        <v>0</v>
      </c>
      <c r="N65" s="26">
        <f t="shared" si="31"/>
        <v>0</v>
      </c>
      <c r="O65" s="26" t="e">
        <f t="shared" si="32"/>
        <v>#DIV/0!</v>
      </c>
      <c r="P65" s="26" t="e">
        <f t="shared" si="33"/>
        <v>#DIV/0!</v>
      </c>
      <c r="Q65" s="26" t="e">
        <f t="shared" si="34"/>
        <v>#DIV/0!</v>
      </c>
      <c r="R65" s="26" t="e">
        <f t="shared" si="35"/>
        <v>#DIV/0!</v>
      </c>
    </row>
    <row r="66" spans="1:18" x14ac:dyDescent="0.25">
      <c r="A66" s="13" t="s">
        <v>142</v>
      </c>
      <c r="B66" s="36">
        <f t="shared" ref="B66:E66" si="38">B36</f>
        <v>0</v>
      </c>
      <c r="C66" s="25">
        <f t="shared" si="38"/>
        <v>0</v>
      </c>
      <c r="D66" s="25">
        <f t="shared" si="38"/>
        <v>0</v>
      </c>
      <c r="E66" s="25">
        <f t="shared" si="38"/>
        <v>0</v>
      </c>
      <c r="F66" s="25">
        <f t="shared" si="25"/>
        <v>0</v>
      </c>
      <c r="G66" s="184">
        <f t="shared" ref="G66:I66" si="39">$F$60*G36</f>
        <v>0</v>
      </c>
      <c r="H66" s="184">
        <f t="shared" si="39"/>
        <v>0</v>
      </c>
      <c r="I66" s="184">
        <f t="shared" si="39"/>
        <v>0</v>
      </c>
      <c r="J66" s="9">
        <f t="shared" si="27"/>
        <v>0</v>
      </c>
      <c r="K66" s="26">
        <f t="shared" si="28"/>
        <v>0</v>
      </c>
      <c r="L66" s="26">
        <f t="shared" si="29"/>
        <v>0</v>
      </c>
      <c r="M66" s="26">
        <f t="shared" si="30"/>
        <v>0</v>
      </c>
      <c r="N66" s="26">
        <f t="shared" si="31"/>
        <v>0</v>
      </c>
      <c r="O66" s="26" t="e">
        <f t="shared" si="32"/>
        <v>#DIV/0!</v>
      </c>
      <c r="P66" s="26" t="e">
        <f t="shared" si="33"/>
        <v>#DIV/0!</v>
      </c>
      <c r="Q66" s="26" t="e">
        <f t="shared" si="34"/>
        <v>#DIV/0!</v>
      </c>
      <c r="R66" s="26" t="e">
        <f t="shared" si="35"/>
        <v>#DIV/0!</v>
      </c>
    </row>
    <row r="67" spans="1:18" x14ac:dyDescent="0.25">
      <c r="A67" s="13" t="s">
        <v>143</v>
      </c>
      <c r="B67" s="36">
        <f t="shared" ref="B67:E67" si="40">B37</f>
        <v>0</v>
      </c>
      <c r="C67" s="25">
        <f t="shared" si="40"/>
        <v>0</v>
      </c>
      <c r="D67" s="25">
        <f t="shared" si="40"/>
        <v>0</v>
      </c>
      <c r="E67" s="25">
        <f t="shared" si="40"/>
        <v>0</v>
      </c>
      <c r="F67" s="25">
        <f t="shared" si="25"/>
        <v>0</v>
      </c>
      <c r="G67" s="184">
        <f t="shared" ref="G67:I67" si="41">$F$60*G37</f>
        <v>0</v>
      </c>
      <c r="H67" s="184">
        <f t="shared" si="41"/>
        <v>0</v>
      </c>
      <c r="I67" s="184">
        <f t="shared" si="41"/>
        <v>0</v>
      </c>
      <c r="J67" s="9">
        <f t="shared" si="27"/>
        <v>0</v>
      </c>
      <c r="K67" s="26">
        <f t="shared" si="28"/>
        <v>0</v>
      </c>
      <c r="L67" s="26">
        <f t="shared" si="29"/>
        <v>0</v>
      </c>
      <c r="M67" s="26">
        <f t="shared" si="30"/>
        <v>0</v>
      </c>
      <c r="N67" s="26">
        <f t="shared" si="31"/>
        <v>0</v>
      </c>
      <c r="O67" s="26" t="e">
        <f t="shared" si="32"/>
        <v>#DIV/0!</v>
      </c>
      <c r="P67" s="26" t="e">
        <f t="shared" si="33"/>
        <v>#DIV/0!</v>
      </c>
      <c r="Q67" s="26" t="e">
        <f t="shared" si="34"/>
        <v>#DIV/0!</v>
      </c>
      <c r="R67" s="26" t="e">
        <f t="shared" si="35"/>
        <v>#DIV/0!</v>
      </c>
    </row>
    <row r="68" spans="1:18" x14ac:dyDescent="0.25">
      <c r="A68" s="13" t="s">
        <v>144</v>
      </c>
      <c r="B68" s="36">
        <f t="shared" ref="B68:E68" si="42">B38</f>
        <v>0</v>
      </c>
      <c r="C68" s="25">
        <f t="shared" si="42"/>
        <v>0</v>
      </c>
      <c r="D68" s="25">
        <f t="shared" si="42"/>
        <v>0</v>
      </c>
      <c r="E68" s="25">
        <f t="shared" si="42"/>
        <v>0</v>
      </c>
      <c r="F68" s="25">
        <f t="shared" si="25"/>
        <v>0</v>
      </c>
      <c r="G68" s="184">
        <f t="shared" ref="G68:I68" si="43">$F$60*G38</f>
        <v>0</v>
      </c>
      <c r="H68" s="184">
        <f t="shared" si="43"/>
        <v>0</v>
      </c>
      <c r="I68" s="184">
        <f t="shared" si="43"/>
        <v>0</v>
      </c>
      <c r="J68" s="9">
        <f t="shared" si="27"/>
        <v>0</v>
      </c>
      <c r="K68" s="26">
        <f t="shared" si="28"/>
        <v>0</v>
      </c>
      <c r="L68" s="26">
        <f t="shared" si="29"/>
        <v>0</v>
      </c>
      <c r="M68" s="26">
        <f t="shared" si="30"/>
        <v>0</v>
      </c>
      <c r="N68" s="26">
        <f t="shared" si="31"/>
        <v>0</v>
      </c>
      <c r="O68" s="26" t="e">
        <f t="shared" si="32"/>
        <v>#DIV/0!</v>
      </c>
      <c r="P68" s="26" t="e">
        <f t="shared" si="33"/>
        <v>#DIV/0!</v>
      </c>
      <c r="Q68" s="26" t="e">
        <f t="shared" si="34"/>
        <v>#DIV/0!</v>
      </c>
      <c r="R68" s="26" t="e">
        <f t="shared" si="35"/>
        <v>#DIV/0!</v>
      </c>
    </row>
    <row r="69" spans="1:18" x14ac:dyDescent="0.25">
      <c r="A69" s="13" t="s">
        <v>145</v>
      </c>
      <c r="B69" s="36">
        <f t="shared" ref="B69:E69" si="44">B39</f>
        <v>0</v>
      </c>
      <c r="C69" s="25">
        <f t="shared" si="44"/>
        <v>0</v>
      </c>
      <c r="D69" s="25">
        <f t="shared" si="44"/>
        <v>0</v>
      </c>
      <c r="E69" s="25">
        <f t="shared" si="44"/>
        <v>0</v>
      </c>
      <c r="F69" s="25">
        <f t="shared" si="25"/>
        <v>0</v>
      </c>
      <c r="G69" s="184">
        <f t="shared" ref="G69:I69" si="45">$F$60*G39</f>
        <v>0</v>
      </c>
      <c r="H69" s="184">
        <f t="shared" si="45"/>
        <v>0</v>
      </c>
      <c r="I69" s="184">
        <f t="shared" si="45"/>
        <v>0</v>
      </c>
      <c r="J69" s="9">
        <f t="shared" si="27"/>
        <v>0</v>
      </c>
      <c r="K69" s="26">
        <f t="shared" si="28"/>
        <v>0</v>
      </c>
      <c r="L69" s="26">
        <f t="shared" si="29"/>
        <v>0</v>
      </c>
      <c r="M69" s="26">
        <f t="shared" si="30"/>
        <v>0</v>
      </c>
      <c r="N69" s="26">
        <f t="shared" si="31"/>
        <v>0</v>
      </c>
      <c r="O69" s="26" t="e">
        <f t="shared" si="32"/>
        <v>#DIV/0!</v>
      </c>
      <c r="P69" s="26" t="e">
        <f t="shared" si="33"/>
        <v>#DIV/0!</v>
      </c>
      <c r="Q69" s="26" t="e">
        <f t="shared" si="34"/>
        <v>#DIV/0!</v>
      </c>
      <c r="R69" s="26" t="e">
        <f t="shared" si="35"/>
        <v>#DIV/0!</v>
      </c>
    </row>
    <row r="70" spans="1:18" x14ac:dyDescent="0.25">
      <c r="A70" s="13" t="s">
        <v>146</v>
      </c>
      <c r="B70" s="36">
        <f t="shared" ref="B70:E70" si="46">B40</f>
        <v>0</v>
      </c>
      <c r="C70" s="25">
        <f t="shared" si="46"/>
        <v>0</v>
      </c>
      <c r="D70" s="25">
        <f t="shared" si="46"/>
        <v>0</v>
      </c>
      <c r="E70" s="25">
        <f t="shared" si="46"/>
        <v>0</v>
      </c>
      <c r="F70" s="25">
        <f t="shared" si="25"/>
        <v>0</v>
      </c>
      <c r="G70" s="184">
        <f t="shared" ref="G70:I70" si="47">$F$60*G40</f>
        <v>0</v>
      </c>
      <c r="H70" s="184">
        <f t="shared" si="47"/>
        <v>0</v>
      </c>
      <c r="I70" s="184">
        <f t="shared" si="47"/>
        <v>0</v>
      </c>
      <c r="J70" s="9">
        <f t="shared" si="27"/>
        <v>0</v>
      </c>
      <c r="K70" s="26">
        <f t="shared" si="28"/>
        <v>0</v>
      </c>
      <c r="L70" s="26">
        <f t="shared" si="29"/>
        <v>0</v>
      </c>
      <c r="M70" s="26">
        <f t="shared" si="30"/>
        <v>0</v>
      </c>
      <c r="N70" s="26">
        <f t="shared" si="31"/>
        <v>0</v>
      </c>
      <c r="O70" s="26" t="e">
        <f t="shared" si="32"/>
        <v>#DIV/0!</v>
      </c>
      <c r="P70" s="26" t="e">
        <f t="shared" si="33"/>
        <v>#DIV/0!</v>
      </c>
      <c r="Q70" s="26" t="e">
        <f t="shared" si="34"/>
        <v>#DIV/0!</v>
      </c>
      <c r="R70" s="26" t="e">
        <f t="shared" si="35"/>
        <v>#DIV/0!</v>
      </c>
    </row>
    <row r="71" spans="1:18" x14ac:dyDescent="0.25">
      <c r="A71" s="13" t="s">
        <v>147</v>
      </c>
      <c r="B71" s="36">
        <f t="shared" ref="B71:E71" si="48">B41</f>
        <v>0</v>
      </c>
      <c r="C71" s="25">
        <f t="shared" si="48"/>
        <v>0</v>
      </c>
      <c r="D71" s="25">
        <f t="shared" si="48"/>
        <v>0</v>
      </c>
      <c r="E71" s="25">
        <f t="shared" si="48"/>
        <v>0</v>
      </c>
      <c r="F71" s="25">
        <f t="shared" si="25"/>
        <v>0</v>
      </c>
      <c r="G71" s="184">
        <f t="shared" ref="G71:I71" si="49">$F$60*G41</f>
        <v>0</v>
      </c>
      <c r="H71" s="184">
        <f t="shared" si="49"/>
        <v>0</v>
      </c>
      <c r="I71" s="184">
        <f t="shared" si="49"/>
        <v>0</v>
      </c>
      <c r="J71" s="9">
        <f t="shared" si="27"/>
        <v>0</v>
      </c>
      <c r="K71" s="26">
        <f t="shared" si="28"/>
        <v>0</v>
      </c>
      <c r="L71" s="26">
        <f t="shared" si="29"/>
        <v>0</v>
      </c>
      <c r="M71" s="26">
        <f t="shared" si="30"/>
        <v>0</v>
      </c>
      <c r="N71" s="26">
        <f t="shared" si="31"/>
        <v>0</v>
      </c>
      <c r="O71" s="26" t="e">
        <f t="shared" si="32"/>
        <v>#DIV/0!</v>
      </c>
      <c r="P71" s="26" t="e">
        <f t="shared" si="33"/>
        <v>#DIV/0!</v>
      </c>
      <c r="Q71" s="26" t="e">
        <f t="shared" si="34"/>
        <v>#DIV/0!</v>
      </c>
      <c r="R71" s="26" t="e">
        <f t="shared" si="35"/>
        <v>#DIV/0!</v>
      </c>
    </row>
    <row r="72" spans="1:18" x14ac:dyDescent="0.25">
      <c r="A72" s="13" t="s">
        <v>148</v>
      </c>
      <c r="B72" s="36">
        <f t="shared" ref="B72:E72" si="50">B42</f>
        <v>0</v>
      </c>
      <c r="C72" s="25">
        <f t="shared" si="50"/>
        <v>0</v>
      </c>
      <c r="D72" s="25">
        <f t="shared" si="50"/>
        <v>0</v>
      </c>
      <c r="E72" s="25">
        <f t="shared" si="50"/>
        <v>0</v>
      </c>
      <c r="F72" s="25">
        <f t="shared" si="25"/>
        <v>0</v>
      </c>
      <c r="G72" s="184">
        <f t="shared" ref="G72:I72" si="51">$F$60*G42</f>
        <v>0</v>
      </c>
      <c r="H72" s="184">
        <f t="shared" si="51"/>
        <v>0</v>
      </c>
      <c r="I72" s="184">
        <f t="shared" si="51"/>
        <v>0</v>
      </c>
      <c r="J72" s="9">
        <f t="shared" si="27"/>
        <v>0</v>
      </c>
      <c r="K72" s="26">
        <f t="shared" si="28"/>
        <v>0</v>
      </c>
      <c r="L72" s="26">
        <f t="shared" si="29"/>
        <v>0</v>
      </c>
      <c r="M72" s="26">
        <f t="shared" si="30"/>
        <v>0</v>
      </c>
      <c r="N72" s="26">
        <f t="shared" si="31"/>
        <v>0</v>
      </c>
      <c r="O72" s="26" t="e">
        <f t="shared" si="32"/>
        <v>#DIV/0!</v>
      </c>
      <c r="P72" s="26" t="e">
        <f t="shared" si="33"/>
        <v>#DIV/0!</v>
      </c>
      <c r="Q72" s="26" t="e">
        <f t="shared" si="34"/>
        <v>#DIV/0!</v>
      </c>
      <c r="R72" s="26" t="e">
        <f t="shared" si="35"/>
        <v>#DIV/0!</v>
      </c>
    </row>
    <row r="73" spans="1:18" x14ac:dyDescent="0.25">
      <c r="A73" s="13" t="s">
        <v>149</v>
      </c>
      <c r="B73" s="36">
        <f t="shared" ref="B73:E73" si="52">B43</f>
        <v>0</v>
      </c>
      <c r="C73" s="25">
        <f t="shared" si="52"/>
        <v>0</v>
      </c>
      <c r="D73" s="25">
        <f t="shared" si="52"/>
        <v>0</v>
      </c>
      <c r="E73" s="25">
        <f t="shared" si="52"/>
        <v>0</v>
      </c>
      <c r="F73" s="25">
        <f t="shared" si="25"/>
        <v>0</v>
      </c>
      <c r="G73" s="184">
        <f t="shared" ref="G73:I73" si="53">$F$60*G43</f>
        <v>0</v>
      </c>
      <c r="H73" s="184">
        <f t="shared" si="53"/>
        <v>0</v>
      </c>
      <c r="I73" s="184">
        <f t="shared" si="53"/>
        <v>0</v>
      </c>
      <c r="J73" s="9">
        <f t="shared" si="27"/>
        <v>0</v>
      </c>
      <c r="K73" s="26">
        <f t="shared" si="28"/>
        <v>0</v>
      </c>
      <c r="L73" s="26">
        <f t="shared" si="29"/>
        <v>0</v>
      </c>
      <c r="M73" s="26">
        <f t="shared" si="30"/>
        <v>0</v>
      </c>
      <c r="N73" s="26">
        <f t="shared" si="31"/>
        <v>0</v>
      </c>
      <c r="O73" s="26" t="e">
        <f t="shared" si="32"/>
        <v>#DIV/0!</v>
      </c>
      <c r="P73" s="26" t="e">
        <f t="shared" si="33"/>
        <v>#DIV/0!</v>
      </c>
      <c r="Q73" s="26" t="e">
        <f t="shared" si="34"/>
        <v>#DIV/0!</v>
      </c>
      <c r="R73" s="26" t="e">
        <f t="shared" si="35"/>
        <v>#DIV/0!</v>
      </c>
    </row>
    <row r="74" spans="1:18" x14ac:dyDescent="0.25">
      <c r="A74" s="13" t="s">
        <v>150</v>
      </c>
      <c r="B74" s="36">
        <f t="shared" ref="B74:E74" si="54">B44</f>
        <v>0</v>
      </c>
      <c r="C74" s="25">
        <f t="shared" si="54"/>
        <v>0</v>
      </c>
      <c r="D74" s="25">
        <f t="shared" si="54"/>
        <v>0</v>
      </c>
      <c r="E74" s="25">
        <f t="shared" si="54"/>
        <v>0</v>
      </c>
      <c r="F74" s="25">
        <f t="shared" si="25"/>
        <v>0</v>
      </c>
      <c r="G74" s="184">
        <f t="shared" ref="G74:I74" si="55">$F$60*G44</f>
        <v>0</v>
      </c>
      <c r="H74" s="184">
        <f t="shared" si="55"/>
        <v>0</v>
      </c>
      <c r="I74" s="184">
        <f t="shared" si="55"/>
        <v>0</v>
      </c>
      <c r="J74" s="9">
        <f t="shared" si="27"/>
        <v>0</v>
      </c>
      <c r="K74" s="26">
        <f t="shared" si="28"/>
        <v>0</v>
      </c>
      <c r="L74" s="26">
        <f t="shared" si="29"/>
        <v>0</v>
      </c>
      <c r="M74" s="26">
        <f t="shared" si="30"/>
        <v>0</v>
      </c>
      <c r="N74" s="26">
        <f t="shared" si="31"/>
        <v>0</v>
      </c>
      <c r="O74" s="26" t="e">
        <f t="shared" si="32"/>
        <v>#DIV/0!</v>
      </c>
      <c r="P74" s="26" t="e">
        <f t="shared" si="33"/>
        <v>#DIV/0!</v>
      </c>
      <c r="Q74" s="26" t="e">
        <f t="shared" si="34"/>
        <v>#DIV/0!</v>
      </c>
      <c r="R74" s="26" t="e">
        <f t="shared" si="35"/>
        <v>#DIV/0!</v>
      </c>
    </row>
    <row r="75" spans="1:18" x14ac:dyDescent="0.25">
      <c r="A75" s="13" t="s">
        <v>151</v>
      </c>
      <c r="B75" s="36">
        <f t="shared" ref="B75:E75" si="56">B45</f>
        <v>0</v>
      </c>
      <c r="C75" s="25">
        <f t="shared" si="56"/>
        <v>0</v>
      </c>
      <c r="D75" s="25">
        <f t="shared" si="56"/>
        <v>0</v>
      </c>
      <c r="E75" s="25">
        <f t="shared" si="56"/>
        <v>0</v>
      </c>
      <c r="F75" s="25">
        <f t="shared" si="25"/>
        <v>0</v>
      </c>
      <c r="G75" s="184">
        <f t="shared" ref="G75:I75" si="57">$F$60*G45</f>
        <v>0</v>
      </c>
      <c r="H75" s="184">
        <f t="shared" si="57"/>
        <v>0</v>
      </c>
      <c r="I75" s="184">
        <f t="shared" si="57"/>
        <v>0</v>
      </c>
      <c r="J75" s="9">
        <f t="shared" si="27"/>
        <v>0</v>
      </c>
      <c r="K75" s="26">
        <f t="shared" si="28"/>
        <v>0</v>
      </c>
      <c r="L75" s="26">
        <f t="shared" si="29"/>
        <v>0</v>
      </c>
      <c r="M75" s="26">
        <f t="shared" si="30"/>
        <v>0</v>
      </c>
      <c r="N75" s="26">
        <f t="shared" si="31"/>
        <v>0</v>
      </c>
      <c r="O75" s="26" t="e">
        <f t="shared" si="32"/>
        <v>#DIV/0!</v>
      </c>
      <c r="P75" s="26" t="e">
        <f t="shared" si="33"/>
        <v>#DIV/0!</v>
      </c>
      <c r="Q75" s="26" t="e">
        <f t="shared" si="34"/>
        <v>#DIV/0!</v>
      </c>
      <c r="R75" s="26" t="e">
        <f t="shared" si="35"/>
        <v>#DIV/0!</v>
      </c>
    </row>
    <row r="76" spans="1:18" x14ac:dyDescent="0.25">
      <c r="A76" s="13" t="s">
        <v>152</v>
      </c>
      <c r="B76" s="36">
        <f t="shared" ref="B76:E76" si="58">B46</f>
        <v>0</v>
      </c>
      <c r="C76" s="25">
        <f t="shared" si="58"/>
        <v>0</v>
      </c>
      <c r="D76" s="25">
        <f t="shared" si="58"/>
        <v>0</v>
      </c>
      <c r="E76" s="25">
        <f t="shared" si="58"/>
        <v>0</v>
      </c>
      <c r="F76" s="25">
        <f t="shared" si="25"/>
        <v>0</v>
      </c>
      <c r="G76" s="184">
        <f t="shared" ref="G76:I76" si="59">$F$60*G46</f>
        <v>0</v>
      </c>
      <c r="H76" s="184">
        <f t="shared" si="59"/>
        <v>0</v>
      </c>
      <c r="I76" s="184">
        <f t="shared" si="59"/>
        <v>0</v>
      </c>
      <c r="J76" s="9">
        <f t="shared" si="27"/>
        <v>0</v>
      </c>
      <c r="K76" s="26">
        <f t="shared" si="28"/>
        <v>0</v>
      </c>
      <c r="L76" s="26">
        <f t="shared" si="29"/>
        <v>0</v>
      </c>
      <c r="M76" s="26">
        <f t="shared" si="30"/>
        <v>0</v>
      </c>
      <c r="N76" s="26">
        <f t="shared" si="31"/>
        <v>0</v>
      </c>
      <c r="O76" s="26" t="e">
        <f t="shared" si="32"/>
        <v>#DIV/0!</v>
      </c>
      <c r="P76" s="26" t="e">
        <f t="shared" si="33"/>
        <v>#DIV/0!</v>
      </c>
      <c r="Q76" s="26" t="e">
        <f t="shared" si="34"/>
        <v>#DIV/0!</v>
      </c>
      <c r="R76" s="26" t="e">
        <f t="shared" si="35"/>
        <v>#DIV/0!</v>
      </c>
    </row>
    <row r="77" spans="1:18" x14ac:dyDescent="0.25">
      <c r="A77" s="13" t="s">
        <v>153</v>
      </c>
      <c r="B77" s="36">
        <f t="shared" ref="B77:E77" si="60">B47</f>
        <v>0</v>
      </c>
      <c r="C77" s="25">
        <f t="shared" si="60"/>
        <v>0</v>
      </c>
      <c r="D77" s="25">
        <f t="shared" si="60"/>
        <v>0</v>
      </c>
      <c r="E77" s="25">
        <f t="shared" si="60"/>
        <v>0</v>
      </c>
      <c r="F77" s="25">
        <f t="shared" si="25"/>
        <v>0</v>
      </c>
      <c r="G77" s="184">
        <f t="shared" ref="G77:I77" si="61">$F$60*G47</f>
        <v>0</v>
      </c>
      <c r="H77" s="184">
        <f t="shared" si="61"/>
        <v>0</v>
      </c>
      <c r="I77" s="184">
        <f t="shared" si="61"/>
        <v>0</v>
      </c>
      <c r="J77" s="9">
        <f t="shared" si="27"/>
        <v>0</v>
      </c>
      <c r="K77" s="26">
        <f t="shared" si="28"/>
        <v>0</v>
      </c>
      <c r="L77" s="26">
        <f t="shared" si="29"/>
        <v>0</v>
      </c>
      <c r="M77" s="26">
        <f t="shared" si="30"/>
        <v>0</v>
      </c>
      <c r="N77" s="26">
        <f t="shared" si="31"/>
        <v>0</v>
      </c>
      <c r="O77" s="26" t="e">
        <f t="shared" si="32"/>
        <v>#DIV/0!</v>
      </c>
      <c r="P77" s="26" t="e">
        <f t="shared" si="33"/>
        <v>#DIV/0!</v>
      </c>
      <c r="Q77" s="26" t="e">
        <f t="shared" si="34"/>
        <v>#DIV/0!</v>
      </c>
      <c r="R77" s="26" t="e">
        <f t="shared" si="35"/>
        <v>#DIV/0!</v>
      </c>
    </row>
    <row r="78" spans="1:18" x14ac:dyDescent="0.25">
      <c r="A78" s="13" t="s">
        <v>154</v>
      </c>
      <c r="B78" s="36">
        <f t="shared" ref="B78:E78" si="62">B48</f>
        <v>0</v>
      </c>
      <c r="C78" s="25">
        <f t="shared" si="62"/>
        <v>0</v>
      </c>
      <c r="D78" s="25">
        <f t="shared" si="62"/>
        <v>0</v>
      </c>
      <c r="E78" s="25">
        <f t="shared" si="62"/>
        <v>0</v>
      </c>
      <c r="F78" s="25">
        <f t="shared" si="25"/>
        <v>0</v>
      </c>
      <c r="G78" s="184">
        <f t="shared" ref="G78:I78" si="63">$F$60*G48</f>
        <v>0</v>
      </c>
      <c r="H78" s="184">
        <f t="shared" si="63"/>
        <v>0</v>
      </c>
      <c r="I78" s="184">
        <f t="shared" si="63"/>
        <v>0</v>
      </c>
      <c r="J78" s="9">
        <f t="shared" si="27"/>
        <v>0</v>
      </c>
      <c r="K78" s="26">
        <f t="shared" si="28"/>
        <v>0</v>
      </c>
      <c r="L78" s="26">
        <f t="shared" si="29"/>
        <v>0</v>
      </c>
      <c r="M78" s="26">
        <f t="shared" si="30"/>
        <v>0</v>
      </c>
      <c r="N78" s="26">
        <f t="shared" si="31"/>
        <v>0</v>
      </c>
      <c r="O78" s="26" t="e">
        <f t="shared" si="32"/>
        <v>#DIV/0!</v>
      </c>
      <c r="P78" s="26" t="e">
        <f t="shared" si="33"/>
        <v>#DIV/0!</v>
      </c>
      <c r="Q78" s="26" t="e">
        <f t="shared" si="34"/>
        <v>#DIV/0!</v>
      </c>
      <c r="R78" s="26" t="e">
        <f t="shared" si="35"/>
        <v>#DIV/0!</v>
      </c>
    </row>
    <row r="79" spans="1:18" x14ac:dyDescent="0.25">
      <c r="A79" s="13" t="s">
        <v>155</v>
      </c>
      <c r="B79" s="36">
        <f t="shared" ref="B79:E79" si="64">B49</f>
        <v>0</v>
      </c>
      <c r="C79" s="25">
        <f t="shared" si="64"/>
        <v>0</v>
      </c>
      <c r="D79" s="25">
        <f t="shared" si="64"/>
        <v>0</v>
      </c>
      <c r="E79" s="25">
        <f t="shared" si="64"/>
        <v>0</v>
      </c>
      <c r="F79" s="25">
        <f t="shared" si="25"/>
        <v>0</v>
      </c>
      <c r="G79" s="184">
        <f t="shared" ref="G79:I79" si="65">$F$60*G49</f>
        <v>0</v>
      </c>
      <c r="H79" s="184">
        <f t="shared" si="65"/>
        <v>0</v>
      </c>
      <c r="I79" s="184">
        <f t="shared" si="65"/>
        <v>0</v>
      </c>
      <c r="J79" s="9">
        <f t="shared" si="27"/>
        <v>0</v>
      </c>
      <c r="K79" s="26">
        <f t="shared" si="28"/>
        <v>0</v>
      </c>
      <c r="L79" s="26">
        <f t="shared" si="29"/>
        <v>0</v>
      </c>
      <c r="M79" s="26">
        <f t="shared" si="30"/>
        <v>0</v>
      </c>
      <c r="N79" s="26">
        <f t="shared" si="31"/>
        <v>0</v>
      </c>
      <c r="O79" s="26" t="e">
        <f t="shared" si="32"/>
        <v>#DIV/0!</v>
      </c>
      <c r="P79" s="26" t="e">
        <f t="shared" si="33"/>
        <v>#DIV/0!</v>
      </c>
      <c r="Q79" s="26" t="e">
        <f t="shared" si="34"/>
        <v>#DIV/0!</v>
      </c>
      <c r="R79" s="26" t="e">
        <f t="shared" si="35"/>
        <v>#DIV/0!</v>
      </c>
    </row>
    <row r="80" spans="1:18" x14ac:dyDescent="0.25">
      <c r="A80" s="13" t="s">
        <v>156</v>
      </c>
      <c r="B80" s="36">
        <f t="shared" ref="B80:E80" si="66">B50</f>
        <v>0</v>
      </c>
      <c r="C80" s="25">
        <f t="shared" si="66"/>
        <v>0</v>
      </c>
      <c r="D80" s="25">
        <f t="shared" si="66"/>
        <v>0</v>
      </c>
      <c r="E80" s="25">
        <f t="shared" si="66"/>
        <v>0</v>
      </c>
      <c r="F80" s="25">
        <f t="shared" si="25"/>
        <v>0</v>
      </c>
      <c r="G80" s="184">
        <f t="shared" ref="G80:I80" si="67">$F$60*G50</f>
        <v>0</v>
      </c>
      <c r="H80" s="184">
        <f t="shared" si="67"/>
        <v>0</v>
      </c>
      <c r="I80" s="184">
        <f t="shared" si="67"/>
        <v>0</v>
      </c>
      <c r="J80" s="9">
        <f t="shared" si="27"/>
        <v>0</v>
      </c>
      <c r="K80" s="26">
        <f t="shared" si="28"/>
        <v>0</v>
      </c>
      <c r="L80" s="26">
        <f t="shared" si="29"/>
        <v>0</v>
      </c>
      <c r="M80" s="26">
        <f t="shared" si="30"/>
        <v>0</v>
      </c>
      <c r="N80" s="26">
        <f t="shared" si="31"/>
        <v>0</v>
      </c>
      <c r="O80" s="26" t="e">
        <f t="shared" si="32"/>
        <v>#DIV/0!</v>
      </c>
      <c r="P80" s="26" t="e">
        <f t="shared" si="33"/>
        <v>#DIV/0!</v>
      </c>
      <c r="Q80" s="26" t="e">
        <f t="shared" si="34"/>
        <v>#DIV/0!</v>
      </c>
      <c r="R80" s="26" t="e">
        <f t="shared" si="35"/>
        <v>#DIV/0!</v>
      </c>
    </row>
    <row r="81" spans="1:20" x14ac:dyDescent="0.25">
      <c r="A81" s="13" t="s">
        <v>157</v>
      </c>
      <c r="B81" s="36">
        <f t="shared" ref="B81:E81" si="68">B51</f>
        <v>0</v>
      </c>
      <c r="C81" s="25">
        <f t="shared" si="68"/>
        <v>0</v>
      </c>
      <c r="D81" s="25">
        <f t="shared" si="68"/>
        <v>0</v>
      </c>
      <c r="E81" s="25">
        <f t="shared" si="68"/>
        <v>0</v>
      </c>
      <c r="F81" s="25">
        <f t="shared" si="25"/>
        <v>0</v>
      </c>
      <c r="G81" s="184">
        <f t="shared" ref="G81:I81" si="69">$F$60*G51</f>
        <v>0</v>
      </c>
      <c r="H81" s="184">
        <f t="shared" si="69"/>
        <v>0</v>
      </c>
      <c r="I81" s="184">
        <f t="shared" si="69"/>
        <v>0</v>
      </c>
      <c r="J81" s="9">
        <f t="shared" si="27"/>
        <v>0</v>
      </c>
      <c r="K81" s="26">
        <f t="shared" si="28"/>
        <v>0</v>
      </c>
      <c r="L81" s="26">
        <f t="shared" si="29"/>
        <v>0</v>
      </c>
      <c r="M81" s="26">
        <f t="shared" si="30"/>
        <v>0</v>
      </c>
      <c r="N81" s="26">
        <f t="shared" si="31"/>
        <v>0</v>
      </c>
      <c r="O81" s="26" t="e">
        <f t="shared" si="32"/>
        <v>#DIV/0!</v>
      </c>
      <c r="P81" s="26" t="e">
        <f t="shared" si="33"/>
        <v>#DIV/0!</v>
      </c>
      <c r="Q81" s="26" t="e">
        <f t="shared" si="34"/>
        <v>#DIV/0!</v>
      </c>
      <c r="R81" s="26" t="e">
        <f t="shared" si="35"/>
        <v>#DIV/0!</v>
      </c>
    </row>
    <row r="82" spans="1:20" x14ac:dyDescent="0.25">
      <c r="A82" s="13" t="s">
        <v>158</v>
      </c>
      <c r="B82" s="36">
        <f t="shared" ref="B82:E82" si="70">B52</f>
        <v>0</v>
      </c>
      <c r="C82" s="25">
        <f t="shared" si="70"/>
        <v>0</v>
      </c>
      <c r="D82" s="25">
        <f t="shared" si="70"/>
        <v>0</v>
      </c>
      <c r="E82" s="25">
        <f t="shared" si="70"/>
        <v>0</v>
      </c>
      <c r="F82" s="25">
        <f t="shared" si="25"/>
        <v>0</v>
      </c>
      <c r="G82" s="184">
        <f t="shared" ref="G82:I82" si="71">$F$60*G52</f>
        <v>0</v>
      </c>
      <c r="H82" s="184">
        <f t="shared" si="71"/>
        <v>0</v>
      </c>
      <c r="I82" s="184">
        <f t="shared" si="71"/>
        <v>0</v>
      </c>
      <c r="J82" s="9">
        <f t="shared" si="27"/>
        <v>0</v>
      </c>
      <c r="K82" s="26">
        <f t="shared" si="28"/>
        <v>0</v>
      </c>
      <c r="L82" s="26">
        <f t="shared" si="29"/>
        <v>0</v>
      </c>
      <c r="M82" s="26">
        <f t="shared" si="30"/>
        <v>0</v>
      </c>
      <c r="N82" s="26">
        <f t="shared" si="31"/>
        <v>0</v>
      </c>
      <c r="O82" s="26" t="e">
        <f t="shared" si="32"/>
        <v>#DIV/0!</v>
      </c>
      <c r="P82" s="26" t="e">
        <f t="shared" si="33"/>
        <v>#DIV/0!</v>
      </c>
      <c r="Q82" s="26" t="e">
        <f t="shared" si="34"/>
        <v>#DIV/0!</v>
      </c>
      <c r="R82" s="26" t="e">
        <f t="shared" si="35"/>
        <v>#DIV/0!</v>
      </c>
    </row>
    <row r="83" spans="1:20" x14ac:dyDescent="0.25">
      <c r="A83" s="13" t="s">
        <v>159</v>
      </c>
      <c r="B83" s="36">
        <f t="shared" ref="B83:E83" si="72">B53</f>
        <v>0</v>
      </c>
      <c r="C83" s="25">
        <f t="shared" si="72"/>
        <v>0</v>
      </c>
      <c r="D83" s="25">
        <f t="shared" si="72"/>
        <v>0</v>
      </c>
      <c r="E83" s="25">
        <f t="shared" si="72"/>
        <v>0</v>
      </c>
      <c r="F83" s="25">
        <f t="shared" si="25"/>
        <v>0</v>
      </c>
      <c r="G83" s="184">
        <f t="shared" ref="G83:I83" si="73">$F$60*G53</f>
        <v>0</v>
      </c>
      <c r="H83" s="184">
        <f t="shared" si="73"/>
        <v>0</v>
      </c>
      <c r="I83" s="184">
        <f t="shared" si="73"/>
        <v>0</v>
      </c>
      <c r="J83" s="9">
        <f t="shared" si="27"/>
        <v>0</v>
      </c>
      <c r="K83" s="26">
        <f t="shared" si="28"/>
        <v>0</v>
      </c>
      <c r="L83" s="26">
        <f t="shared" si="29"/>
        <v>0</v>
      </c>
      <c r="M83" s="26">
        <f t="shared" si="30"/>
        <v>0</v>
      </c>
      <c r="N83" s="26">
        <f t="shared" si="31"/>
        <v>0</v>
      </c>
      <c r="O83" s="26" t="e">
        <f t="shared" si="32"/>
        <v>#DIV/0!</v>
      </c>
      <c r="P83" s="26" t="e">
        <f t="shared" si="33"/>
        <v>#DIV/0!</v>
      </c>
      <c r="Q83" s="26" t="e">
        <f t="shared" si="34"/>
        <v>#DIV/0!</v>
      </c>
      <c r="R83" s="26" t="e">
        <f t="shared" si="35"/>
        <v>#DIV/0!</v>
      </c>
    </row>
    <row r="84" spans="1:20" x14ac:dyDescent="0.25">
      <c r="A84" s="13" t="s">
        <v>160</v>
      </c>
      <c r="B84" s="36">
        <f t="shared" ref="B84:E84" si="74">B54</f>
        <v>0</v>
      </c>
      <c r="C84" s="25">
        <f t="shared" si="74"/>
        <v>0</v>
      </c>
      <c r="D84" s="25">
        <f t="shared" si="74"/>
        <v>0</v>
      </c>
      <c r="E84" s="25">
        <f t="shared" si="74"/>
        <v>0</v>
      </c>
      <c r="F84" s="25">
        <f t="shared" si="25"/>
        <v>0</v>
      </c>
      <c r="G84" s="184">
        <f t="shared" ref="G84:I84" si="75">$F$60*G54</f>
        <v>0</v>
      </c>
      <c r="H84" s="184">
        <f t="shared" si="75"/>
        <v>0</v>
      </c>
      <c r="I84" s="184">
        <f t="shared" si="75"/>
        <v>0</v>
      </c>
      <c r="J84" s="9">
        <f t="shared" si="27"/>
        <v>0</v>
      </c>
      <c r="K84" s="26">
        <f t="shared" si="28"/>
        <v>0</v>
      </c>
      <c r="L84" s="26">
        <f t="shared" si="29"/>
        <v>0</v>
      </c>
      <c r="M84" s="26">
        <f t="shared" si="30"/>
        <v>0</v>
      </c>
      <c r="N84" s="26">
        <f t="shared" si="31"/>
        <v>0</v>
      </c>
      <c r="O84" s="26" t="e">
        <f t="shared" si="32"/>
        <v>#DIV/0!</v>
      </c>
      <c r="P84" s="26" t="e">
        <f t="shared" si="33"/>
        <v>#DIV/0!</v>
      </c>
      <c r="Q84" s="26" t="e">
        <f t="shared" si="34"/>
        <v>#DIV/0!</v>
      </c>
      <c r="R84" s="26" t="e">
        <f t="shared" si="35"/>
        <v>#DIV/0!</v>
      </c>
    </row>
    <row r="85" spans="1:20" x14ac:dyDescent="0.25">
      <c r="A85" s="13" t="s">
        <v>161</v>
      </c>
      <c r="B85" s="36">
        <f t="shared" ref="B85:E85" si="76">B55</f>
        <v>0</v>
      </c>
      <c r="C85" s="25">
        <f t="shared" si="76"/>
        <v>0</v>
      </c>
      <c r="D85" s="25">
        <f t="shared" si="76"/>
        <v>0</v>
      </c>
      <c r="E85" s="25">
        <f t="shared" si="76"/>
        <v>0</v>
      </c>
      <c r="F85" s="25">
        <f t="shared" si="25"/>
        <v>0</v>
      </c>
      <c r="G85" s="184">
        <f t="shared" ref="G85:I85" si="77">$F$60*G55</f>
        <v>0</v>
      </c>
      <c r="H85" s="184">
        <f t="shared" si="77"/>
        <v>0</v>
      </c>
      <c r="I85" s="184">
        <f t="shared" si="77"/>
        <v>0</v>
      </c>
      <c r="J85" s="9">
        <f t="shared" si="27"/>
        <v>0</v>
      </c>
      <c r="K85" s="26">
        <f t="shared" si="28"/>
        <v>0</v>
      </c>
      <c r="L85" s="26">
        <f t="shared" si="29"/>
        <v>0</v>
      </c>
      <c r="M85" s="26">
        <f t="shared" si="30"/>
        <v>0</v>
      </c>
      <c r="N85" s="26">
        <f t="shared" si="31"/>
        <v>0</v>
      </c>
      <c r="O85" s="26" t="e">
        <f t="shared" si="32"/>
        <v>#DIV/0!</v>
      </c>
      <c r="P85" s="26" t="e">
        <f t="shared" si="33"/>
        <v>#DIV/0!</v>
      </c>
      <c r="Q85" s="26" t="e">
        <f t="shared" si="34"/>
        <v>#DIV/0!</v>
      </c>
      <c r="R85" s="26" t="e">
        <f t="shared" si="35"/>
        <v>#DIV/0!</v>
      </c>
    </row>
    <row r="86" spans="1:20" x14ac:dyDescent="0.25">
      <c r="A86" s="13" t="s">
        <v>162</v>
      </c>
      <c r="B86" s="36">
        <f t="shared" ref="B86:E86" si="78">B56</f>
        <v>0</v>
      </c>
      <c r="C86" s="25">
        <f t="shared" si="78"/>
        <v>0</v>
      </c>
      <c r="D86" s="25">
        <f t="shared" si="78"/>
        <v>0</v>
      </c>
      <c r="E86" s="25">
        <f t="shared" si="78"/>
        <v>0</v>
      </c>
      <c r="F86" s="25">
        <f t="shared" si="25"/>
        <v>0</v>
      </c>
      <c r="G86" s="184">
        <f t="shared" ref="G86:I86" si="79">$F$60*G56</f>
        <v>0</v>
      </c>
      <c r="H86" s="184">
        <f t="shared" si="79"/>
        <v>0</v>
      </c>
      <c r="I86" s="184">
        <f t="shared" si="79"/>
        <v>0</v>
      </c>
      <c r="J86" s="9">
        <f t="shared" si="27"/>
        <v>0</v>
      </c>
      <c r="K86" s="26">
        <f t="shared" si="28"/>
        <v>0</v>
      </c>
      <c r="L86" s="26">
        <f t="shared" si="29"/>
        <v>0</v>
      </c>
      <c r="M86" s="26">
        <f t="shared" si="30"/>
        <v>0</v>
      </c>
      <c r="N86" s="26">
        <f t="shared" si="31"/>
        <v>0</v>
      </c>
      <c r="O86" s="26" t="e">
        <f t="shared" si="32"/>
        <v>#DIV/0!</v>
      </c>
      <c r="P86" s="26" t="e">
        <f t="shared" si="33"/>
        <v>#DIV/0!</v>
      </c>
      <c r="Q86" s="26" t="e">
        <f t="shared" si="34"/>
        <v>#DIV/0!</v>
      </c>
      <c r="R86" s="26" t="e">
        <f t="shared" si="35"/>
        <v>#DIV/0!</v>
      </c>
    </row>
    <row r="87" spans="1:20" x14ac:dyDescent="0.25">
      <c r="A87" s="1" t="s">
        <v>163</v>
      </c>
      <c r="B87" s="24">
        <f>SUM(B63:B86)</f>
        <v>0</v>
      </c>
      <c r="C87" s="51" t="e">
        <f>SUMPRODUCT($B$63:$B$86,C63:C86)/$B$87</f>
        <v>#DIV/0!</v>
      </c>
      <c r="D87" s="51" t="e">
        <f>SUMPRODUCT($B$63:$B$86,D63:D86)/$B$87</f>
        <v>#DIV/0!</v>
      </c>
      <c r="E87" s="51" t="e">
        <f>SUMPRODUCT($B$63:$B$86,E63:E86)/$B$87</f>
        <v>#DIV/0!</v>
      </c>
      <c r="F87" s="37" t="e">
        <f>SUM(C87:E87)</f>
        <v>#DIV/0!</v>
      </c>
      <c r="G87" s="38" t="e">
        <f>SUMPRODUCT($B63:$B86,G63:G86)/$B$86</f>
        <v>#DIV/0!</v>
      </c>
      <c r="H87" s="38" t="e">
        <f t="shared" ref="H87:I87" si="80">SUMPRODUCT($B63:$B86,H63:H86)/$B$86</f>
        <v>#DIV/0!</v>
      </c>
      <c r="I87" s="38" t="e">
        <f t="shared" si="80"/>
        <v>#DIV/0!</v>
      </c>
      <c r="J87" s="9" t="e">
        <f>SUMPRODUCT(C87:E87,G87:I87)</f>
        <v>#DIV/0!</v>
      </c>
      <c r="K87" s="10">
        <f>SUM(K63:K86)</f>
        <v>0</v>
      </c>
      <c r="L87" s="10">
        <f>SUM(L63:L86)</f>
        <v>0</v>
      </c>
      <c r="M87" s="10">
        <f t="shared" ref="M87" si="81">SUM(M63:M86)</f>
        <v>0</v>
      </c>
      <c r="N87" s="23">
        <f>SUM(K87:M87)</f>
        <v>0</v>
      </c>
      <c r="O87" s="10" t="e">
        <f>SUM(O63:O86)</f>
        <v>#DIV/0!</v>
      </c>
      <c r="P87" s="10" t="e">
        <f>SUM(P63:P86)</f>
        <v>#DIV/0!</v>
      </c>
      <c r="Q87" s="10" t="e">
        <f>SUM(Q63:Q86)</f>
        <v>#DIV/0!</v>
      </c>
      <c r="R87" s="23" t="e">
        <f>SUM(R63:R86)</f>
        <v>#DIV/0!</v>
      </c>
    </row>
    <row r="88" spans="1:20" x14ac:dyDescent="0.25">
      <c r="A88" s="17" t="s">
        <v>8</v>
      </c>
      <c r="C88" s="842"/>
      <c r="D88" s="842"/>
      <c r="E88" s="842"/>
      <c r="F88" s="6"/>
      <c r="N88" s="29" t="b">
        <f>SUM(K87:M87)=N87</f>
        <v>1</v>
      </c>
      <c r="S88" s="39" t="e">
        <f>SUM(O87:Q87)=R87</f>
        <v>#DIV/0!</v>
      </c>
    </row>
    <row r="89" spans="1:20" x14ac:dyDescent="0.25">
      <c r="A89" s="17"/>
      <c r="C89" s="21"/>
      <c r="D89" s="21"/>
      <c r="E89" s="21"/>
    </row>
    <row r="92" spans="1:20" x14ac:dyDescent="0.25">
      <c r="A92" s="3" t="s">
        <v>726</v>
      </c>
    </row>
    <row r="93" spans="1:20" ht="38.450000000000003" customHeight="1" x14ac:dyDescent="0.25">
      <c r="A93" s="59" t="s">
        <v>506</v>
      </c>
    </row>
    <row r="94" spans="1:20" ht="33.6" customHeight="1" x14ac:dyDescent="0.25">
      <c r="A94" s="838" t="s">
        <v>101</v>
      </c>
      <c r="B94" s="814" t="s">
        <v>327</v>
      </c>
      <c r="C94" s="814" t="s">
        <v>328</v>
      </c>
      <c r="D94" s="814"/>
      <c r="E94" s="814"/>
      <c r="F94" s="814"/>
      <c r="G94" s="814" t="s">
        <v>727</v>
      </c>
      <c r="H94" s="814"/>
      <c r="I94" s="814"/>
      <c r="J94" s="814"/>
      <c r="K94" s="814" t="s">
        <v>728</v>
      </c>
      <c r="L94" s="814"/>
      <c r="M94" s="814"/>
      <c r="N94" s="814"/>
      <c r="O94" s="44"/>
      <c r="P94" s="44"/>
      <c r="Q94" s="44"/>
      <c r="R94" s="44"/>
      <c r="S94" s="44"/>
      <c r="T94" s="44"/>
    </row>
    <row r="95" spans="1:20" x14ac:dyDescent="0.25">
      <c r="A95" s="838"/>
      <c r="B95" s="814"/>
      <c r="C95" s="1" t="s">
        <v>331</v>
      </c>
      <c r="D95" s="1" t="s">
        <v>137</v>
      </c>
      <c r="E95" s="1" t="s">
        <v>289</v>
      </c>
      <c r="F95" s="1" t="s">
        <v>120</v>
      </c>
      <c r="G95" s="1" t="s">
        <v>136</v>
      </c>
      <c r="H95" s="1" t="s">
        <v>137</v>
      </c>
      <c r="I95" s="1" t="s">
        <v>289</v>
      </c>
      <c r="J95" s="1" t="s">
        <v>120</v>
      </c>
      <c r="K95" s="1" t="s">
        <v>136</v>
      </c>
      <c r="L95" s="1" t="s">
        <v>137</v>
      </c>
      <c r="M95" s="1" t="s">
        <v>289</v>
      </c>
      <c r="N95" s="1" t="s">
        <v>120</v>
      </c>
    </row>
    <row r="96" spans="1:20" x14ac:dyDescent="0.25">
      <c r="A96" s="13" t="s">
        <v>139</v>
      </c>
      <c r="B96" s="40"/>
      <c r="C96" s="394">
        <f t="shared" ref="C96:E96" si="82">C63</f>
        <v>0</v>
      </c>
      <c r="D96" s="394">
        <f t="shared" si="82"/>
        <v>0</v>
      </c>
      <c r="E96" s="394">
        <f t="shared" si="82"/>
        <v>0</v>
      </c>
      <c r="F96" s="185">
        <f>SUM(C96:E96)</f>
        <v>0</v>
      </c>
      <c r="G96" s="36">
        <f>IFERROR(C96*$B96/(C33*$B33),0)</f>
        <v>0</v>
      </c>
      <c r="H96" s="36">
        <f t="shared" ref="H96:I96" si="83">IFERROR(D96*$B96/(D33*$B33),0)</f>
        <v>0</v>
      </c>
      <c r="I96" s="36">
        <f t="shared" si="83"/>
        <v>0</v>
      </c>
      <c r="J96" s="9">
        <f>SUMPRODUCT(C96:E96,G96:I96)</f>
        <v>0</v>
      </c>
      <c r="K96" s="9">
        <f>($G96-G96)*(C33*$B33)</f>
        <v>0</v>
      </c>
      <c r="L96" s="9">
        <f>($G96-H96)*(D33*$B33)</f>
        <v>0</v>
      </c>
      <c r="M96" s="9">
        <f>($G96-I96)*(E33*$B33)</f>
        <v>0</v>
      </c>
      <c r="N96" s="140">
        <f>'Value-of-fuel-used-under-CT'!Y4</f>
        <v>0</v>
      </c>
    </row>
    <row r="97" spans="1:14" x14ac:dyDescent="0.25">
      <c r="A97" s="13" t="s">
        <v>140</v>
      </c>
      <c r="B97" s="40"/>
      <c r="C97" s="394">
        <f t="shared" ref="C97:E97" si="84">C64</f>
        <v>0</v>
      </c>
      <c r="D97" s="394">
        <f t="shared" si="84"/>
        <v>0</v>
      </c>
      <c r="E97" s="394">
        <f t="shared" si="84"/>
        <v>0</v>
      </c>
      <c r="F97" s="185">
        <f t="shared" ref="F97:F119" si="85">SUM(C97:E97)</f>
        <v>0</v>
      </c>
      <c r="G97" s="36">
        <f t="shared" ref="G97:G119" si="86">IFERROR(C97*$B97/(C34*$B34),0)</f>
        <v>0</v>
      </c>
      <c r="H97" s="36">
        <f t="shared" ref="H97:H119" si="87">IFERROR(D97*$B97/(D34*$B34),0)</f>
        <v>0</v>
      </c>
      <c r="I97" s="36">
        <f t="shared" ref="I97:I119" si="88">IFERROR(E97*$B97/(E34*$B34),0)</f>
        <v>0</v>
      </c>
      <c r="J97" s="9">
        <f t="shared" ref="J97:J119" si="89">SUMPRODUCT(C97:E97,G97:I97)</f>
        <v>0</v>
      </c>
      <c r="K97" s="9">
        <f t="shared" ref="K97:M97" si="90">($G97-G97)*(C34*$B34)</f>
        <v>0</v>
      </c>
      <c r="L97" s="9">
        <f t="shared" si="90"/>
        <v>0</v>
      </c>
      <c r="M97" s="9">
        <f t="shared" si="90"/>
        <v>0</v>
      </c>
      <c r="N97" s="140">
        <f>'Value-of-fuel-used-under-CT'!Y5</f>
        <v>0</v>
      </c>
    </row>
    <row r="98" spans="1:14" x14ac:dyDescent="0.25">
      <c r="A98" s="13" t="s">
        <v>141</v>
      </c>
      <c r="B98" s="40"/>
      <c r="C98" s="394">
        <f t="shared" ref="C98:E98" si="91">C65</f>
        <v>0</v>
      </c>
      <c r="D98" s="394">
        <f t="shared" si="91"/>
        <v>0</v>
      </c>
      <c r="E98" s="394">
        <f t="shared" si="91"/>
        <v>0</v>
      </c>
      <c r="F98" s="185">
        <f t="shared" si="85"/>
        <v>0</v>
      </c>
      <c r="G98" s="36">
        <f t="shared" si="86"/>
        <v>0</v>
      </c>
      <c r="H98" s="36">
        <f t="shared" si="87"/>
        <v>0</v>
      </c>
      <c r="I98" s="36">
        <f t="shared" si="88"/>
        <v>0</v>
      </c>
      <c r="J98" s="9">
        <f t="shared" si="89"/>
        <v>0</v>
      </c>
      <c r="K98" s="9">
        <f t="shared" ref="K98:M98" si="92">($G98-G98)*(C35*$B35)</f>
        <v>0</v>
      </c>
      <c r="L98" s="9">
        <f t="shared" si="92"/>
        <v>0</v>
      </c>
      <c r="M98" s="9">
        <f t="shared" si="92"/>
        <v>0</v>
      </c>
      <c r="N98" s="140">
        <f>'Value-of-fuel-used-under-CT'!Y17</f>
        <v>0</v>
      </c>
    </row>
    <row r="99" spans="1:14" x14ac:dyDescent="0.25">
      <c r="A99" s="13" t="s">
        <v>142</v>
      </c>
      <c r="B99" s="40"/>
      <c r="C99" s="394">
        <f t="shared" ref="C99:E99" si="93">C66</f>
        <v>0</v>
      </c>
      <c r="D99" s="394">
        <f t="shared" si="93"/>
        <v>0</v>
      </c>
      <c r="E99" s="394">
        <f t="shared" si="93"/>
        <v>0</v>
      </c>
      <c r="F99" s="185">
        <f t="shared" si="85"/>
        <v>0</v>
      </c>
      <c r="G99" s="36">
        <f t="shared" si="86"/>
        <v>0</v>
      </c>
      <c r="H99" s="36">
        <f t="shared" si="87"/>
        <v>0</v>
      </c>
      <c r="I99" s="36">
        <f t="shared" si="88"/>
        <v>0</v>
      </c>
      <c r="J99" s="9">
        <f t="shared" si="89"/>
        <v>0</v>
      </c>
      <c r="K99" s="9">
        <f t="shared" ref="K99:M99" si="94">($G99-G99)*(C36*$B36)</f>
        <v>0</v>
      </c>
      <c r="L99" s="9">
        <f t="shared" si="94"/>
        <v>0</v>
      </c>
      <c r="M99" s="9">
        <f t="shared" si="94"/>
        <v>0</v>
      </c>
      <c r="N99" s="140">
        <f>'Value-of-fuel-used-under-CT'!Y18</f>
        <v>0</v>
      </c>
    </row>
    <row r="100" spans="1:14" x14ac:dyDescent="0.25">
      <c r="A100" s="13" t="s">
        <v>143</v>
      </c>
      <c r="B100" s="40"/>
      <c r="C100" s="394">
        <f t="shared" ref="C100:E100" si="95">C67</f>
        <v>0</v>
      </c>
      <c r="D100" s="394">
        <f t="shared" si="95"/>
        <v>0</v>
      </c>
      <c r="E100" s="394">
        <f t="shared" si="95"/>
        <v>0</v>
      </c>
      <c r="F100" s="185">
        <f t="shared" si="85"/>
        <v>0</v>
      </c>
      <c r="G100" s="36">
        <f t="shared" si="86"/>
        <v>0</v>
      </c>
      <c r="H100" s="36">
        <f t="shared" si="87"/>
        <v>0</v>
      </c>
      <c r="I100" s="36">
        <f t="shared" si="88"/>
        <v>0</v>
      </c>
      <c r="J100" s="9">
        <f t="shared" si="89"/>
        <v>0</v>
      </c>
      <c r="K100" s="9">
        <f t="shared" ref="K100:M100" si="96">($G100-G100)*(C37*$B37)</f>
        <v>0</v>
      </c>
      <c r="L100" s="9">
        <f t="shared" si="96"/>
        <v>0</v>
      </c>
      <c r="M100" s="9">
        <f t="shared" si="96"/>
        <v>0</v>
      </c>
      <c r="N100" s="140">
        <f>'Value-of-fuel-used-under-CT'!Y19</f>
        <v>0</v>
      </c>
    </row>
    <row r="101" spans="1:14" x14ac:dyDescent="0.25">
      <c r="A101" s="13" t="s">
        <v>144</v>
      </c>
      <c r="B101" s="40"/>
      <c r="C101" s="394">
        <f t="shared" ref="C101:E101" si="97">C68</f>
        <v>0</v>
      </c>
      <c r="D101" s="394">
        <f t="shared" si="97"/>
        <v>0</v>
      </c>
      <c r="E101" s="394">
        <f t="shared" si="97"/>
        <v>0</v>
      </c>
      <c r="F101" s="185">
        <f t="shared" si="85"/>
        <v>0</v>
      </c>
      <c r="G101" s="36">
        <f t="shared" si="86"/>
        <v>0</v>
      </c>
      <c r="H101" s="36">
        <f t="shared" si="87"/>
        <v>0</v>
      </c>
      <c r="I101" s="36">
        <f t="shared" si="88"/>
        <v>0</v>
      </c>
      <c r="J101" s="9">
        <f t="shared" si="89"/>
        <v>0</v>
      </c>
      <c r="K101" s="9">
        <f t="shared" ref="K101:M101" si="98">($G101-G101)*(C38*$B38)</f>
        <v>0</v>
      </c>
      <c r="L101" s="9">
        <f t="shared" si="98"/>
        <v>0</v>
      </c>
      <c r="M101" s="9">
        <f t="shared" si="98"/>
        <v>0</v>
      </c>
      <c r="N101" s="140">
        <f>'Value-of-fuel-used-under-CT'!Y20</f>
        <v>0</v>
      </c>
    </row>
    <row r="102" spans="1:14" x14ac:dyDescent="0.25">
      <c r="A102" s="13" t="s">
        <v>145</v>
      </c>
      <c r="B102" s="40"/>
      <c r="C102" s="394">
        <f t="shared" ref="C102:E102" si="99">C69</f>
        <v>0</v>
      </c>
      <c r="D102" s="394">
        <f t="shared" si="99"/>
        <v>0</v>
      </c>
      <c r="E102" s="394">
        <f t="shared" si="99"/>
        <v>0</v>
      </c>
      <c r="F102" s="185">
        <f t="shared" si="85"/>
        <v>0</v>
      </c>
      <c r="G102" s="36">
        <f t="shared" si="86"/>
        <v>0</v>
      </c>
      <c r="H102" s="36">
        <f t="shared" si="87"/>
        <v>0</v>
      </c>
      <c r="I102" s="36">
        <f t="shared" si="88"/>
        <v>0</v>
      </c>
      <c r="J102" s="9">
        <f t="shared" si="89"/>
        <v>0</v>
      </c>
      <c r="K102" s="9">
        <f t="shared" ref="K102:M102" si="100">($G102-G102)*(C39*$B39)</f>
        <v>0</v>
      </c>
      <c r="L102" s="9">
        <f t="shared" si="100"/>
        <v>0</v>
      </c>
      <c r="M102" s="9">
        <f t="shared" si="100"/>
        <v>0</v>
      </c>
      <c r="N102" s="140">
        <f>'Value-of-fuel-used-under-CT'!Y21</f>
        <v>0</v>
      </c>
    </row>
    <row r="103" spans="1:14" x14ac:dyDescent="0.25">
      <c r="A103" s="13" t="s">
        <v>146</v>
      </c>
      <c r="B103" s="40"/>
      <c r="C103" s="394">
        <f t="shared" ref="C103:E103" si="101">C70</f>
        <v>0</v>
      </c>
      <c r="D103" s="394">
        <f t="shared" si="101"/>
        <v>0</v>
      </c>
      <c r="E103" s="394">
        <f t="shared" si="101"/>
        <v>0</v>
      </c>
      <c r="F103" s="185">
        <f t="shared" si="85"/>
        <v>0</v>
      </c>
      <c r="G103" s="36">
        <f t="shared" si="86"/>
        <v>0</v>
      </c>
      <c r="H103" s="36">
        <f t="shared" si="87"/>
        <v>0</v>
      </c>
      <c r="I103" s="36">
        <f t="shared" si="88"/>
        <v>0</v>
      </c>
      <c r="J103" s="9">
        <f t="shared" si="89"/>
        <v>0</v>
      </c>
      <c r="K103" s="9">
        <f t="shared" ref="K103:M103" si="102">($G103-G103)*(C40*$B40)</f>
        <v>0</v>
      </c>
      <c r="L103" s="9">
        <f t="shared" si="102"/>
        <v>0</v>
      </c>
      <c r="M103" s="9">
        <f t="shared" si="102"/>
        <v>0</v>
      </c>
      <c r="N103" s="140">
        <f>'Value-of-fuel-used-under-CT'!Y22</f>
        <v>0</v>
      </c>
    </row>
    <row r="104" spans="1:14" x14ac:dyDescent="0.25">
      <c r="A104" s="13" t="s">
        <v>147</v>
      </c>
      <c r="B104" s="40"/>
      <c r="C104" s="394">
        <f t="shared" ref="C104:E104" si="103">C71</f>
        <v>0</v>
      </c>
      <c r="D104" s="394">
        <f t="shared" si="103"/>
        <v>0</v>
      </c>
      <c r="E104" s="394">
        <f t="shared" si="103"/>
        <v>0</v>
      </c>
      <c r="F104" s="185">
        <f t="shared" si="85"/>
        <v>0</v>
      </c>
      <c r="G104" s="36">
        <f t="shared" si="86"/>
        <v>0</v>
      </c>
      <c r="H104" s="36">
        <f t="shared" si="87"/>
        <v>0</v>
      </c>
      <c r="I104" s="36">
        <f t="shared" si="88"/>
        <v>0</v>
      </c>
      <c r="J104" s="9">
        <f t="shared" si="89"/>
        <v>0</v>
      </c>
      <c r="K104" s="9">
        <f t="shared" ref="K104:M104" si="104">($G104-G104)*(C41*$B41)</f>
        <v>0</v>
      </c>
      <c r="L104" s="9">
        <f t="shared" si="104"/>
        <v>0</v>
      </c>
      <c r="M104" s="9">
        <f t="shared" si="104"/>
        <v>0</v>
      </c>
      <c r="N104" s="140">
        <f>'Value-of-fuel-used-under-CT'!Y23</f>
        <v>0</v>
      </c>
    </row>
    <row r="105" spans="1:14" x14ac:dyDescent="0.25">
      <c r="A105" s="13" t="s">
        <v>148</v>
      </c>
      <c r="B105" s="40"/>
      <c r="C105" s="394">
        <f t="shared" ref="C105:E105" si="105">C72</f>
        <v>0</v>
      </c>
      <c r="D105" s="394">
        <f t="shared" si="105"/>
        <v>0</v>
      </c>
      <c r="E105" s="394">
        <f t="shared" si="105"/>
        <v>0</v>
      </c>
      <c r="F105" s="185">
        <f t="shared" si="85"/>
        <v>0</v>
      </c>
      <c r="G105" s="36">
        <f t="shared" si="86"/>
        <v>0</v>
      </c>
      <c r="H105" s="36">
        <f t="shared" si="87"/>
        <v>0</v>
      </c>
      <c r="I105" s="36">
        <f t="shared" si="88"/>
        <v>0</v>
      </c>
      <c r="J105" s="9">
        <f t="shared" si="89"/>
        <v>0</v>
      </c>
      <c r="K105" s="9">
        <f t="shared" ref="K105:M105" si="106">($G105-G105)*(C42*$B42)</f>
        <v>0</v>
      </c>
      <c r="L105" s="9">
        <f t="shared" si="106"/>
        <v>0</v>
      </c>
      <c r="M105" s="9">
        <f t="shared" si="106"/>
        <v>0</v>
      </c>
      <c r="N105" s="140">
        <f>'Value-of-fuel-used-under-CT'!Y24</f>
        <v>0</v>
      </c>
    </row>
    <row r="106" spans="1:14" x14ac:dyDescent="0.25">
      <c r="A106" s="13" t="s">
        <v>149</v>
      </c>
      <c r="B106" s="40"/>
      <c r="C106" s="394">
        <f t="shared" ref="C106:E106" si="107">C73</f>
        <v>0</v>
      </c>
      <c r="D106" s="394">
        <f t="shared" si="107"/>
        <v>0</v>
      </c>
      <c r="E106" s="394">
        <f t="shared" si="107"/>
        <v>0</v>
      </c>
      <c r="F106" s="185">
        <f t="shared" si="85"/>
        <v>0</v>
      </c>
      <c r="G106" s="36">
        <f t="shared" si="86"/>
        <v>0</v>
      </c>
      <c r="H106" s="36">
        <f t="shared" si="87"/>
        <v>0</v>
      </c>
      <c r="I106" s="36">
        <f t="shared" si="88"/>
        <v>0</v>
      </c>
      <c r="J106" s="9">
        <f t="shared" si="89"/>
        <v>0</v>
      </c>
      <c r="K106" s="9">
        <f t="shared" ref="K106:M106" si="108">($G106-G106)*(C43*$B43)</f>
        <v>0</v>
      </c>
      <c r="L106" s="9">
        <f t="shared" si="108"/>
        <v>0</v>
      </c>
      <c r="M106" s="9">
        <f t="shared" si="108"/>
        <v>0</v>
      </c>
      <c r="N106" s="140">
        <f>'Value-of-fuel-used-under-CT'!Y25</f>
        <v>0</v>
      </c>
    </row>
    <row r="107" spans="1:14" x14ac:dyDescent="0.25">
      <c r="A107" s="13" t="s">
        <v>150</v>
      </c>
      <c r="B107" s="40"/>
      <c r="C107" s="394">
        <f t="shared" ref="C107:E107" si="109">C74</f>
        <v>0</v>
      </c>
      <c r="D107" s="394">
        <f t="shared" si="109"/>
        <v>0</v>
      </c>
      <c r="E107" s="394">
        <f t="shared" si="109"/>
        <v>0</v>
      </c>
      <c r="F107" s="185">
        <f t="shared" si="85"/>
        <v>0</v>
      </c>
      <c r="G107" s="36">
        <f t="shared" si="86"/>
        <v>0</v>
      </c>
      <c r="H107" s="36">
        <f t="shared" si="87"/>
        <v>0</v>
      </c>
      <c r="I107" s="36">
        <f t="shared" si="88"/>
        <v>0</v>
      </c>
      <c r="J107" s="9">
        <f t="shared" si="89"/>
        <v>0</v>
      </c>
      <c r="K107" s="9">
        <f t="shared" ref="K107:M107" si="110">($G107-G107)*(C44*$B44)</f>
        <v>0</v>
      </c>
      <c r="L107" s="9">
        <f t="shared" si="110"/>
        <v>0</v>
      </c>
      <c r="M107" s="9">
        <f t="shared" si="110"/>
        <v>0</v>
      </c>
      <c r="N107" s="140">
        <f>'Value-of-fuel-used-under-CT'!Y26</f>
        <v>0</v>
      </c>
    </row>
    <row r="108" spans="1:14" x14ac:dyDescent="0.25">
      <c r="A108" s="13" t="s">
        <v>151</v>
      </c>
      <c r="B108" s="40"/>
      <c r="C108" s="394">
        <f t="shared" ref="C108:E108" si="111">C75</f>
        <v>0</v>
      </c>
      <c r="D108" s="394">
        <f t="shared" si="111"/>
        <v>0</v>
      </c>
      <c r="E108" s="394">
        <f t="shared" si="111"/>
        <v>0</v>
      </c>
      <c r="F108" s="185">
        <f t="shared" si="85"/>
        <v>0</v>
      </c>
      <c r="G108" s="36">
        <f t="shared" si="86"/>
        <v>0</v>
      </c>
      <c r="H108" s="36">
        <f t="shared" si="87"/>
        <v>0</v>
      </c>
      <c r="I108" s="36">
        <f t="shared" si="88"/>
        <v>0</v>
      </c>
      <c r="J108" s="9">
        <f t="shared" si="89"/>
        <v>0</v>
      </c>
      <c r="K108" s="9">
        <f t="shared" ref="K108:M108" si="112">($G108-G108)*(C45*$B45)</f>
        <v>0</v>
      </c>
      <c r="L108" s="9">
        <f t="shared" si="112"/>
        <v>0</v>
      </c>
      <c r="M108" s="9">
        <f t="shared" si="112"/>
        <v>0</v>
      </c>
      <c r="N108" s="140">
        <f>'Value-of-fuel-used-under-CT'!Y27</f>
        <v>0</v>
      </c>
    </row>
    <row r="109" spans="1:14" x14ac:dyDescent="0.25">
      <c r="A109" s="13" t="s">
        <v>152</v>
      </c>
      <c r="B109" s="40"/>
      <c r="C109" s="394">
        <f t="shared" ref="C109:E109" si="113">C76</f>
        <v>0</v>
      </c>
      <c r="D109" s="394">
        <f t="shared" si="113"/>
        <v>0</v>
      </c>
      <c r="E109" s="394">
        <f t="shared" si="113"/>
        <v>0</v>
      </c>
      <c r="F109" s="185">
        <f t="shared" si="85"/>
        <v>0</v>
      </c>
      <c r="G109" s="36">
        <f t="shared" si="86"/>
        <v>0</v>
      </c>
      <c r="H109" s="36">
        <f t="shared" si="87"/>
        <v>0</v>
      </c>
      <c r="I109" s="36">
        <f t="shared" si="88"/>
        <v>0</v>
      </c>
      <c r="J109" s="9">
        <f t="shared" si="89"/>
        <v>0</v>
      </c>
      <c r="K109" s="9">
        <f t="shared" ref="K109:M109" si="114">($G109-G109)*(C46*$B46)</f>
        <v>0</v>
      </c>
      <c r="L109" s="9">
        <f t="shared" si="114"/>
        <v>0</v>
      </c>
      <c r="M109" s="9">
        <f t="shared" si="114"/>
        <v>0</v>
      </c>
      <c r="N109" s="140">
        <f>'Value-of-fuel-used-under-CT'!Y28</f>
        <v>0</v>
      </c>
    </row>
    <row r="110" spans="1:14" x14ac:dyDescent="0.25">
      <c r="A110" s="13" t="s">
        <v>153</v>
      </c>
      <c r="B110" s="40"/>
      <c r="C110" s="394">
        <f t="shared" ref="C110:E110" si="115">C77</f>
        <v>0</v>
      </c>
      <c r="D110" s="394">
        <f t="shared" si="115"/>
        <v>0</v>
      </c>
      <c r="E110" s="394">
        <f t="shared" si="115"/>
        <v>0</v>
      </c>
      <c r="F110" s="185">
        <f t="shared" si="85"/>
        <v>0</v>
      </c>
      <c r="G110" s="36">
        <f t="shared" si="86"/>
        <v>0</v>
      </c>
      <c r="H110" s="36">
        <f t="shared" si="87"/>
        <v>0</v>
      </c>
      <c r="I110" s="36">
        <f t="shared" si="88"/>
        <v>0</v>
      </c>
      <c r="J110" s="9">
        <f t="shared" si="89"/>
        <v>0</v>
      </c>
      <c r="K110" s="9">
        <f t="shared" ref="K110:M110" si="116">($G110-G110)*(C47*$B47)</f>
        <v>0</v>
      </c>
      <c r="L110" s="9">
        <f t="shared" si="116"/>
        <v>0</v>
      </c>
      <c r="M110" s="9">
        <f t="shared" si="116"/>
        <v>0</v>
      </c>
      <c r="N110" s="140">
        <f>'Value-of-fuel-used-under-CT'!Y29</f>
        <v>0</v>
      </c>
    </row>
    <row r="111" spans="1:14" x14ac:dyDescent="0.25">
      <c r="A111" s="13" t="s">
        <v>154</v>
      </c>
      <c r="B111" s="40"/>
      <c r="C111" s="394">
        <f t="shared" ref="C111:E111" si="117">C78</f>
        <v>0</v>
      </c>
      <c r="D111" s="394">
        <f t="shared" si="117"/>
        <v>0</v>
      </c>
      <c r="E111" s="394">
        <f t="shared" si="117"/>
        <v>0</v>
      </c>
      <c r="F111" s="185">
        <f t="shared" si="85"/>
        <v>0</v>
      </c>
      <c r="G111" s="36">
        <f t="shared" si="86"/>
        <v>0</v>
      </c>
      <c r="H111" s="36">
        <f t="shared" si="87"/>
        <v>0</v>
      </c>
      <c r="I111" s="36">
        <f t="shared" si="88"/>
        <v>0</v>
      </c>
      <c r="J111" s="9">
        <f t="shared" si="89"/>
        <v>0</v>
      </c>
      <c r="K111" s="9">
        <f t="shared" ref="K111:M111" si="118">($G111-G111)*(C48*$B48)</f>
        <v>0</v>
      </c>
      <c r="L111" s="9">
        <f t="shared" si="118"/>
        <v>0</v>
      </c>
      <c r="M111" s="9">
        <f t="shared" si="118"/>
        <v>0</v>
      </c>
      <c r="N111" s="140">
        <f>'Value-of-fuel-used-under-CT'!Y30</f>
        <v>0</v>
      </c>
    </row>
    <row r="112" spans="1:14" x14ac:dyDescent="0.25">
      <c r="A112" s="13" t="s">
        <v>155</v>
      </c>
      <c r="B112" s="40"/>
      <c r="C112" s="394">
        <f t="shared" ref="C112:E112" si="119">C79</f>
        <v>0</v>
      </c>
      <c r="D112" s="394">
        <f t="shared" si="119"/>
        <v>0</v>
      </c>
      <c r="E112" s="394">
        <f t="shared" si="119"/>
        <v>0</v>
      </c>
      <c r="F112" s="185">
        <f t="shared" si="85"/>
        <v>0</v>
      </c>
      <c r="G112" s="36">
        <f t="shared" si="86"/>
        <v>0</v>
      </c>
      <c r="H112" s="36">
        <f t="shared" si="87"/>
        <v>0</v>
      </c>
      <c r="I112" s="36">
        <f t="shared" si="88"/>
        <v>0</v>
      </c>
      <c r="J112" s="9">
        <f t="shared" si="89"/>
        <v>0</v>
      </c>
      <c r="K112" s="9">
        <f t="shared" ref="K112:M112" si="120">($G112-G112)*(C49*$B49)</f>
        <v>0</v>
      </c>
      <c r="L112" s="9">
        <f t="shared" si="120"/>
        <v>0</v>
      </c>
      <c r="M112" s="9">
        <f t="shared" si="120"/>
        <v>0</v>
      </c>
      <c r="N112" s="140">
        <f>'Value-of-fuel-used-under-CT'!Y31</f>
        <v>0</v>
      </c>
    </row>
    <row r="113" spans="1:14" x14ac:dyDescent="0.25">
      <c r="A113" s="13" t="s">
        <v>156</v>
      </c>
      <c r="B113" s="40"/>
      <c r="C113" s="394">
        <f t="shared" ref="C113:E113" si="121">C80</f>
        <v>0</v>
      </c>
      <c r="D113" s="394">
        <f t="shared" si="121"/>
        <v>0</v>
      </c>
      <c r="E113" s="394">
        <f t="shared" si="121"/>
        <v>0</v>
      </c>
      <c r="F113" s="185">
        <f t="shared" si="85"/>
        <v>0</v>
      </c>
      <c r="G113" s="36">
        <f t="shared" si="86"/>
        <v>0</v>
      </c>
      <c r="H113" s="36">
        <f t="shared" si="87"/>
        <v>0</v>
      </c>
      <c r="I113" s="36">
        <f t="shared" si="88"/>
        <v>0</v>
      </c>
      <c r="J113" s="9">
        <f t="shared" si="89"/>
        <v>0</v>
      </c>
      <c r="K113" s="9">
        <f t="shared" ref="K113:M113" si="122">($G113-G113)*(C50*$B50)</f>
        <v>0</v>
      </c>
      <c r="L113" s="9">
        <f t="shared" si="122"/>
        <v>0</v>
      </c>
      <c r="M113" s="9">
        <f t="shared" si="122"/>
        <v>0</v>
      </c>
      <c r="N113" s="140">
        <f>'Value-of-fuel-used-under-CT'!Y32</f>
        <v>0</v>
      </c>
    </row>
    <row r="114" spans="1:14" x14ac:dyDescent="0.25">
      <c r="A114" s="13" t="s">
        <v>157</v>
      </c>
      <c r="B114" s="40"/>
      <c r="C114" s="394">
        <f t="shared" ref="C114:E114" si="123">C81</f>
        <v>0</v>
      </c>
      <c r="D114" s="394">
        <f t="shared" si="123"/>
        <v>0</v>
      </c>
      <c r="E114" s="394">
        <f t="shared" si="123"/>
        <v>0</v>
      </c>
      <c r="F114" s="185">
        <f t="shared" si="85"/>
        <v>0</v>
      </c>
      <c r="G114" s="36">
        <f t="shared" si="86"/>
        <v>0</v>
      </c>
      <c r="H114" s="36">
        <f t="shared" si="87"/>
        <v>0</v>
      </c>
      <c r="I114" s="36">
        <f t="shared" si="88"/>
        <v>0</v>
      </c>
      <c r="J114" s="9">
        <f t="shared" si="89"/>
        <v>0</v>
      </c>
      <c r="K114" s="9">
        <f t="shared" ref="K114:M114" si="124">($G114-G114)*(C51*$B51)</f>
        <v>0</v>
      </c>
      <c r="L114" s="9">
        <f t="shared" si="124"/>
        <v>0</v>
      </c>
      <c r="M114" s="9">
        <f t="shared" si="124"/>
        <v>0</v>
      </c>
      <c r="N114" s="140">
        <f>'Value-of-fuel-used-under-CT'!Y33</f>
        <v>0</v>
      </c>
    </row>
    <row r="115" spans="1:14" x14ac:dyDescent="0.25">
      <c r="A115" s="13" t="s">
        <v>158</v>
      </c>
      <c r="B115" s="40"/>
      <c r="C115" s="394">
        <f t="shared" ref="C115:E115" si="125">C82</f>
        <v>0</v>
      </c>
      <c r="D115" s="394">
        <f t="shared" si="125"/>
        <v>0</v>
      </c>
      <c r="E115" s="394">
        <f t="shared" si="125"/>
        <v>0</v>
      </c>
      <c r="F115" s="185">
        <f t="shared" si="85"/>
        <v>0</v>
      </c>
      <c r="G115" s="36">
        <f t="shared" si="86"/>
        <v>0</v>
      </c>
      <c r="H115" s="36">
        <f t="shared" si="87"/>
        <v>0</v>
      </c>
      <c r="I115" s="36">
        <f t="shared" si="88"/>
        <v>0</v>
      </c>
      <c r="J115" s="9">
        <f t="shared" si="89"/>
        <v>0</v>
      </c>
      <c r="K115" s="9">
        <f t="shared" ref="K115:M115" si="126">($G115-G115)*(C52*$B52)</f>
        <v>0</v>
      </c>
      <c r="L115" s="9">
        <f t="shared" si="126"/>
        <v>0</v>
      </c>
      <c r="M115" s="9">
        <f t="shared" si="126"/>
        <v>0</v>
      </c>
      <c r="N115" s="140">
        <f>'Value-of-fuel-used-under-CT'!Y34</f>
        <v>0</v>
      </c>
    </row>
    <row r="116" spans="1:14" x14ac:dyDescent="0.25">
      <c r="A116" s="13" t="s">
        <v>159</v>
      </c>
      <c r="B116" s="40"/>
      <c r="C116" s="394">
        <f t="shared" ref="C116:E116" si="127">C83</f>
        <v>0</v>
      </c>
      <c r="D116" s="394">
        <f t="shared" si="127"/>
        <v>0</v>
      </c>
      <c r="E116" s="394">
        <f t="shared" si="127"/>
        <v>0</v>
      </c>
      <c r="F116" s="185">
        <f t="shared" si="85"/>
        <v>0</v>
      </c>
      <c r="G116" s="36">
        <f t="shared" si="86"/>
        <v>0</v>
      </c>
      <c r="H116" s="36">
        <f t="shared" si="87"/>
        <v>0</v>
      </c>
      <c r="I116" s="36">
        <f t="shared" si="88"/>
        <v>0</v>
      </c>
      <c r="J116" s="9">
        <f t="shared" si="89"/>
        <v>0</v>
      </c>
      <c r="K116" s="9">
        <f t="shared" ref="K116:M116" si="128">($G116-G116)*(C53*$B53)</f>
        <v>0</v>
      </c>
      <c r="L116" s="9">
        <f t="shared" si="128"/>
        <v>0</v>
      </c>
      <c r="M116" s="9">
        <f t="shared" si="128"/>
        <v>0</v>
      </c>
      <c r="N116" s="140">
        <f>'Value-of-fuel-used-under-CT'!Y35</f>
        <v>0</v>
      </c>
    </row>
    <row r="117" spans="1:14" x14ac:dyDescent="0.25">
      <c r="A117" s="13" t="s">
        <v>160</v>
      </c>
      <c r="B117" s="40"/>
      <c r="C117" s="394">
        <f t="shared" ref="C117:E117" si="129">C84</f>
        <v>0</v>
      </c>
      <c r="D117" s="394">
        <f t="shared" si="129"/>
        <v>0</v>
      </c>
      <c r="E117" s="394">
        <f t="shared" si="129"/>
        <v>0</v>
      </c>
      <c r="F117" s="185">
        <f t="shared" si="85"/>
        <v>0</v>
      </c>
      <c r="G117" s="36">
        <f t="shared" si="86"/>
        <v>0</v>
      </c>
      <c r="H117" s="36">
        <f t="shared" si="87"/>
        <v>0</v>
      </c>
      <c r="I117" s="36">
        <f t="shared" si="88"/>
        <v>0</v>
      </c>
      <c r="J117" s="9">
        <f t="shared" si="89"/>
        <v>0</v>
      </c>
      <c r="K117" s="9">
        <f t="shared" ref="K117:M117" si="130">($G117-G117)*(C54*$B54)</f>
        <v>0</v>
      </c>
      <c r="L117" s="9">
        <f t="shared" si="130"/>
        <v>0</v>
      </c>
      <c r="M117" s="9">
        <f t="shared" si="130"/>
        <v>0</v>
      </c>
      <c r="N117" s="140">
        <f>'Value-of-fuel-used-under-CT'!Y36</f>
        <v>0</v>
      </c>
    </row>
    <row r="118" spans="1:14" x14ac:dyDescent="0.25">
      <c r="A118" s="13" t="s">
        <v>161</v>
      </c>
      <c r="B118" s="40"/>
      <c r="C118" s="394">
        <f t="shared" ref="C118:E118" si="131">C85</f>
        <v>0</v>
      </c>
      <c r="D118" s="394">
        <f t="shared" si="131"/>
        <v>0</v>
      </c>
      <c r="E118" s="394">
        <f t="shared" si="131"/>
        <v>0</v>
      </c>
      <c r="F118" s="185">
        <f t="shared" si="85"/>
        <v>0</v>
      </c>
      <c r="G118" s="36">
        <f t="shared" si="86"/>
        <v>0</v>
      </c>
      <c r="H118" s="36">
        <f t="shared" si="87"/>
        <v>0</v>
      </c>
      <c r="I118" s="36">
        <f t="shared" si="88"/>
        <v>0</v>
      </c>
      <c r="J118" s="9">
        <f t="shared" si="89"/>
        <v>0</v>
      </c>
      <c r="K118" s="9">
        <f t="shared" ref="K118:M118" si="132">($G118-G118)*(C55*$B55)</f>
        <v>0</v>
      </c>
      <c r="L118" s="9">
        <f t="shared" si="132"/>
        <v>0</v>
      </c>
      <c r="M118" s="9">
        <f t="shared" si="132"/>
        <v>0</v>
      </c>
      <c r="N118" s="140">
        <f>'Value-of-fuel-used-under-CT'!Y37</f>
        <v>0</v>
      </c>
    </row>
    <row r="119" spans="1:14" x14ac:dyDescent="0.25">
      <c r="A119" s="13" t="s">
        <v>162</v>
      </c>
      <c r="B119" s="40"/>
      <c r="C119" s="394">
        <f t="shared" ref="C119:E119" si="133">C86</f>
        <v>0</v>
      </c>
      <c r="D119" s="394">
        <f t="shared" si="133"/>
        <v>0</v>
      </c>
      <c r="E119" s="394">
        <f t="shared" si="133"/>
        <v>0</v>
      </c>
      <c r="F119" s="185">
        <f t="shared" si="85"/>
        <v>0</v>
      </c>
      <c r="G119" s="36">
        <f t="shared" si="86"/>
        <v>0</v>
      </c>
      <c r="H119" s="36">
        <f t="shared" si="87"/>
        <v>0</v>
      </c>
      <c r="I119" s="36">
        <f t="shared" si="88"/>
        <v>0</v>
      </c>
      <c r="J119" s="9">
        <f t="shared" si="89"/>
        <v>0</v>
      </c>
      <c r="K119" s="9">
        <f t="shared" ref="K119:M119" si="134">($G119-G119)*(C56*$B56)</f>
        <v>0</v>
      </c>
      <c r="L119" s="9">
        <f t="shared" si="134"/>
        <v>0</v>
      </c>
      <c r="M119" s="9">
        <f t="shared" si="134"/>
        <v>0</v>
      </c>
      <c r="N119" s="140">
        <f>'Value-of-fuel-used-under-CT'!Y38</f>
        <v>0</v>
      </c>
    </row>
    <row r="120" spans="1:14" x14ac:dyDescent="0.25">
      <c r="A120" s="1" t="s">
        <v>163</v>
      </c>
      <c r="B120" s="10">
        <f>SUM(B96:B119)</f>
        <v>0</v>
      </c>
      <c r="C120" s="10">
        <f>IFERROR(SUMPRODUCT($B$96:$B$119,C96:C119)/$B$120,0)</f>
        <v>0</v>
      </c>
      <c r="D120" s="10">
        <f t="shared" ref="D120:E120" si="135">IFERROR(SUMPRODUCT($B$96:$B$119,D96:D119)/$B$120,0)</f>
        <v>0</v>
      </c>
      <c r="E120" s="10">
        <f t="shared" si="135"/>
        <v>0</v>
      </c>
      <c r="F120" s="185">
        <f>SUM(C120:E120)</f>
        <v>0</v>
      </c>
      <c r="G120" s="9">
        <f>IFERROR(SUMPRODUCT($B$96:$B$119,G96:G119)/$B$120,0)</f>
        <v>0</v>
      </c>
      <c r="H120" s="9">
        <f t="shared" ref="H120:I120" si="136">IFERROR(SUMPRODUCT($B$96:$B$119,H96:H119)/$B$120,0)</f>
        <v>0</v>
      </c>
      <c r="I120" s="9">
        <f t="shared" si="136"/>
        <v>0</v>
      </c>
      <c r="J120" s="9">
        <f>IFERROR(SUMPRODUCT($B$96:$B$119,J96:J119)/$B$120,0)</f>
        <v>0</v>
      </c>
      <c r="K120" s="9">
        <f>SUM(K96:K119)</f>
        <v>0</v>
      </c>
      <c r="L120" s="9">
        <f t="shared" ref="L120:N120" si="137">SUM(L96:L119)</f>
        <v>0</v>
      </c>
      <c r="M120" s="9">
        <f t="shared" si="137"/>
        <v>0</v>
      </c>
      <c r="N120" s="140">
        <f t="shared" si="137"/>
        <v>0</v>
      </c>
    </row>
    <row r="122" spans="1:14" x14ac:dyDescent="0.25">
      <c r="A122" s="1" t="s">
        <v>332</v>
      </c>
      <c r="D122" s="2"/>
      <c r="E122" s="2"/>
      <c r="H122" s="20" t="s">
        <v>333</v>
      </c>
    </row>
    <row r="123" spans="1:14" ht="18" x14ac:dyDescent="0.35">
      <c r="A123" s="1"/>
      <c r="B123" s="1" t="s">
        <v>334</v>
      </c>
      <c r="D123" s="124">
        <f>44*F123/12</f>
        <v>187</v>
      </c>
      <c r="E123" s="73" t="s">
        <v>335</v>
      </c>
      <c r="F123" s="62">
        <v>51</v>
      </c>
      <c r="G123" t="s">
        <v>96</v>
      </c>
      <c r="H123" s="20" t="s">
        <v>336</v>
      </c>
    </row>
    <row r="124" spans="1:14" x14ac:dyDescent="0.25">
      <c r="A124" s="1"/>
      <c r="B124" s="1" t="s">
        <v>426</v>
      </c>
      <c r="D124" s="703">
        <v>5.7999999999999996E-3</v>
      </c>
      <c r="E124" s="1"/>
      <c r="F124" s="74" t="s">
        <v>338</v>
      </c>
      <c r="H124" s="20" t="s">
        <v>339</v>
      </c>
    </row>
    <row r="125" spans="1:14" x14ac:dyDescent="0.25">
      <c r="A125" s="1"/>
      <c r="B125" s="1" t="s">
        <v>427</v>
      </c>
      <c r="C125" s="1"/>
      <c r="D125" s="5">
        <v>30</v>
      </c>
      <c r="E125" s="1"/>
      <c r="F125" s="63" t="s">
        <v>239</v>
      </c>
      <c r="G125" s="69">
        <f>10000*(D125/100)*D127</f>
        <v>4500</v>
      </c>
      <c r="H125" s="77"/>
    </row>
    <row r="126" spans="1:14" x14ac:dyDescent="0.25">
      <c r="A126" s="1"/>
      <c r="B126" s="1" t="s">
        <v>428</v>
      </c>
      <c r="C126" s="1"/>
      <c r="D126" s="72" t="e">
        <f>G126/G125</f>
        <v>#DIV/0!</v>
      </c>
      <c r="E126" s="1"/>
      <c r="F126" s="63" t="s">
        <v>429</v>
      </c>
      <c r="G126" s="95" t="e">
        <f>'Soil-errosion2'!AT28</f>
        <v>#DIV/0!</v>
      </c>
      <c r="H126" t="s">
        <v>345</v>
      </c>
      <c r="I126" t="s">
        <v>346</v>
      </c>
    </row>
    <row r="127" spans="1:14" ht="17.25" x14ac:dyDescent="0.25">
      <c r="A127" s="1"/>
      <c r="B127" s="1" t="s">
        <v>430</v>
      </c>
      <c r="C127" s="1"/>
      <c r="D127" s="5">
        <v>1.5</v>
      </c>
      <c r="E127" s="1"/>
      <c r="F127" t="s">
        <v>350</v>
      </c>
      <c r="G127" s="140" t="e">
        <f>D125*G126/G125</f>
        <v>#DIV/0!</v>
      </c>
      <c r="I127" s="20" t="s">
        <v>351</v>
      </c>
    </row>
    <row r="128" spans="1:14" ht="36" customHeight="1" x14ac:dyDescent="0.25">
      <c r="A128" s="838" t="s">
        <v>101</v>
      </c>
      <c r="B128" s="814" t="s">
        <v>729</v>
      </c>
      <c r="C128" s="814"/>
      <c r="D128" s="814"/>
      <c r="E128" s="814"/>
      <c r="F128" s="814"/>
      <c r="H128" s="76"/>
    </row>
    <row r="129" spans="1:24" ht="57.95" customHeight="1" x14ac:dyDescent="0.25">
      <c r="A129" s="838"/>
      <c r="B129" s="11" t="s">
        <v>353</v>
      </c>
      <c r="C129" s="839" t="s">
        <v>354</v>
      </c>
      <c r="D129" s="839"/>
      <c r="E129" s="839"/>
      <c r="F129" s="839" t="s">
        <v>355</v>
      </c>
      <c r="G129" s="839"/>
      <c r="H129" s="839"/>
      <c r="I129" s="839"/>
      <c r="J129" s="839" t="s">
        <v>356</v>
      </c>
      <c r="K129" s="839"/>
      <c r="L129" s="839"/>
      <c r="M129" s="839"/>
      <c r="N129" s="839" t="s">
        <v>357</v>
      </c>
      <c r="O129" s="839"/>
      <c r="P129" s="839"/>
      <c r="Q129" s="839"/>
      <c r="R129" s="839" t="s">
        <v>359</v>
      </c>
      <c r="S129" s="839" t="s">
        <v>474</v>
      </c>
      <c r="T129" s="839" t="s">
        <v>363</v>
      </c>
      <c r="U129" s="11" t="s">
        <v>364</v>
      </c>
      <c r="V129" s="11" t="s">
        <v>365</v>
      </c>
      <c r="W129" s="839" t="s">
        <v>366</v>
      </c>
      <c r="X129" s="11" t="s">
        <v>367</v>
      </c>
    </row>
    <row r="130" spans="1:24" x14ac:dyDescent="0.25">
      <c r="A130" s="17"/>
      <c r="B130" s="11"/>
      <c r="C130" s="11" t="s">
        <v>234</v>
      </c>
      <c r="D130" s="11" t="s">
        <v>368</v>
      </c>
      <c r="E130" s="11" t="s">
        <v>238</v>
      </c>
      <c r="F130" s="11" t="s">
        <v>234</v>
      </c>
      <c r="G130" s="11" t="s">
        <v>368</v>
      </c>
      <c r="H130" s="11" t="s">
        <v>238</v>
      </c>
      <c r="I130" s="11" t="s">
        <v>120</v>
      </c>
      <c r="J130" s="11" t="s">
        <v>234</v>
      </c>
      <c r="K130" s="11" t="s">
        <v>368</v>
      </c>
      <c r="L130" s="11" t="s">
        <v>238</v>
      </c>
      <c r="M130" s="11" t="s">
        <v>120</v>
      </c>
      <c r="N130" s="11" t="s">
        <v>234</v>
      </c>
      <c r="O130" s="11" t="s">
        <v>368</v>
      </c>
      <c r="P130" s="11" t="s">
        <v>238</v>
      </c>
      <c r="Q130" s="11" t="s">
        <v>120</v>
      </c>
      <c r="R130" s="839"/>
      <c r="S130" s="839"/>
      <c r="T130" s="839"/>
      <c r="U130" s="11"/>
      <c r="V130" s="11"/>
      <c r="W130" s="839"/>
    </row>
    <row r="131" spans="1:24" x14ac:dyDescent="0.25">
      <c r="A131" s="13" t="s">
        <v>139</v>
      </c>
      <c r="B131" s="4"/>
      <c r="C131" s="64"/>
      <c r="D131" s="64"/>
      <c r="E131" s="64"/>
      <c r="F131" s="185">
        <f>'Percent-Soil-Carbon-Content'!J4*'Soil-errosion2'!J4</f>
        <v>0</v>
      </c>
      <c r="G131" s="185">
        <f>'Percent-Soil-Carbon-Content'!U4*'Soil-errosion2'!V4</f>
        <v>0</v>
      </c>
      <c r="H131" s="185">
        <f>'Percent-Soil-Carbon-Content'!AF4*'Soil-errosion2'!AH4</f>
        <v>0</v>
      </c>
      <c r="I131" s="185">
        <f>SUMPRODUCT(F131:H131,$C$33:$E$33)</f>
        <v>0</v>
      </c>
      <c r="J131" s="185">
        <f>F131</f>
        <v>0</v>
      </c>
      <c r="K131" s="185">
        <f t="shared" ref="K131:L131" si="138">G131</f>
        <v>0</v>
      </c>
      <c r="L131" s="185">
        <f t="shared" si="138"/>
        <v>0</v>
      </c>
      <c r="M131" s="185">
        <f>SUMPRODUCT(J131:L131,C63:E63)</f>
        <v>0</v>
      </c>
      <c r="N131" s="67">
        <f>J131*C33*$B33</f>
        <v>0</v>
      </c>
      <c r="O131" s="67">
        <f>K131*D33*$B33</f>
        <v>0</v>
      </c>
      <c r="P131" s="67">
        <f>L131*E33*$B33</f>
        <v>0</v>
      </c>
      <c r="Q131" s="24">
        <f>SUM(N131:P131)</f>
        <v>0</v>
      </c>
      <c r="R131" s="135">
        <v>0</v>
      </c>
      <c r="S131" s="23">
        <f>Q131+R131</f>
        <v>0</v>
      </c>
      <c r="T131" s="38">
        <f t="shared" ref="T131:T155" si="139">S131*$D$123</f>
        <v>0</v>
      </c>
      <c r="U131" s="9">
        <v>0</v>
      </c>
      <c r="V131" s="9">
        <v>0</v>
      </c>
      <c r="W131" s="38">
        <f t="shared" ref="W131:W155" si="140">B131+T131+U131+V131</f>
        <v>0</v>
      </c>
    </row>
    <row r="132" spans="1:24" x14ac:dyDescent="0.25">
      <c r="A132" s="13" t="s">
        <v>140</v>
      </c>
      <c r="B132" s="4"/>
      <c r="C132" s="64"/>
      <c r="D132" s="64"/>
      <c r="E132" s="64"/>
      <c r="F132" s="185">
        <f>'Percent-Soil-Carbon-Content'!J5*'Soil-errosion2'!J5</f>
        <v>0</v>
      </c>
      <c r="G132" s="185">
        <f>'Percent-Soil-Carbon-Content'!U5*'Soil-errosion2'!V5</f>
        <v>0</v>
      </c>
      <c r="H132" s="185">
        <f>'Percent-Soil-Carbon-Content'!AF5*'Soil-errosion2'!AH5</f>
        <v>0</v>
      </c>
      <c r="I132" s="185">
        <f t="shared" ref="I132:I154" si="141">SUMPRODUCT(F132:H132,$C$33:$E$33)</f>
        <v>0</v>
      </c>
      <c r="J132" s="185">
        <f t="shared" ref="J132:J154" si="142">F132</f>
        <v>0</v>
      </c>
      <c r="K132" s="185">
        <f t="shared" ref="K132:K154" si="143">G132</f>
        <v>0</v>
      </c>
      <c r="L132" s="185">
        <f t="shared" ref="L132:L154" si="144">H132</f>
        <v>0</v>
      </c>
      <c r="M132" s="185">
        <f t="shared" ref="M132:M154" si="145">SUMPRODUCT(J132:L132,C64:E64)</f>
        <v>0</v>
      </c>
      <c r="N132" s="67">
        <f t="shared" ref="N132:P132" si="146">J132*C34*$B34</f>
        <v>0</v>
      </c>
      <c r="O132" s="67">
        <f t="shared" si="146"/>
        <v>0</v>
      </c>
      <c r="P132" s="67">
        <f t="shared" si="146"/>
        <v>0</v>
      </c>
      <c r="Q132" s="24">
        <f t="shared" ref="Q132:Q154" si="147">SUM(N132:P132)</f>
        <v>0</v>
      </c>
      <c r="R132" s="135">
        <v>0</v>
      </c>
      <c r="S132" s="23">
        <f t="shared" ref="S132:S154" si="148">Q132+R132</f>
        <v>0</v>
      </c>
      <c r="T132" s="38">
        <f t="shared" ref="T132:T154" si="149">S132*$D$123</f>
        <v>0</v>
      </c>
      <c r="U132" s="9">
        <v>0</v>
      </c>
      <c r="V132" s="9">
        <v>0</v>
      </c>
      <c r="W132" s="38">
        <f t="shared" ref="W132:W154" si="150">B132+T132+U132+V132</f>
        <v>0</v>
      </c>
    </row>
    <row r="133" spans="1:24" x14ac:dyDescent="0.25">
      <c r="A133" s="13" t="s">
        <v>141</v>
      </c>
      <c r="B133" s="4"/>
      <c r="C133" s="64"/>
      <c r="D133" s="64"/>
      <c r="E133" s="64"/>
      <c r="F133" s="185">
        <f>'Percent-Soil-Carbon-Content'!J6*'Soil-errosion2'!J6</f>
        <v>0</v>
      </c>
      <c r="G133" s="185">
        <f>'Percent-Soil-Carbon-Content'!U6*'Soil-errosion2'!V6</f>
        <v>0</v>
      </c>
      <c r="H133" s="185">
        <f>'Percent-Soil-Carbon-Content'!AF6*'Soil-errosion2'!AH6</f>
        <v>0</v>
      </c>
      <c r="I133" s="185">
        <f t="shared" si="141"/>
        <v>0</v>
      </c>
      <c r="J133" s="185">
        <f t="shared" si="142"/>
        <v>0</v>
      </c>
      <c r="K133" s="185">
        <f t="shared" si="143"/>
        <v>0</v>
      </c>
      <c r="L133" s="185">
        <f t="shared" si="144"/>
        <v>0</v>
      </c>
      <c r="M133" s="185">
        <f t="shared" si="145"/>
        <v>0</v>
      </c>
      <c r="N133" s="67">
        <f t="shared" ref="N133:P133" si="151">J133*C35*$B35</f>
        <v>0</v>
      </c>
      <c r="O133" s="67">
        <f t="shared" si="151"/>
        <v>0</v>
      </c>
      <c r="P133" s="67">
        <f t="shared" si="151"/>
        <v>0</v>
      </c>
      <c r="Q133" s="24">
        <f t="shared" si="147"/>
        <v>0</v>
      </c>
      <c r="R133" s="135">
        <v>0</v>
      </c>
      <c r="S133" s="23">
        <f t="shared" si="148"/>
        <v>0</v>
      </c>
      <c r="T133" s="38">
        <f t="shared" si="149"/>
        <v>0</v>
      </c>
      <c r="U133" s="9">
        <v>0</v>
      </c>
      <c r="V133" s="9">
        <v>0</v>
      </c>
      <c r="W133" s="38">
        <f t="shared" si="150"/>
        <v>0</v>
      </c>
    </row>
    <row r="134" spans="1:24" x14ac:dyDescent="0.25">
      <c r="A134" s="13" t="s">
        <v>142</v>
      </c>
      <c r="B134" s="4"/>
      <c r="C134" s="64"/>
      <c r="D134" s="64"/>
      <c r="E134" s="64"/>
      <c r="F134" s="185">
        <f>'Percent-Soil-Carbon-Content'!J7*'Soil-errosion2'!J7</f>
        <v>0</v>
      </c>
      <c r="G134" s="185">
        <f>'Percent-Soil-Carbon-Content'!U7*'Soil-errosion2'!V7</f>
        <v>0</v>
      </c>
      <c r="H134" s="185">
        <f>'Percent-Soil-Carbon-Content'!AF7*'Soil-errosion2'!AH7</f>
        <v>0</v>
      </c>
      <c r="I134" s="185">
        <f t="shared" si="141"/>
        <v>0</v>
      </c>
      <c r="J134" s="185">
        <f t="shared" si="142"/>
        <v>0</v>
      </c>
      <c r="K134" s="185">
        <f t="shared" si="143"/>
        <v>0</v>
      </c>
      <c r="L134" s="185">
        <f t="shared" si="144"/>
        <v>0</v>
      </c>
      <c r="M134" s="185">
        <f t="shared" si="145"/>
        <v>0</v>
      </c>
      <c r="N134" s="67">
        <f t="shared" ref="N134:P134" si="152">J134*C36*$B36</f>
        <v>0</v>
      </c>
      <c r="O134" s="67">
        <f t="shared" si="152"/>
        <v>0</v>
      </c>
      <c r="P134" s="67">
        <f t="shared" si="152"/>
        <v>0</v>
      </c>
      <c r="Q134" s="24">
        <f t="shared" si="147"/>
        <v>0</v>
      </c>
      <c r="R134" s="135">
        <v>0</v>
      </c>
      <c r="S134" s="23">
        <f t="shared" si="148"/>
        <v>0</v>
      </c>
      <c r="T134" s="38">
        <f t="shared" si="149"/>
        <v>0</v>
      </c>
      <c r="U134" s="9">
        <v>0</v>
      </c>
      <c r="V134" s="9">
        <v>0</v>
      </c>
      <c r="W134" s="38">
        <f t="shared" si="150"/>
        <v>0</v>
      </c>
    </row>
    <row r="135" spans="1:24" x14ac:dyDescent="0.25">
      <c r="A135" s="13" t="s">
        <v>143</v>
      </c>
      <c r="B135" s="4"/>
      <c r="C135" s="64"/>
      <c r="D135" s="64"/>
      <c r="E135" s="64"/>
      <c r="F135" s="185">
        <f>'Percent-Soil-Carbon-Content'!J8*'Soil-errosion2'!J8</f>
        <v>0</v>
      </c>
      <c r="G135" s="185">
        <f>'Percent-Soil-Carbon-Content'!U8*'Soil-errosion2'!V8</f>
        <v>0</v>
      </c>
      <c r="H135" s="185">
        <f>'Percent-Soil-Carbon-Content'!AF8*'Soil-errosion2'!AH8</f>
        <v>0</v>
      </c>
      <c r="I135" s="185">
        <f t="shared" si="141"/>
        <v>0</v>
      </c>
      <c r="J135" s="185">
        <f t="shared" si="142"/>
        <v>0</v>
      </c>
      <c r="K135" s="185">
        <f t="shared" si="143"/>
        <v>0</v>
      </c>
      <c r="L135" s="185">
        <f t="shared" si="144"/>
        <v>0</v>
      </c>
      <c r="M135" s="185">
        <f t="shared" si="145"/>
        <v>0</v>
      </c>
      <c r="N135" s="67">
        <f t="shared" ref="N135:P135" si="153">J135*C37*$B37</f>
        <v>0</v>
      </c>
      <c r="O135" s="67">
        <f t="shared" si="153"/>
        <v>0</v>
      </c>
      <c r="P135" s="67">
        <f t="shared" si="153"/>
        <v>0</v>
      </c>
      <c r="Q135" s="24">
        <f t="shared" si="147"/>
        <v>0</v>
      </c>
      <c r="R135" s="135">
        <v>0</v>
      </c>
      <c r="S135" s="23">
        <f t="shared" si="148"/>
        <v>0</v>
      </c>
      <c r="T135" s="38">
        <f t="shared" si="149"/>
        <v>0</v>
      </c>
      <c r="U135" s="9">
        <v>0</v>
      </c>
      <c r="V135" s="9">
        <v>0</v>
      </c>
      <c r="W135" s="38">
        <f t="shared" si="150"/>
        <v>0</v>
      </c>
    </row>
    <row r="136" spans="1:24" x14ac:dyDescent="0.25">
      <c r="A136" s="13" t="s">
        <v>144</v>
      </c>
      <c r="B136" s="4"/>
      <c r="C136" s="64"/>
      <c r="D136" s="64"/>
      <c r="E136" s="64"/>
      <c r="F136" s="185">
        <f>'Percent-Soil-Carbon-Content'!J9*'Soil-errosion2'!J9</f>
        <v>0</v>
      </c>
      <c r="G136" s="185">
        <f>'Percent-Soil-Carbon-Content'!U9*'Soil-errosion2'!V9</f>
        <v>0</v>
      </c>
      <c r="H136" s="185">
        <f>'Percent-Soil-Carbon-Content'!AF9*'Soil-errosion2'!AH9</f>
        <v>0</v>
      </c>
      <c r="I136" s="185">
        <f t="shared" si="141"/>
        <v>0</v>
      </c>
      <c r="J136" s="185">
        <f t="shared" si="142"/>
        <v>0</v>
      </c>
      <c r="K136" s="185">
        <f t="shared" si="143"/>
        <v>0</v>
      </c>
      <c r="L136" s="185">
        <f t="shared" si="144"/>
        <v>0</v>
      </c>
      <c r="M136" s="185">
        <f t="shared" si="145"/>
        <v>0</v>
      </c>
      <c r="N136" s="67">
        <f t="shared" ref="N136:P136" si="154">J136*C38*$B38</f>
        <v>0</v>
      </c>
      <c r="O136" s="67">
        <f t="shared" si="154"/>
        <v>0</v>
      </c>
      <c r="P136" s="67">
        <f t="shared" si="154"/>
        <v>0</v>
      </c>
      <c r="Q136" s="24">
        <f t="shared" si="147"/>
        <v>0</v>
      </c>
      <c r="R136" s="135">
        <v>0</v>
      </c>
      <c r="S136" s="23">
        <f t="shared" si="148"/>
        <v>0</v>
      </c>
      <c r="T136" s="38">
        <f t="shared" si="149"/>
        <v>0</v>
      </c>
      <c r="U136" s="9">
        <v>0</v>
      </c>
      <c r="V136" s="9">
        <v>0</v>
      </c>
      <c r="W136" s="38">
        <f t="shared" si="150"/>
        <v>0</v>
      </c>
    </row>
    <row r="137" spans="1:24" x14ac:dyDescent="0.25">
      <c r="A137" s="13" t="s">
        <v>145</v>
      </c>
      <c r="B137" s="4"/>
      <c r="C137" s="64"/>
      <c r="D137" s="64"/>
      <c r="E137" s="64"/>
      <c r="F137" s="185">
        <f>'Percent-Soil-Carbon-Content'!J10*'Soil-errosion2'!J10</f>
        <v>0</v>
      </c>
      <c r="G137" s="185">
        <f>'Percent-Soil-Carbon-Content'!U10*'Soil-errosion2'!V10</f>
        <v>0</v>
      </c>
      <c r="H137" s="185">
        <f>'Percent-Soil-Carbon-Content'!AF10*'Soil-errosion2'!AH10</f>
        <v>0</v>
      </c>
      <c r="I137" s="185">
        <f t="shared" si="141"/>
        <v>0</v>
      </c>
      <c r="J137" s="185">
        <f t="shared" si="142"/>
        <v>0</v>
      </c>
      <c r="K137" s="185">
        <f t="shared" si="143"/>
        <v>0</v>
      </c>
      <c r="L137" s="185">
        <f t="shared" si="144"/>
        <v>0</v>
      </c>
      <c r="M137" s="185">
        <f t="shared" si="145"/>
        <v>0</v>
      </c>
      <c r="N137" s="67">
        <f t="shared" ref="N137:P137" si="155">J137*C39*$B39</f>
        <v>0</v>
      </c>
      <c r="O137" s="67">
        <f t="shared" si="155"/>
        <v>0</v>
      </c>
      <c r="P137" s="67">
        <f t="shared" si="155"/>
        <v>0</v>
      </c>
      <c r="Q137" s="24">
        <f t="shared" si="147"/>
        <v>0</v>
      </c>
      <c r="R137" s="135">
        <v>0</v>
      </c>
      <c r="S137" s="23">
        <f t="shared" si="148"/>
        <v>0</v>
      </c>
      <c r="T137" s="38">
        <f t="shared" si="149"/>
        <v>0</v>
      </c>
      <c r="U137" s="9">
        <v>0</v>
      </c>
      <c r="V137" s="9">
        <v>0</v>
      </c>
      <c r="W137" s="38">
        <f t="shared" si="150"/>
        <v>0</v>
      </c>
    </row>
    <row r="138" spans="1:24" x14ac:dyDescent="0.25">
      <c r="A138" s="13" t="s">
        <v>146</v>
      </c>
      <c r="B138" s="4"/>
      <c r="C138" s="64"/>
      <c r="D138" s="64"/>
      <c r="E138" s="64"/>
      <c r="F138" s="185">
        <f>'Percent-Soil-Carbon-Content'!J11*'Soil-errosion2'!J11</f>
        <v>0</v>
      </c>
      <c r="G138" s="185">
        <f>'Percent-Soil-Carbon-Content'!U11*'Soil-errosion2'!V11</f>
        <v>0</v>
      </c>
      <c r="H138" s="185">
        <f>'Percent-Soil-Carbon-Content'!AF11*'Soil-errosion2'!AH11</f>
        <v>0</v>
      </c>
      <c r="I138" s="185">
        <f t="shared" si="141"/>
        <v>0</v>
      </c>
      <c r="J138" s="185">
        <f t="shared" si="142"/>
        <v>0</v>
      </c>
      <c r="K138" s="185">
        <f t="shared" si="143"/>
        <v>0</v>
      </c>
      <c r="L138" s="185">
        <f t="shared" si="144"/>
        <v>0</v>
      </c>
      <c r="M138" s="185">
        <f t="shared" si="145"/>
        <v>0</v>
      </c>
      <c r="N138" s="67">
        <f t="shared" ref="N138:P138" si="156">J138*C40*$B40</f>
        <v>0</v>
      </c>
      <c r="O138" s="67">
        <f t="shared" si="156"/>
        <v>0</v>
      </c>
      <c r="P138" s="67">
        <f t="shared" si="156"/>
        <v>0</v>
      </c>
      <c r="Q138" s="24">
        <f t="shared" si="147"/>
        <v>0</v>
      </c>
      <c r="R138" s="135">
        <v>0</v>
      </c>
      <c r="S138" s="23">
        <f t="shared" si="148"/>
        <v>0</v>
      </c>
      <c r="T138" s="38">
        <f t="shared" si="149"/>
        <v>0</v>
      </c>
      <c r="U138" s="9">
        <v>0</v>
      </c>
      <c r="V138" s="9">
        <v>0</v>
      </c>
      <c r="W138" s="38">
        <f t="shared" si="150"/>
        <v>0</v>
      </c>
    </row>
    <row r="139" spans="1:24" x14ac:dyDescent="0.25">
      <c r="A139" s="13" t="s">
        <v>147</v>
      </c>
      <c r="B139" s="4"/>
      <c r="C139" s="64"/>
      <c r="D139" s="64"/>
      <c r="E139" s="64"/>
      <c r="F139" s="185">
        <f>'Percent-Soil-Carbon-Content'!J12*'Soil-errosion2'!J12</f>
        <v>0</v>
      </c>
      <c r="G139" s="185">
        <f>'Percent-Soil-Carbon-Content'!U12*'Soil-errosion2'!V12</f>
        <v>0</v>
      </c>
      <c r="H139" s="185">
        <f>'Percent-Soil-Carbon-Content'!AF12*'Soil-errosion2'!AH12</f>
        <v>0</v>
      </c>
      <c r="I139" s="185">
        <f t="shared" si="141"/>
        <v>0</v>
      </c>
      <c r="J139" s="185">
        <f t="shared" si="142"/>
        <v>0</v>
      </c>
      <c r="K139" s="185">
        <f t="shared" si="143"/>
        <v>0</v>
      </c>
      <c r="L139" s="185">
        <f t="shared" si="144"/>
        <v>0</v>
      </c>
      <c r="M139" s="185">
        <f t="shared" si="145"/>
        <v>0</v>
      </c>
      <c r="N139" s="67">
        <f t="shared" ref="N139:P139" si="157">J139*C41*$B41</f>
        <v>0</v>
      </c>
      <c r="O139" s="67">
        <f t="shared" si="157"/>
        <v>0</v>
      </c>
      <c r="P139" s="67">
        <f t="shared" si="157"/>
        <v>0</v>
      </c>
      <c r="Q139" s="24">
        <f t="shared" si="147"/>
        <v>0</v>
      </c>
      <c r="R139" s="135">
        <v>0</v>
      </c>
      <c r="S139" s="23">
        <f t="shared" si="148"/>
        <v>0</v>
      </c>
      <c r="T139" s="38">
        <f t="shared" si="149"/>
        <v>0</v>
      </c>
      <c r="U139" s="9">
        <v>0</v>
      </c>
      <c r="V139" s="9">
        <v>0</v>
      </c>
      <c r="W139" s="38">
        <f t="shared" si="150"/>
        <v>0</v>
      </c>
    </row>
    <row r="140" spans="1:24" x14ac:dyDescent="0.25">
      <c r="A140" s="13" t="s">
        <v>148</v>
      </c>
      <c r="B140" s="4"/>
      <c r="C140" s="64"/>
      <c r="D140" s="64"/>
      <c r="E140" s="64"/>
      <c r="F140" s="185">
        <f>'Percent-Soil-Carbon-Content'!J13*'Soil-errosion2'!J13</f>
        <v>0</v>
      </c>
      <c r="G140" s="185">
        <f>'Percent-Soil-Carbon-Content'!U13*'Soil-errosion2'!V13</f>
        <v>0</v>
      </c>
      <c r="H140" s="185">
        <f>'Percent-Soil-Carbon-Content'!AF13*'Soil-errosion2'!AH13</f>
        <v>0</v>
      </c>
      <c r="I140" s="185">
        <f t="shared" si="141"/>
        <v>0</v>
      </c>
      <c r="J140" s="185">
        <f t="shared" si="142"/>
        <v>0</v>
      </c>
      <c r="K140" s="185">
        <f t="shared" si="143"/>
        <v>0</v>
      </c>
      <c r="L140" s="185">
        <f t="shared" si="144"/>
        <v>0</v>
      </c>
      <c r="M140" s="185">
        <f t="shared" si="145"/>
        <v>0</v>
      </c>
      <c r="N140" s="67">
        <f t="shared" ref="N140:P140" si="158">J140*C42*$B42</f>
        <v>0</v>
      </c>
      <c r="O140" s="67">
        <f t="shared" si="158"/>
        <v>0</v>
      </c>
      <c r="P140" s="67">
        <f t="shared" si="158"/>
        <v>0</v>
      </c>
      <c r="Q140" s="24">
        <f t="shared" si="147"/>
        <v>0</v>
      </c>
      <c r="R140" s="135">
        <v>0</v>
      </c>
      <c r="S140" s="23">
        <f t="shared" si="148"/>
        <v>0</v>
      </c>
      <c r="T140" s="38">
        <f t="shared" si="149"/>
        <v>0</v>
      </c>
      <c r="U140" s="9">
        <v>0</v>
      </c>
      <c r="V140" s="9">
        <v>0</v>
      </c>
      <c r="W140" s="38">
        <f t="shared" si="150"/>
        <v>0</v>
      </c>
    </row>
    <row r="141" spans="1:24" x14ac:dyDescent="0.25">
      <c r="A141" s="13" t="s">
        <v>149</v>
      </c>
      <c r="B141" s="4"/>
      <c r="C141" s="64"/>
      <c r="D141" s="64"/>
      <c r="E141" s="64"/>
      <c r="F141" s="185">
        <f>'Percent-Soil-Carbon-Content'!J14*'Soil-errosion2'!J14</f>
        <v>0</v>
      </c>
      <c r="G141" s="185">
        <f>'Percent-Soil-Carbon-Content'!U14*'Soil-errosion2'!V14</f>
        <v>0</v>
      </c>
      <c r="H141" s="185">
        <f>'Percent-Soil-Carbon-Content'!AF14*'Soil-errosion2'!AH14</f>
        <v>0</v>
      </c>
      <c r="I141" s="185">
        <f t="shared" si="141"/>
        <v>0</v>
      </c>
      <c r="J141" s="185">
        <f t="shared" si="142"/>
        <v>0</v>
      </c>
      <c r="K141" s="185">
        <f t="shared" si="143"/>
        <v>0</v>
      </c>
      <c r="L141" s="185">
        <f t="shared" si="144"/>
        <v>0</v>
      </c>
      <c r="M141" s="185">
        <f t="shared" si="145"/>
        <v>0</v>
      </c>
      <c r="N141" s="67">
        <f t="shared" ref="N141:P141" si="159">J141*C43*$B43</f>
        <v>0</v>
      </c>
      <c r="O141" s="67">
        <f t="shared" si="159"/>
        <v>0</v>
      </c>
      <c r="P141" s="67">
        <f t="shared" si="159"/>
        <v>0</v>
      </c>
      <c r="Q141" s="24">
        <f t="shared" si="147"/>
        <v>0</v>
      </c>
      <c r="R141" s="135">
        <v>0</v>
      </c>
      <c r="S141" s="23">
        <f t="shared" si="148"/>
        <v>0</v>
      </c>
      <c r="T141" s="38">
        <f t="shared" si="149"/>
        <v>0</v>
      </c>
      <c r="U141" s="9">
        <v>0</v>
      </c>
      <c r="V141" s="9">
        <v>0</v>
      </c>
      <c r="W141" s="38">
        <f t="shared" si="150"/>
        <v>0</v>
      </c>
    </row>
    <row r="142" spans="1:24" x14ac:dyDescent="0.25">
      <c r="A142" s="13" t="s">
        <v>150</v>
      </c>
      <c r="B142" s="4"/>
      <c r="C142" s="64"/>
      <c r="D142" s="64"/>
      <c r="E142" s="64"/>
      <c r="F142" s="185">
        <f>'Percent-Soil-Carbon-Content'!J15*'Soil-errosion2'!J15</f>
        <v>0</v>
      </c>
      <c r="G142" s="185">
        <f>'Percent-Soil-Carbon-Content'!U15*'Soil-errosion2'!V15</f>
        <v>0</v>
      </c>
      <c r="H142" s="185">
        <f>'Percent-Soil-Carbon-Content'!AF15*'Soil-errosion2'!AH15</f>
        <v>0</v>
      </c>
      <c r="I142" s="185">
        <f t="shared" si="141"/>
        <v>0</v>
      </c>
      <c r="J142" s="185">
        <f t="shared" si="142"/>
        <v>0</v>
      </c>
      <c r="K142" s="185">
        <f t="shared" si="143"/>
        <v>0</v>
      </c>
      <c r="L142" s="185">
        <f t="shared" si="144"/>
        <v>0</v>
      </c>
      <c r="M142" s="185">
        <f t="shared" si="145"/>
        <v>0</v>
      </c>
      <c r="N142" s="67">
        <f t="shared" ref="N142:P142" si="160">J142*C44*$B44</f>
        <v>0</v>
      </c>
      <c r="O142" s="67">
        <f t="shared" si="160"/>
        <v>0</v>
      </c>
      <c r="P142" s="67">
        <f t="shared" si="160"/>
        <v>0</v>
      </c>
      <c r="Q142" s="24">
        <f t="shared" si="147"/>
        <v>0</v>
      </c>
      <c r="R142" s="135">
        <v>0</v>
      </c>
      <c r="S142" s="23">
        <f t="shared" si="148"/>
        <v>0</v>
      </c>
      <c r="T142" s="38">
        <f t="shared" si="149"/>
        <v>0</v>
      </c>
      <c r="U142" s="9">
        <v>0</v>
      </c>
      <c r="V142" s="9">
        <v>0</v>
      </c>
      <c r="W142" s="38">
        <f t="shared" si="150"/>
        <v>0</v>
      </c>
    </row>
    <row r="143" spans="1:24" x14ac:dyDescent="0.25">
      <c r="A143" s="13" t="s">
        <v>151</v>
      </c>
      <c r="B143" s="4"/>
      <c r="C143" s="64"/>
      <c r="D143" s="64"/>
      <c r="E143" s="64"/>
      <c r="F143" s="185">
        <f>'Percent-Soil-Carbon-Content'!J16*'Soil-errosion2'!J16</f>
        <v>0</v>
      </c>
      <c r="G143" s="185">
        <f>'Percent-Soil-Carbon-Content'!U16*'Soil-errosion2'!V16</f>
        <v>0</v>
      </c>
      <c r="H143" s="185">
        <f>'Percent-Soil-Carbon-Content'!AF16*'Soil-errosion2'!AH16</f>
        <v>0</v>
      </c>
      <c r="I143" s="185">
        <f t="shared" si="141"/>
        <v>0</v>
      </c>
      <c r="J143" s="185">
        <f t="shared" si="142"/>
        <v>0</v>
      </c>
      <c r="K143" s="185">
        <f t="shared" si="143"/>
        <v>0</v>
      </c>
      <c r="L143" s="185">
        <f t="shared" si="144"/>
        <v>0</v>
      </c>
      <c r="M143" s="185">
        <f t="shared" si="145"/>
        <v>0</v>
      </c>
      <c r="N143" s="67">
        <f t="shared" ref="N143:P143" si="161">J143*C45*$B45</f>
        <v>0</v>
      </c>
      <c r="O143" s="67">
        <f t="shared" si="161"/>
        <v>0</v>
      </c>
      <c r="P143" s="67">
        <f t="shared" si="161"/>
        <v>0</v>
      </c>
      <c r="Q143" s="24">
        <f t="shared" si="147"/>
        <v>0</v>
      </c>
      <c r="R143" s="135">
        <v>0</v>
      </c>
      <c r="S143" s="23">
        <f t="shared" si="148"/>
        <v>0</v>
      </c>
      <c r="T143" s="38">
        <f t="shared" si="149"/>
        <v>0</v>
      </c>
      <c r="U143" s="9">
        <v>0</v>
      </c>
      <c r="V143" s="9">
        <v>0</v>
      </c>
      <c r="W143" s="38">
        <f t="shared" si="150"/>
        <v>0</v>
      </c>
    </row>
    <row r="144" spans="1:24" x14ac:dyDescent="0.25">
      <c r="A144" s="13" t="s">
        <v>152</v>
      </c>
      <c r="B144" s="4"/>
      <c r="C144" s="64"/>
      <c r="D144" s="64"/>
      <c r="E144" s="64"/>
      <c r="F144" s="185">
        <f>'Percent-Soil-Carbon-Content'!J17*'Soil-errosion2'!J17</f>
        <v>0</v>
      </c>
      <c r="G144" s="185">
        <f>'Percent-Soil-Carbon-Content'!U17*'Soil-errosion2'!V17</f>
        <v>0</v>
      </c>
      <c r="H144" s="185">
        <f>'Percent-Soil-Carbon-Content'!AF17*'Soil-errosion2'!AH17</f>
        <v>0</v>
      </c>
      <c r="I144" s="185">
        <f t="shared" si="141"/>
        <v>0</v>
      </c>
      <c r="J144" s="185">
        <f t="shared" si="142"/>
        <v>0</v>
      </c>
      <c r="K144" s="185">
        <f t="shared" si="143"/>
        <v>0</v>
      </c>
      <c r="L144" s="185">
        <f t="shared" si="144"/>
        <v>0</v>
      </c>
      <c r="M144" s="185">
        <f t="shared" si="145"/>
        <v>0</v>
      </c>
      <c r="N144" s="67">
        <f t="shared" ref="N144:P144" si="162">J144*C46*$B46</f>
        <v>0</v>
      </c>
      <c r="O144" s="67">
        <f t="shared" si="162"/>
        <v>0</v>
      </c>
      <c r="P144" s="67">
        <f t="shared" si="162"/>
        <v>0</v>
      </c>
      <c r="Q144" s="24">
        <f t="shared" si="147"/>
        <v>0</v>
      </c>
      <c r="R144" s="135">
        <v>0</v>
      </c>
      <c r="S144" s="23">
        <f t="shared" si="148"/>
        <v>0</v>
      </c>
      <c r="T144" s="38">
        <f t="shared" si="149"/>
        <v>0</v>
      </c>
      <c r="U144" s="9">
        <v>0</v>
      </c>
      <c r="V144" s="9">
        <v>0</v>
      </c>
      <c r="W144" s="38">
        <f t="shared" si="150"/>
        <v>0</v>
      </c>
    </row>
    <row r="145" spans="1:24" x14ac:dyDescent="0.25">
      <c r="A145" s="13" t="s">
        <v>153</v>
      </c>
      <c r="B145" s="4"/>
      <c r="C145" s="64"/>
      <c r="D145" s="64"/>
      <c r="E145" s="64"/>
      <c r="F145" s="185">
        <f>'Percent-Soil-Carbon-Content'!J18*'Soil-errosion2'!J18</f>
        <v>0</v>
      </c>
      <c r="G145" s="185">
        <f>'Percent-Soil-Carbon-Content'!U18*'Soil-errosion2'!V18</f>
        <v>0</v>
      </c>
      <c r="H145" s="185">
        <f>'Percent-Soil-Carbon-Content'!AF18*'Soil-errosion2'!AH18</f>
        <v>0</v>
      </c>
      <c r="I145" s="185">
        <f t="shared" si="141"/>
        <v>0</v>
      </c>
      <c r="J145" s="185">
        <f t="shared" si="142"/>
        <v>0</v>
      </c>
      <c r="K145" s="185">
        <f t="shared" si="143"/>
        <v>0</v>
      </c>
      <c r="L145" s="185">
        <f t="shared" si="144"/>
        <v>0</v>
      </c>
      <c r="M145" s="185">
        <f t="shared" si="145"/>
        <v>0</v>
      </c>
      <c r="N145" s="67">
        <f t="shared" ref="N145:P145" si="163">J145*C47*$B47</f>
        <v>0</v>
      </c>
      <c r="O145" s="67">
        <f t="shared" si="163"/>
        <v>0</v>
      </c>
      <c r="P145" s="67">
        <f t="shared" si="163"/>
        <v>0</v>
      </c>
      <c r="Q145" s="24">
        <f t="shared" si="147"/>
        <v>0</v>
      </c>
      <c r="R145" s="135">
        <v>0</v>
      </c>
      <c r="S145" s="23">
        <f t="shared" si="148"/>
        <v>0</v>
      </c>
      <c r="T145" s="38">
        <f t="shared" si="149"/>
        <v>0</v>
      </c>
      <c r="U145" s="9">
        <v>0</v>
      </c>
      <c r="V145" s="9">
        <v>0</v>
      </c>
      <c r="W145" s="38">
        <f t="shared" si="150"/>
        <v>0</v>
      </c>
    </row>
    <row r="146" spans="1:24" x14ac:dyDescent="0.25">
      <c r="A146" s="13" t="s">
        <v>154</v>
      </c>
      <c r="B146" s="4"/>
      <c r="C146" s="64"/>
      <c r="D146" s="64"/>
      <c r="E146" s="64"/>
      <c r="F146" s="185">
        <f>'Percent-Soil-Carbon-Content'!J19*'Soil-errosion2'!J19</f>
        <v>0</v>
      </c>
      <c r="G146" s="185">
        <f>'Percent-Soil-Carbon-Content'!U19*'Soil-errosion2'!V19</f>
        <v>0</v>
      </c>
      <c r="H146" s="185">
        <f>'Percent-Soil-Carbon-Content'!AF19*'Soil-errosion2'!AH19</f>
        <v>0</v>
      </c>
      <c r="I146" s="185">
        <f t="shared" si="141"/>
        <v>0</v>
      </c>
      <c r="J146" s="185">
        <f t="shared" si="142"/>
        <v>0</v>
      </c>
      <c r="K146" s="185">
        <f t="shared" si="143"/>
        <v>0</v>
      </c>
      <c r="L146" s="185">
        <f t="shared" si="144"/>
        <v>0</v>
      </c>
      <c r="M146" s="185">
        <f t="shared" si="145"/>
        <v>0</v>
      </c>
      <c r="N146" s="67">
        <f t="shared" ref="N146:P146" si="164">J146*C48*$B48</f>
        <v>0</v>
      </c>
      <c r="O146" s="67">
        <f t="shared" si="164"/>
        <v>0</v>
      </c>
      <c r="P146" s="67">
        <f t="shared" si="164"/>
        <v>0</v>
      </c>
      <c r="Q146" s="24">
        <f t="shared" si="147"/>
        <v>0</v>
      </c>
      <c r="R146" s="135">
        <v>0</v>
      </c>
      <c r="S146" s="23">
        <f t="shared" si="148"/>
        <v>0</v>
      </c>
      <c r="T146" s="38">
        <f t="shared" si="149"/>
        <v>0</v>
      </c>
      <c r="U146" s="9">
        <v>0</v>
      </c>
      <c r="V146" s="9">
        <v>0</v>
      </c>
      <c r="W146" s="38">
        <f t="shared" si="150"/>
        <v>0</v>
      </c>
    </row>
    <row r="147" spans="1:24" x14ac:dyDescent="0.25">
      <c r="A147" s="13" t="s">
        <v>155</v>
      </c>
      <c r="B147" s="4"/>
      <c r="C147" s="64"/>
      <c r="D147" s="64"/>
      <c r="E147" s="64"/>
      <c r="F147" s="185">
        <f>'Percent-Soil-Carbon-Content'!J20*'Soil-errosion2'!J20</f>
        <v>0</v>
      </c>
      <c r="G147" s="185">
        <f>'Percent-Soil-Carbon-Content'!U20*'Soil-errosion2'!V20</f>
        <v>0</v>
      </c>
      <c r="H147" s="185">
        <f>'Percent-Soil-Carbon-Content'!AF20*'Soil-errosion2'!AH20</f>
        <v>0</v>
      </c>
      <c r="I147" s="185">
        <f t="shared" si="141"/>
        <v>0</v>
      </c>
      <c r="J147" s="185">
        <f t="shared" si="142"/>
        <v>0</v>
      </c>
      <c r="K147" s="185">
        <f t="shared" si="143"/>
        <v>0</v>
      </c>
      <c r="L147" s="185">
        <f t="shared" si="144"/>
        <v>0</v>
      </c>
      <c r="M147" s="185">
        <f t="shared" si="145"/>
        <v>0</v>
      </c>
      <c r="N147" s="67">
        <f t="shared" ref="N147:P147" si="165">J147*C49*$B49</f>
        <v>0</v>
      </c>
      <c r="O147" s="67">
        <f t="shared" si="165"/>
        <v>0</v>
      </c>
      <c r="P147" s="67">
        <f t="shared" si="165"/>
        <v>0</v>
      </c>
      <c r="Q147" s="24">
        <f t="shared" si="147"/>
        <v>0</v>
      </c>
      <c r="R147" s="135">
        <v>0</v>
      </c>
      <c r="S147" s="23">
        <f t="shared" si="148"/>
        <v>0</v>
      </c>
      <c r="T147" s="38">
        <f t="shared" si="149"/>
        <v>0</v>
      </c>
      <c r="U147" s="9">
        <v>0</v>
      </c>
      <c r="V147" s="9">
        <v>0</v>
      </c>
      <c r="W147" s="38">
        <f t="shared" si="150"/>
        <v>0</v>
      </c>
    </row>
    <row r="148" spans="1:24" x14ac:dyDescent="0.25">
      <c r="A148" s="13" t="s">
        <v>156</v>
      </c>
      <c r="B148" s="4"/>
      <c r="C148" s="64"/>
      <c r="D148" s="64"/>
      <c r="E148" s="64"/>
      <c r="F148" s="185">
        <f>'Percent-Soil-Carbon-Content'!J21*'Soil-errosion2'!J21</f>
        <v>0</v>
      </c>
      <c r="G148" s="185">
        <f>'Percent-Soil-Carbon-Content'!U21*'Soil-errosion2'!V21</f>
        <v>0</v>
      </c>
      <c r="H148" s="185">
        <f>'Percent-Soil-Carbon-Content'!AF21*'Soil-errosion2'!AH21</f>
        <v>0</v>
      </c>
      <c r="I148" s="185">
        <f t="shared" si="141"/>
        <v>0</v>
      </c>
      <c r="J148" s="185">
        <f t="shared" si="142"/>
        <v>0</v>
      </c>
      <c r="K148" s="185">
        <f t="shared" si="143"/>
        <v>0</v>
      </c>
      <c r="L148" s="185">
        <f t="shared" si="144"/>
        <v>0</v>
      </c>
      <c r="M148" s="185">
        <f t="shared" si="145"/>
        <v>0</v>
      </c>
      <c r="N148" s="67">
        <f t="shared" ref="N148:P148" si="166">J148*C50*$B50</f>
        <v>0</v>
      </c>
      <c r="O148" s="67">
        <f t="shared" si="166"/>
        <v>0</v>
      </c>
      <c r="P148" s="67">
        <f t="shared" si="166"/>
        <v>0</v>
      </c>
      <c r="Q148" s="24">
        <f t="shared" si="147"/>
        <v>0</v>
      </c>
      <c r="R148" s="135">
        <v>0</v>
      </c>
      <c r="S148" s="23">
        <f t="shared" si="148"/>
        <v>0</v>
      </c>
      <c r="T148" s="38">
        <f t="shared" si="149"/>
        <v>0</v>
      </c>
      <c r="U148" s="9">
        <v>0</v>
      </c>
      <c r="V148" s="9">
        <v>0</v>
      </c>
      <c r="W148" s="38">
        <f t="shared" si="150"/>
        <v>0</v>
      </c>
    </row>
    <row r="149" spans="1:24" x14ac:dyDescent="0.25">
      <c r="A149" s="13" t="s">
        <v>157</v>
      </c>
      <c r="B149" s="4"/>
      <c r="C149" s="64"/>
      <c r="D149" s="64"/>
      <c r="E149" s="64"/>
      <c r="F149" s="185">
        <f>'Percent-Soil-Carbon-Content'!J22*'Soil-errosion2'!J22</f>
        <v>0</v>
      </c>
      <c r="G149" s="185">
        <f>'Percent-Soil-Carbon-Content'!U22*'Soil-errosion2'!V22</f>
        <v>0</v>
      </c>
      <c r="H149" s="185">
        <f>'Percent-Soil-Carbon-Content'!AF22*'Soil-errosion2'!AH22</f>
        <v>0</v>
      </c>
      <c r="I149" s="185">
        <f t="shared" si="141"/>
        <v>0</v>
      </c>
      <c r="J149" s="185">
        <f t="shared" si="142"/>
        <v>0</v>
      </c>
      <c r="K149" s="185">
        <f t="shared" si="143"/>
        <v>0</v>
      </c>
      <c r="L149" s="185">
        <f t="shared" si="144"/>
        <v>0</v>
      </c>
      <c r="M149" s="185">
        <f t="shared" si="145"/>
        <v>0</v>
      </c>
      <c r="N149" s="67">
        <f t="shared" ref="N149:P149" si="167">J149*C51*$B51</f>
        <v>0</v>
      </c>
      <c r="O149" s="67">
        <f t="shared" si="167"/>
        <v>0</v>
      </c>
      <c r="P149" s="67">
        <f t="shared" si="167"/>
        <v>0</v>
      </c>
      <c r="Q149" s="24">
        <f t="shared" si="147"/>
        <v>0</v>
      </c>
      <c r="R149" s="135">
        <v>0</v>
      </c>
      <c r="S149" s="23">
        <f t="shared" si="148"/>
        <v>0</v>
      </c>
      <c r="T149" s="38">
        <f t="shared" si="149"/>
        <v>0</v>
      </c>
      <c r="U149" s="9">
        <v>0</v>
      </c>
      <c r="V149" s="9">
        <v>0</v>
      </c>
      <c r="W149" s="38">
        <f t="shared" si="150"/>
        <v>0</v>
      </c>
    </row>
    <row r="150" spans="1:24" x14ac:dyDescent="0.25">
      <c r="A150" s="13" t="s">
        <v>158</v>
      </c>
      <c r="B150" s="4"/>
      <c r="C150" s="64"/>
      <c r="D150" s="64"/>
      <c r="E150" s="64"/>
      <c r="F150" s="185">
        <f>'Percent-Soil-Carbon-Content'!J23*'Soil-errosion2'!J23</f>
        <v>0</v>
      </c>
      <c r="G150" s="185">
        <f>'Percent-Soil-Carbon-Content'!U23*'Soil-errosion2'!V23</f>
        <v>0</v>
      </c>
      <c r="H150" s="185">
        <f>'Percent-Soil-Carbon-Content'!AF23*'Soil-errosion2'!AH23</f>
        <v>0</v>
      </c>
      <c r="I150" s="185">
        <f t="shared" si="141"/>
        <v>0</v>
      </c>
      <c r="J150" s="185">
        <f t="shared" si="142"/>
        <v>0</v>
      </c>
      <c r="K150" s="185">
        <f t="shared" si="143"/>
        <v>0</v>
      </c>
      <c r="L150" s="185">
        <f t="shared" si="144"/>
        <v>0</v>
      </c>
      <c r="M150" s="185">
        <f t="shared" si="145"/>
        <v>0</v>
      </c>
      <c r="N150" s="67">
        <f t="shared" ref="N150:P150" si="168">J150*C52*$B52</f>
        <v>0</v>
      </c>
      <c r="O150" s="67">
        <f t="shared" si="168"/>
        <v>0</v>
      </c>
      <c r="P150" s="67">
        <f t="shared" si="168"/>
        <v>0</v>
      </c>
      <c r="Q150" s="24">
        <f t="shared" si="147"/>
        <v>0</v>
      </c>
      <c r="R150" s="135">
        <v>0</v>
      </c>
      <c r="S150" s="23">
        <f t="shared" si="148"/>
        <v>0</v>
      </c>
      <c r="T150" s="38">
        <f t="shared" si="149"/>
        <v>0</v>
      </c>
      <c r="U150" s="9">
        <v>0</v>
      </c>
      <c r="V150" s="9">
        <v>0</v>
      </c>
      <c r="W150" s="38">
        <f t="shared" si="150"/>
        <v>0</v>
      </c>
    </row>
    <row r="151" spans="1:24" x14ac:dyDescent="0.25">
      <c r="A151" s="13" t="s">
        <v>159</v>
      </c>
      <c r="B151" s="4"/>
      <c r="C151" s="64"/>
      <c r="D151" s="64"/>
      <c r="E151" s="64"/>
      <c r="F151" s="185">
        <f>'Percent-Soil-Carbon-Content'!J24*'Soil-errosion2'!J24</f>
        <v>0</v>
      </c>
      <c r="G151" s="185">
        <f>'Percent-Soil-Carbon-Content'!U24*'Soil-errosion2'!V24</f>
        <v>0</v>
      </c>
      <c r="H151" s="185">
        <f>'Percent-Soil-Carbon-Content'!AF24*'Soil-errosion2'!AH24</f>
        <v>0</v>
      </c>
      <c r="I151" s="185">
        <f t="shared" si="141"/>
        <v>0</v>
      </c>
      <c r="J151" s="185">
        <f t="shared" si="142"/>
        <v>0</v>
      </c>
      <c r="K151" s="185">
        <f t="shared" si="143"/>
        <v>0</v>
      </c>
      <c r="L151" s="185">
        <f t="shared" si="144"/>
        <v>0</v>
      </c>
      <c r="M151" s="185">
        <f t="shared" si="145"/>
        <v>0</v>
      </c>
      <c r="N151" s="67">
        <f t="shared" ref="N151:P151" si="169">J151*C53*$B53</f>
        <v>0</v>
      </c>
      <c r="O151" s="67">
        <f t="shared" si="169"/>
        <v>0</v>
      </c>
      <c r="P151" s="67">
        <f t="shared" si="169"/>
        <v>0</v>
      </c>
      <c r="Q151" s="24">
        <f t="shared" si="147"/>
        <v>0</v>
      </c>
      <c r="R151" s="135">
        <v>0</v>
      </c>
      <c r="S151" s="23">
        <f t="shared" si="148"/>
        <v>0</v>
      </c>
      <c r="T151" s="38">
        <f t="shared" si="149"/>
        <v>0</v>
      </c>
      <c r="U151" s="9">
        <v>0</v>
      </c>
      <c r="V151" s="9">
        <v>0</v>
      </c>
      <c r="W151" s="38">
        <f t="shared" si="150"/>
        <v>0</v>
      </c>
    </row>
    <row r="152" spans="1:24" x14ac:dyDescent="0.25">
      <c r="A152" s="13" t="s">
        <v>160</v>
      </c>
      <c r="B152" s="4"/>
      <c r="C152" s="64"/>
      <c r="D152" s="64"/>
      <c r="E152" s="64"/>
      <c r="F152" s="185">
        <f>'Percent-Soil-Carbon-Content'!J25*'Soil-errosion2'!J25</f>
        <v>0</v>
      </c>
      <c r="G152" s="185">
        <f>'Percent-Soil-Carbon-Content'!U25*'Soil-errosion2'!V25</f>
        <v>0</v>
      </c>
      <c r="H152" s="185">
        <f>'Percent-Soil-Carbon-Content'!AF25*'Soil-errosion2'!AH25</f>
        <v>0</v>
      </c>
      <c r="I152" s="185">
        <f t="shared" si="141"/>
        <v>0</v>
      </c>
      <c r="J152" s="185">
        <f t="shared" si="142"/>
        <v>0</v>
      </c>
      <c r="K152" s="185">
        <f t="shared" si="143"/>
        <v>0</v>
      </c>
      <c r="L152" s="185">
        <f t="shared" si="144"/>
        <v>0</v>
      </c>
      <c r="M152" s="185">
        <f t="shared" si="145"/>
        <v>0</v>
      </c>
      <c r="N152" s="67">
        <f t="shared" ref="N152:P152" si="170">J152*C54*$B54</f>
        <v>0</v>
      </c>
      <c r="O152" s="67">
        <f t="shared" si="170"/>
        <v>0</v>
      </c>
      <c r="P152" s="67">
        <f t="shared" si="170"/>
        <v>0</v>
      </c>
      <c r="Q152" s="24">
        <f t="shared" si="147"/>
        <v>0</v>
      </c>
      <c r="R152" s="135">
        <v>0</v>
      </c>
      <c r="S152" s="23">
        <f t="shared" si="148"/>
        <v>0</v>
      </c>
      <c r="T152" s="38">
        <f t="shared" si="149"/>
        <v>0</v>
      </c>
      <c r="U152" s="9">
        <v>0</v>
      </c>
      <c r="V152" s="9">
        <v>0</v>
      </c>
      <c r="W152" s="38">
        <f t="shared" si="150"/>
        <v>0</v>
      </c>
    </row>
    <row r="153" spans="1:24" x14ac:dyDescent="0.25">
      <c r="A153" s="13" t="s">
        <v>161</v>
      </c>
      <c r="B153" s="4"/>
      <c r="C153" s="64"/>
      <c r="D153" s="64"/>
      <c r="E153" s="64"/>
      <c r="F153" s="185">
        <f>'Percent-Soil-Carbon-Content'!J26*'Soil-errosion2'!J26</f>
        <v>0</v>
      </c>
      <c r="G153" s="185">
        <f>'Percent-Soil-Carbon-Content'!U26*'Soil-errosion2'!V26</f>
        <v>0</v>
      </c>
      <c r="H153" s="185">
        <f>'Percent-Soil-Carbon-Content'!AF26*'Soil-errosion2'!AH26</f>
        <v>0</v>
      </c>
      <c r="I153" s="185">
        <f t="shared" si="141"/>
        <v>0</v>
      </c>
      <c r="J153" s="185">
        <f t="shared" si="142"/>
        <v>0</v>
      </c>
      <c r="K153" s="185">
        <f t="shared" si="143"/>
        <v>0</v>
      </c>
      <c r="L153" s="185">
        <f t="shared" si="144"/>
        <v>0</v>
      </c>
      <c r="M153" s="185">
        <f t="shared" si="145"/>
        <v>0</v>
      </c>
      <c r="N153" s="67">
        <f t="shared" ref="N153:P153" si="171">J153*C55*$B55</f>
        <v>0</v>
      </c>
      <c r="O153" s="67">
        <f t="shared" si="171"/>
        <v>0</v>
      </c>
      <c r="P153" s="67">
        <f t="shared" si="171"/>
        <v>0</v>
      </c>
      <c r="Q153" s="24">
        <f t="shared" si="147"/>
        <v>0</v>
      </c>
      <c r="R153" s="135">
        <v>0</v>
      </c>
      <c r="S153" s="23">
        <f t="shared" si="148"/>
        <v>0</v>
      </c>
      <c r="T153" s="38">
        <f t="shared" si="149"/>
        <v>0</v>
      </c>
      <c r="U153" s="9">
        <v>0</v>
      </c>
      <c r="V153" s="9">
        <v>0</v>
      </c>
      <c r="W153" s="38">
        <f t="shared" si="150"/>
        <v>0</v>
      </c>
    </row>
    <row r="154" spans="1:24" x14ac:dyDescent="0.25">
      <c r="A154" s="13" t="s">
        <v>162</v>
      </c>
      <c r="B154" s="4"/>
      <c r="C154" s="64"/>
      <c r="D154" s="64"/>
      <c r="E154" s="64"/>
      <c r="F154" s="185">
        <f>'Percent-Soil-Carbon-Content'!J27*'Soil-errosion2'!J27</f>
        <v>0</v>
      </c>
      <c r="G154" s="185">
        <f>'Percent-Soil-Carbon-Content'!U27*'Soil-errosion2'!V27</f>
        <v>0</v>
      </c>
      <c r="H154" s="185">
        <f>'Percent-Soil-Carbon-Content'!AF27*'Soil-errosion2'!AH27</f>
        <v>0</v>
      </c>
      <c r="I154" s="185">
        <f t="shared" si="141"/>
        <v>0</v>
      </c>
      <c r="J154" s="185">
        <f t="shared" si="142"/>
        <v>0</v>
      </c>
      <c r="K154" s="185">
        <f t="shared" si="143"/>
        <v>0</v>
      </c>
      <c r="L154" s="185">
        <f t="shared" si="144"/>
        <v>0</v>
      </c>
      <c r="M154" s="185">
        <f t="shared" si="145"/>
        <v>0</v>
      </c>
      <c r="N154" s="67">
        <f t="shared" ref="N154:P154" si="172">J154*C56*$B56</f>
        <v>0</v>
      </c>
      <c r="O154" s="67">
        <f t="shared" si="172"/>
        <v>0</v>
      </c>
      <c r="P154" s="67">
        <f t="shared" si="172"/>
        <v>0</v>
      </c>
      <c r="Q154" s="24">
        <f t="shared" si="147"/>
        <v>0</v>
      </c>
      <c r="R154" s="135">
        <v>0</v>
      </c>
      <c r="S154" s="23">
        <f t="shared" si="148"/>
        <v>0</v>
      </c>
      <c r="T154" s="38">
        <f t="shared" si="149"/>
        <v>0</v>
      </c>
      <c r="U154" s="9">
        <v>0</v>
      </c>
      <c r="V154" s="9">
        <v>0</v>
      </c>
      <c r="W154" s="38">
        <f t="shared" si="150"/>
        <v>0</v>
      </c>
    </row>
    <row r="155" spans="1:24" x14ac:dyDescent="0.25">
      <c r="A155" s="1" t="s">
        <v>163</v>
      </c>
      <c r="B155" s="9">
        <f>SUM(B131:B154)</f>
        <v>0</v>
      </c>
      <c r="C155" s="65" t="e">
        <f>SUMPRODUCT(C131:C154,$B$63:$B$86)/$B$87</f>
        <v>#DIV/0!</v>
      </c>
      <c r="D155" s="65" t="e">
        <f t="shared" ref="D155:L155" si="173">SUMPRODUCT(D131:D154,$B$63:$B$86)/$B$87</f>
        <v>#DIV/0!</v>
      </c>
      <c r="E155" s="65" t="e">
        <f t="shared" si="173"/>
        <v>#DIV/0!</v>
      </c>
      <c r="F155" s="590" t="e">
        <f t="shared" si="173"/>
        <v>#DIV/0!</v>
      </c>
      <c r="G155" s="590" t="e">
        <f t="shared" si="173"/>
        <v>#DIV/0!</v>
      </c>
      <c r="H155" s="590" t="e">
        <f t="shared" si="173"/>
        <v>#DIV/0!</v>
      </c>
      <c r="I155" s="590" t="e">
        <f t="shared" si="173"/>
        <v>#DIV/0!</v>
      </c>
      <c r="J155" s="315" t="e">
        <f t="shared" si="173"/>
        <v>#DIV/0!</v>
      </c>
      <c r="K155" s="315" t="e">
        <f t="shared" si="173"/>
        <v>#DIV/0!</v>
      </c>
      <c r="L155" s="315" t="e">
        <f t="shared" si="173"/>
        <v>#DIV/0!</v>
      </c>
      <c r="M155" s="315" t="e">
        <f>SUMPRODUCT(M131:M154,$B$63:$B$86)/$B$87</f>
        <v>#DIV/0!</v>
      </c>
      <c r="N155" s="69">
        <f>SUM(N131:N154)</f>
        <v>0</v>
      </c>
      <c r="O155" s="67">
        <f>SUM(O131:O154)</f>
        <v>0</v>
      </c>
      <c r="P155" s="67">
        <f>SUM(P131:P154)</f>
        <v>0</v>
      </c>
      <c r="Q155" s="24">
        <f t="shared" ref="Q155" si="174">SUM(N155:P155)</f>
        <v>0</v>
      </c>
      <c r="R155" s="135">
        <f>SUM(R131:R154)</f>
        <v>0</v>
      </c>
      <c r="S155" s="23">
        <f t="shared" ref="S155" si="175">Q155+R155</f>
        <v>0</v>
      </c>
      <c r="T155" s="24">
        <f t="shared" si="139"/>
        <v>0</v>
      </c>
      <c r="U155" s="9">
        <f t="shared" ref="U155:V155" si="176">SUM(U131:U154)</f>
        <v>0</v>
      </c>
      <c r="V155" s="9">
        <f t="shared" si="176"/>
        <v>0</v>
      </c>
      <c r="W155" s="38">
        <f t="shared" si="140"/>
        <v>0</v>
      </c>
      <c r="X155" s="68">
        <f>W155/'Summary-all-crops'!C3</f>
        <v>0</v>
      </c>
    </row>
    <row r="156" spans="1:24" x14ac:dyDescent="0.25">
      <c r="A156" s="1"/>
      <c r="S156" s="24" t="b">
        <f>SUM(S131:S154)=S155</f>
        <v>1</v>
      </c>
      <c r="T156" s="70"/>
    </row>
    <row r="157" spans="1:24" x14ac:dyDescent="0.25">
      <c r="A157" s="1"/>
      <c r="F157" s="2"/>
    </row>
    <row r="158" spans="1:24" x14ac:dyDescent="0.25">
      <c r="A158" s="1" t="s">
        <v>369</v>
      </c>
    </row>
    <row r="160" spans="1:24" ht="42.6" customHeight="1" x14ac:dyDescent="0.25">
      <c r="A160" s="838" t="s">
        <v>101</v>
      </c>
      <c r="B160" s="839" t="s">
        <v>370</v>
      </c>
      <c r="C160" s="839"/>
      <c r="D160" s="839"/>
      <c r="E160" s="839"/>
    </row>
    <row r="161" spans="1:6" x14ac:dyDescent="0.25">
      <c r="A161" s="838"/>
      <c r="F161" s="11"/>
    </row>
    <row r="162" spans="1:6" x14ac:dyDescent="0.25">
      <c r="A162" s="838"/>
      <c r="B162" s="1" t="s">
        <v>136</v>
      </c>
      <c r="C162" s="1" t="s">
        <v>137</v>
      </c>
      <c r="D162" s="1" t="s">
        <v>289</v>
      </c>
      <c r="E162" s="1" t="s">
        <v>120</v>
      </c>
      <c r="F162" s="11"/>
    </row>
    <row r="163" spans="1:6" x14ac:dyDescent="0.25">
      <c r="A163" s="13" t="s">
        <v>139</v>
      </c>
      <c r="B163" s="45" t="e">
        <f>$D$22*(K33)+$E$22*(K63)</f>
        <v>#DIV/0!</v>
      </c>
      <c r="C163" s="45" t="e">
        <f>$D$22*(L33)+$E$22*(L63)</f>
        <v>#DIV/0!</v>
      </c>
      <c r="D163" s="45" t="e">
        <f>$D$22*(M33)+$E$22*(M63)</f>
        <v>#DIV/0!</v>
      </c>
      <c r="E163" s="23" t="e">
        <f>SUM(B163:D163)</f>
        <v>#DIV/0!</v>
      </c>
    </row>
    <row r="164" spans="1:6" x14ac:dyDescent="0.25">
      <c r="A164" s="13" t="s">
        <v>140</v>
      </c>
      <c r="B164" s="45" t="e">
        <f t="shared" ref="B164:D164" si="177">$D$22*(K34)+$E$22*(K64)</f>
        <v>#DIV/0!</v>
      </c>
      <c r="C164" s="45" t="e">
        <f t="shared" si="177"/>
        <v>#DIV/0!</v>
      </c>
      <c r="D164" s="45" t="e">
        <f t="shared" si="177"/>
        <v>#DIV/0!</v>
      </c>
      <c r="E164" s="23" t="e">
        <f t="shared" ref="E164:E186" si="178">SUM(B164:D164)</f>
        <v>#DIV/0!</v>
      </c>
    </row>
    <row r="165" spans="1:6" x14ac:dyDescent="0.25">
      <c r="A165" s="13" t="s">
        <v>141</v>
      </c>
      <c r="B165" s="45" t="e">
        <f t="shared" ref="B165:D165" si="179">$D$22*(K35)+$E$22*(K65)</f>
        <v>#DIV/0!</v>
      </c>
      <c r="C165" s="45" t="e">
        <f t="shared" si="179"/>
        <v>#DIV/0!</v>
      </c>
      <c r="D165" s="45" t="e">
        <f t="shared" si="179"/>
        <v>#DIV/0!</v>
      </c>
      <c r="E165" s="23" t="e">
        <f t="shared" si="178"/>
        <v>#DIV/0!</v>
      </c>
    </row>
    <row r="166" spans="1:6" x14ac:dyDescent="0.25">
      <c r="A166" s="13" t="s">
        <v>142</v>
      </c>
      <c r="B166" s="45" t="e">
        <f t="shared" ref="B166:D166" si="180">$D$22*(K36)+$E$22*(K66)</f>
        <v>#DIV/0!</v>
      </c>
      <c r="C166" s="45" t="e">
        <f t="shared" si="180"/>
        <v>#DIV/0!</v>
      </c>
      <c r="D166" s="45" t="e">
        <f t="shared" si="180"/>
        <v>#DIV/0!</v>
      </c>
      <c r="E166" s="23" t="e">
        <f t="shared" si="178"/>
        <v>#DIV/0!</v>
      </c>
    </row>
    <row r="167" spans="1:6" x14ac:dyDescent="0.25">
      <c r="A167" s="13" t="s">
        <v>143</v>
      </c>
      <c r="B167" s="45" t="e">
        <f t="shared" ref="B167:D167" si="181">$D$22*(K37)+$E$22*(K67)</f>
        <v>#DIV/0!</v>
      </c>
      <c r="C167" s="45" t="e">
        <f t="shared" si="181"/>
        <v>#DIV/0!</v>
      </c>
      <c r="D167" s="45" t="e">
        <f t="shared" si="181"/>
        <v>#DIV/0!</v>
      </c>
      <c r="E167" s="23" t="e">
        <f t="shared" si="178"/>
        <v>#DIV/0!</v>
      </c>
    </row>
    <row r="168" spans="1:6" x14ac:dyDescent="0.25">
      <c r="A168" s="13" t="s">
        <v>144</v>
      </c>
      <c r="B168" s="45" t="e">
        <f t="shared" ref="B168:D168" si="182">$D$22*(K38)+$E$22*(K68)</f>
        <v>#DIV/0!</v>
      </c>
      <c r="C168" s="45" t="e">
        <f t="shared" si="182"/>
        <v>#DIV/0!</v>
      </c>
      <c r="D168" s="45" t="e">
        <f t="shared" si="182"/>
        <v>#DIV/0!</v>
      </c>
      <c r="E168" s="23" t="e">
        <f t="shared" si="178"/>
        <v>#DIV/0!</v>
      </c>
    </row>
    <row r="169" spans="1:6" x14ac:dyDescent="0.25">
      <c r="A169" s="13" t="s">
        <v>145</v>
      </c>
      <c r="B169" s="45" t="e">
        <f t="shared" ref="B169:D169" si="183">$D$22*(K39)+$E$22*(K69)</f>
        <v>#DIV/0!</v>
      </c>
      <c r="C169" s="45" t="e">
        <f t="shared" si="183"/>
        <v>#DIV/0!</v>
      </c>
      <c r="D169" s="45" t="e">
        <f t="shared" si="183"/>
        <v>#DIV/0!</v>
      </c>
      <c r="E169" s="23" t="e">
        <f t="shared" si="178"/>
        <v>#DIV/0!</v>
      </c>
    </row>
    <row r="170" spans="1:6" x14ac:dyDescent="0.25">
      <c r="A170" s="13" t="s">
        <v>146</v>
      </c>
      <c r="B170" s="45" t="e">
        <f t="shared" ref="B170:D170" si="184">$D$22*(K40)+$E$22*(K70)</f>
        <v>#DIV/0!</v>
      </c>
      <c r="C170" s="45" t="e">
        <f t="shared" si="184"/>
        <v>#DIV/0!</v>
      </c>
      <c r="D170" s="45" t="e">
        <f t="shared" si="184"/>
        <v>#DIV/0!</v>
      </c>
      <c r="E170" s="23" t="e">
        <f t="shared" si="178"/>
        <v>#DIV/0!</v>
      </c>
    </row>
    <row r="171" spans="1:6" x14ac:dyDescent="0.25">
      <c r="A171" s="13" t="s">
        <v>147</v>
      </c>
      <c r="B171" s="45" t="e">
        <f t="shared" ref="B171:D171" si="185">$D$22*(K41)+$E$22*(K71)</f>
        <v>#DIV/0!</v>
      </c>
      <c r="C171" s="45" t="e">
        <f t="shared" si="185"/>
        <v>#DIV/0!</v>
      </c>
      <c r="D171" s="45" t="e">
        <f t="shared" si="185"/>
        <v>#DIV/0!</v>
      </c>
      <c r="E171" s="23" t="e">
        <f t="shared" si="178"/>
        <v>#DIV/0!</v>
      </c>
    </row>
    <row r="172" spans="1:6" x14ac:dyDescent="0.25">
      <c r="A172" s="13" t="s">
        <v>148</v>
      </c>
      <c r="B172" s="45" t="e">
        <f t="shared" ref="B172:D172" si="186">$D$22*(K42)+$E$22*(K72)</f>
        <v>#DIV/0!</v>
      </c>
      <c r="C172" s="45" t="e">
        <f t="shared" si="186"/>
        <v>#DIV/0!</v>
      </c>
      <c r="D172" s="45" t="e">
        <f t="shared" si="186"/>
        <v>#DIV/0!</v>
      </c>
      <c r="E172" s="23" t="e">
        <f t="shared" si="178"/>
        <v>#DIV/0!</v>
      </c>
    </row>
    <row r="173" spans="1:6" x14ac:dyDescent="0.25">
      <c r="A173" s="13" t="s">
        <v>149</v>
      </c>
      <c r="B173" s="45" t="e">
        <f t="shared" ref="B173:D173" si="187">$D$22*(K43)+$E$22*(K73)</f>
        <v>#DIV/0!</v>
      </c>
      <c r="C173" s="45" t="e">
        <f t="shared" si="187"/>
        <v>#DIV/0!</v>
      </c>
      <c r="D173" s="45" t="e">
        <f t="shared" si="187"/>
        <v>#DIV/0!</v>
      </c>
      <c r="E173" s="23" t="e">
        <f t="shared" si="178"/>
        <v>#DIV/0!</v>
      </c>
    </row>
    <row r="174" spans="1:6" x14ac:dyDescent="0.25">
      <c r="A174" s="13" t="s">
        <v>150</v>
      </c>
      <c r="B174" s="45" t="e">
        <f t="shared" ref="B174:D174" si="188">$D$22*(K44)+$E$22*(K74)</f>
        <v>#DIV/0!</v>
      </c>
      <c r="C174" s="45" t="e">
        <f t="shared" si="188"/>
        <v>#DIV/0!</v>
      </c>
      <c r="D174" s="45" t="e">
        <f t="shared" si="188"/>
        <v>#DIV/0!</v>
      </c>
      <c r="E174" s="23" t="e">
        <f t="shared" si="178"/>
        <v>#DIV/0!</v>
      </c>
    </row>
    <row r="175" spans="1:6" x14ac:dyDescent="0.25">
      <c r="A175" s="13" t="s">
        <v>151</v>
      </c>
      <c r="B175" s="45" t="e">
        <f t="shared" ref="B175:D175" si="189">$D$22*(K45)+$E$22*(K75)</f>
        <v>#DIV/0!</v>
      </c>
      <c r="C175" s="45" t="e">
        <f t="shared" si="189"/>
        <v>#DIV/0!</v>
      </c>
      <c r="D175" s="45" t="e">
        <f t="shared" si="189"/>
        <v>#DIV/0!</v>
      </c>
      <c r="E175" s="23" t="e">
        <f t="shared" si="178"/>
        <v>#DIV/0!</v>
      </c>
    </row>
    <row r="176" spans="1:6" x14ac:dyDescent="0.25">
      <c r="A176" s="13" t="s">
        <v>152</v>
      </c>
      <c r="B176" s="45" t="e">
        <f t="shared" ref="B176:D176" si="190">$D$22*(K46)+$E$22*(K76)</f>
        <v>#DIV/0!</v>
      </c>
      <c r="C176" s="45" t="e">
        <f t="shared" si="190"/>
        <v>#DIV/0!</v>
      </c>
      <c r="D176" s="45" t="e">
        <f t="shared" si="190"/>
        <v>#DIV/0!</v>
      </c>
      <c r="E176" s="23" t="e">
        <f t="shared" si="178"/>
        <v>#DIV/0!</v>
      </c>
    </row>
    <row r="177" spans="1:8" x14ac:dyDescent="0.25">
      <c r="A177" s="13" t="s">
        <v>153</v>
      </c>
      <c r="B177" s="45" t="e">
        <f t="shared" ref="B177:D177" si="191">$D$22*(K47)+$E$22*(K77)</f>
        <v>#DIV/0!</v>
      </c>
      <c r="C177" s="45" t="e">
        <f t="shared" si="191"/>
        <v>#DIV/0!</v>
      </c>
      <c r="D177" s="45" t="e">
        <f t="shared" si="191"/>
        <v>#DIV/0!</v>
      </c>
      <c r="E177" s="23" t="e">
        <f t="shared" si="178"/>
        <v>#DIV/0!</v>
      </c>
    </row>
    <row r="178" spans="1:8" x14ac:dyDescent="0.25">
      <c r="A178" s="13" t="s">
        <v>154</v>
      </c>
      <c r="B178" s="45" t="e">
        <f t="shared" ref="B178:D178" si="192">$D$22*(K48)+$E$22*(K78)</f>
        <v>#DIV/0!</v>
      </c>
      <c r="C178" s="45" t="e">
        <f t="shared" si="192"/>
        <v>#DIV/0!</v>
      </c>
      <c r="D178" s="45" t="e">
        <f t="shared" si="192"/>
        <v>#DIV/0!</v>
      </c>
      <c r="E178" s="23" t="e">
        <f t="shared" si="178"/>
        <v>#DIV/0!</v>
      </c>
    </row>
    <row r="179" spans="1:8" x14ac:dyDescent="0.25">
      <c r="A179" s="13" t="s">
        <v>155</v>
      </c>
      <c r="B179" s="45" t="e">
        <f t="shared" ref="B179:D179" si="193">$D$22*(K49)+$E$22*(K79)</f>
        <v>#DIV/0!</v>
      </c>
      <c r="C179" s="45" t="e">
        <f t="shared" si="193"/>
        <v>#DIV/0!</v>
      </c>
      <c r="D179" s="45" t="e">
        <f t="shared" si="193"/>
        <v>#DIV/0!</v>
      </c>
      <c r="E179" s="23" t="e">
        <f t="shared" si="178"/>
        <v>#DIV/0!</v>
      </c>
    </row>
    <row r="180" spans="1:8" x14ac:dyDescent="0.25">
      <c r="A180" s="13" t="s">
        <v>156</v>
      </c>
      <c r="B180" s="45" t="e">
        <f t="shared" ref="B180:D180" si="194">$D$22*(K50)+$E$22*(K80)</f>
        <v>#DIV/0!</v>
      </c>
      <c r="C180" s="45" t="e">
        <f t="shared" si="194"/>
        <v>#DIV/0!</v>
      </c>
      <c r="D180" s="45" t="e">
        <f t="shared" si="194"/>
        <v>#DIV/0!</v>
      </c>
      <c r="E180" s="23" t="e">
        <f t="shared" si="178"/>
        <v>#DIV/0!</v>
      </c>
    </row>
    <row r="181" spans="1:8" x14ac:dyDescent="0.25">
      <c r="A181" s="13" t="s">
        <v>157</v>
      </c>
      <c r="B181" s="45" t="e">
        <f t="shared" ref="B181:D181" si="195">$D$22*(K51)+$E$22*(K81)</f>
        <v>#DIV/0!</v>
      </c>
      <c r="C181" s="45" t="e">
        <f t="shared" si="195"/>
        <v>#DIV/0!</v>
      </c>
      <c r="D181" s="45" t="e">
        <f t="shared" si="195"/>
        <v>#DIV/0!</v>
      </c>
      <c r="E181" s="23" t="e">
        <f t="shared" si="178"/>
        <v>#DIV/0!</v>
      </c>
    </row>
    <row r="182" spans="1:8" x14ac:dyDescent="0.25">
      <c r="A182" s="13" t="s">
        <v>158</v>
      </c>
      <c r="B182" s="45" t="e">
        <f t="shared" ref="B182:D182" si="196">$D$22*(K52)+$E$22*(K82)</f>
        <v>#DIV/0!</v>
      </c>
      <c r="C182" s="45" t="e">
        <f t="shared" si="196"/>
        <v>#DIV/0!</v>
      </c>
      <c r="D182" s="45" t="e">
        <f t="shared" si="196"/>
        <v>#DIV/0!</v>
      </c>
      <c r="E182" s="23" t="e">
        <f t="shared" si="178"/>
        <v>#DIV/0!</v>
      </c>
    </row>
    <row r="183" spans="1:8" x14ac:dyDescent="0.25">
      <c r="A183" s="13" t="s">
        <v>159</v>
      </c>
      <c r="B183" s="45" t="e">
        <f t="shared" ref="B183:D183" si="197">$D$22*(K53)+$E$22*(K83)</f>
        <v>#DIV/0!</v>
      </c>
      <c r="C183" s="45" t="e">
        <f t="shared" si="197"/>
        <v>#DIV/0!</v>
      </c>
      <c r="D183" s="45" t="e">
        <f t="shared" si="197"/>
        <v>#DIV/0!</v>
      </c>
      <c r="E183" s="23" t="e">
        <f t="shared" si="178"/>
        <v>#DIV/0!</v>
      </c>
    </row>
    <row r="184" spans="1:8" x14ac:dyDescent="0.25">
      <c r="A184" s="13" t="s">
        <v>160</v>
      </c>
      <c r="B184" s="45" t="e">
        <f t="shared" ref="B184:D184" si="198">$D$22*(K54)+$E$22*(K84)</f>
        <v>#DIV/0!</v>
      </c>
      <c r="C184" s="45" t="e">
        <f t="shared" si="198"/>
        <v>#DIV/0!</v>
      </c>
      <c r="D184" s="45" t="e">
        <f t="shared" si="198"/>
        <v>#DIV/0!</v>
      </c>
      <c r="E184" s="23" t="e">
        <f t="shared" si="178"/>
        <v>#DIV/0!</v>
      </c>
    </row>
    <row r="185" spans="1:8" x14ac:dyDescent="0.25">
      <c r="A185" s="13" t="s">
        <v>161</v>
      </c>
      <c r="B185" s="45" t="e">
        <f t="shared" ref="B185:D185" si="199">$D$22*(K55)+$E$22*(K85)</f>
        <v>#DIV/0!</v>
      </c>
      <c r="C185" s="45" t="e">
        <f t="shared" si="199"/>
        <v>#DIV/0!</v>
      </c>
      <c r="D185" s="45" t="e">
        <f t="shared" si="199"/>
        <v>#DIV/0!</v>
      </c>
      <c r="E185" s="23" t="e">
        <f t="shared" si="178"/>
        <v>#DIV/0!</v>
      </c>
    </row>
    <row r="186" spans="1:8" x14ac:dyDescent="0.25">
      <c r="A186" s="13" t="s">
        <v>162</v>
      </c>
      <c r="B186" s="45" t="e">
        <f t="shared" ref="B186:D186" si="200">$D$22*(K56)+$E$22*(K86)</f>
        <v>#DIV/0!</v>
      </c>
      <c r="C186" s="45" t="e">
        <f t="shared" si="200"/>
        <v>#DIV/0!</v>
      </c>
      <c r="D186" s="45" t="e">
        <f t="shared" si="200"/>
        <v>#DIV/0!</v>
      </c>
      <c r="E186" s="23" t="e">
        <f t="shared" si="178"/>
        <v>#DIV/0!</v>
      </c>
    </row>
    <row r="187" spans="1:8" x14ac:dyDescent="0.25">
      <c r="A187" s="1" t="s">
        <v>163</v>
      </c>
      <c r="B187" s="23" t="e">
        <f>SUM(B163:B186)</f>
        <v>#DIV/0!</v>
      </c>
      <c r="C187" s="23" t="e">
        <f t="shared" ref="C187:D187" si="201">SUM(C163:C186)</f>
        <v>#DIV/0!</v>
      </c>
      <c r="D187" s="23" t="e">
        <f t="shared" si="201"/>
        <v>#DIV/0!</v>
      </c>
      <c r="E187" s="23" t="e">
        <f>SUM(B187:D187)</f>
        <v>#DIV/0!</v>
      </c>
      <c r="G187" s="1"/>
      <c r="H187" s="1"/>
    </row>
    <row r="188" spans="1:8" x14ac:dyDescent="0.25">
      <c r="G188" s="1"/>
      <c r="H188" s="1"/>
    </row>
    <row r="189" spans="1:8" ht="18.75" x14ac:dyDescent="0.3">
      <c r="A189" s="12" t="s">
        <v>432</v>
      </c>
    </row>
    <row r="190" spans="1:8" x14ac:dyDescent="0.25">
      <c r="A190" t="s">
        <v>372</v>
      </c>
      <c r="C190" s="24">
        <f>'Cereals-all-year'!K2</f>
        <v>134280440000</v>
      </c>
    </row>
    <row r="191" spans="1:8" ht="15.75" thickBot="1" x14ac:dyDescent="0.3">
      <c r="A191" t="s">
        <v>373</v>
      </c>
      <c r="C191" s="24">
        <f>'Cereals-all-year'!K3</f>
        <v>46690000000</v>
      </c>
    </row>
    <row r="192" spans="1:8" x14ac:dyDescent="0.25">
      <c r="A192" s="853"/>
      <c r="B192" s="798" t="s">
        <v>374</v>
      </c>
      <c r="C192" s="848"/>
      <c r="D192" s="848"/>
      <c r="E192" s="848"/>
      <c r="F192" s="849"/>
      <c r="G192" s="855" t="s">
        <v>367</v>
      </c>
      <c r="H192" s="22"/>
    </row>
    <row r="193" spans="1:8" x14ac:dyDescent="0.25">
      <c r="A193" s="854"/>
      <c r="B193" s="15" t="s">
        <v>375</v>
      </c>
      <c r="C193" s="16" t="s">
        <v>376</v>
      </c>
      <c r="D193" s="16" t="s">
        <v>377</v>
      </c>
      <c r="E193" s="16" t="s">
        <v>378</v>
      </c>
      <c r="F193" s="16" t="s">
        <v>379</v>
      </c>
      <c r="G193" s="856"/>
      <c r="H193" s="22"/>
    </row>
    <row r="194" spans="1:8" x14ac:dyDescent="0.25">
      <c r="A194" s="13" t="s">
        <v>139</v>
      </c>
      <c r="B194" s="43" t="e">
        <f>R33+R63</f>
        <v>#DIV/0!</v>
      </c>
      <c r="C194" s="14">
        <f>N96</f>
        <v>0</v>
      </c>
      <c r="D194" s="14">
        <f>W131</f>
        <v>0</v>
      </c>
      <c r="E194" s="14" t="e">
        <f>E163</f>
        <v>#DIV/0!</v>
      </c>
      <c r="F194" s="48" t="e">
        <f>SUM(B194:E194)</f>
        <v>#DIV/0!</v>
      </c>
      <c r="G194" s="150" t="e">
        <f>F194/$C$191</f>
        <v>#DIV/0!</v>
      </c>
      <c r="H194" s="61"/>
    </row>
    <row r="195" spans="1:8" x14ac:dyDescent="0.25">
      <c r="A195" s="13" t="s">
        <v>140</v>
      </c>
      <c r="B195" s="43" t="e">
        <f t="shared" ref="B195:B217" si="202">R34+R64</f>
        <v>#DIV/0!</v>
      </c>
      <c r="C195" s="14">
        <f t="shared" ref="C195:C217" si="203">N97</f>
        <v>0</v>
      </c>
      <c r="D195" s="14">
        <f t="shared" ref="D195:D217" si="204">W132</f>
        <v>0</v>
      </c>
      <c r="E195" s="14" t="e">
        <f t="shared" ref="E195:E217" si="205">E164</f>
        <v>#DIV/0!</v>
      </c>
      <c r="F195" s="48" t="e">
        <f t="shared" ref="F195:F217" si="206">SUM(B195:E195)</f>
        <v>#DIV/0!</v>
      </c>
      <c r="G195" s="150" t="e">
        <f t="shared" ref="G195:G217" si="207">F195/$C$191</f>
        <v>#DIV/0!</v>
      </c>
      <c r="H195" s="61"/>
    </row>
    <row r="196" spans="1:8" x14ac:dyDescent="0.25">
      <c r="A196" s="13" t="s">
        <v>141</v>
      </c>
      <c r="B196" s="43" t="e">
        <f t="shared" si="202"/>
        <v>#DIV/0!</v>
      </c>
      <c r="C196" s="14">
        <f t="shared" si="203"/>
        <v>0</v>
      </c>
      <c r="D196" s="14">
        <f t="shared" si="204"/>
        <v>0</v>
      </c>
      <c r="E196" s="14" t="e">
        <f t="shared" si="205"/>
        <v>#DIV/0!</v>
      </c>
      <c r="F196" s="48" t="e">
        <f t="shared" si="206"/>
        <v>#DIV/0!</v>
      </c>
      <c r="G196" s="150" t="e">
        <f t="shared" si="207"/>
        <v>#DIV/0!</v>
      </c>
      <c r="H196" s="61"/>
    </row>
    <row r="197" spans="1:8" x14ac:dyDescent="0.25">
      <c r="A197" s="13" t="s">
        <v>142</v>
      </c>
      <c r="B197" s="43" t="e">
        <f t="shared" si="202"/>
        <v>#DIV/0!</v>
      </c>
      <c r="C197" s="14">
        <f t="shared" si="203"/>
        <v>0</v>
      </c>
      <c r="D197" s="14">
        <f t="shared" si="204"/>
        <v>0</v>
      </c>
      <c r="E197" s="14" t="e">
        <f t="shared" si="205"/>
        <v>#DIV/0!</v>
      </c>
      <c r="F197" s="48" t="e">
        <f t="shared" si="206"/>
        <v>#DIV/0!</v>
      </c>
      <c r="G197" s="150" t="e">
        <f t="shared" si="207"/>
        <v>#DIV/0!</v>
      </c>
      <c r="H197" s="61"/>
    </row>
    <row r="198" spans="1:8" x14ac:dyDescent="0.25">
      <c r="A198" s="13" t="s">
        <v>143</v>
      </c>
      <c r="B198" s="43" t="e">
        <f t="shared" si="202"/>
        <v>#DIV/0!</v>
      </c>
      <c r="C198" s="14">
        <f t="shared" si="203"/>
        <v>0</v>
      </c>
      <c r="D198" s="14">
        <f t="shared" si="204"/>
        <v>0</v>
      </c>
      <c r="E198" s="14" t="e">
        <f t="shared" si="205"/>
        <v>#DIV/0!</v>
      </c>
      <c r="F198" s="48" t="e">
        <f t="shared" si="206"/>
        <v>#DIV/0!</v>
      </c>
      <c r="G198" s="150" t="e">
        <f t="shared" si="207"/>
        <v>#DIV/0!</v>
      </c>
      <c r="H198" s="61"/>
    </row>
    <row r="199" spans="1:8" x14ac:dyDescent="0.25">
      <c r="A199" s="13" t="s">
        <v>144</v>
      </c>
      <c r="B199" s="43" t="e">
        <f t="shared" si="202"/>
        <v>#DIV/0!</v>
      </c>
      <c r="C199" s="14">
        <f t="shared" si="203"/>
        <v>0</v>
      </c>
      <c r="D199" s="14">
        <f t="shared" si="204"/>
        <v>0</v>
      </c>
      <c r="E199" s="14" t="e">
        <f t="shared" si="205"/>
        <v>#DIV/0!</v>
      </c>
      <c r="F199" s="48" t="e">
        <f t="shared" si="206"/>
        <v>#DIV/0!</v>
      </c>
      <c r="G199" s="150" t="e">
        <f t="shared" si="207"/>
        <v>#DIV/0!</v>
      </c>
      <c r="H199" s="61"/>
    </row>
    <row r="200" spans="1:8" x14ac:dyDescent="0.25">
      <c r="A200" s="13" t="s">
        <v>145</v>
      </c>
      <c r="B200" s="43" t="e">
        <f t="shared" si="202"/>
        <v>#DIV/0!</v>
      </c>
      <c r="C200" s="14">
        <f t="shared" si="203"/>
        <v>0</v>
      </c>
      <c r="D200" s="14">
        <f t="shared" si="204"/>
        <v>0</v>
      </c>
      <c r="E200" s="14" t="e">
        <f t="shared" si="205"/>
        <v>#DIV/0!</v>
      </c>
      <c r="F200" s="48" t="e">
        <f t="shared" si="206"/>
        <v>#DIV/0!</v>
      </c>
      <c r="G200" s="150" t="e">
        <f t="shared" si="207"/>
        <v>#DIV/0!</v>
      </c>
      <c r="H200" s="61"/>
    </row>
    <row r="201" spans="1:8" x14ac:dyDescent="0.25">
      <c r="A201" s="13" t="s">
        <v>146</v>
      </c>
      <c r="B201" s="43" t="e">
        <f t="shared" si="202"/>
        <v>#DIV/0!</v>
      </c>
      <c r="C201" s="14">
        <f t="shared" si="203"/>
        <v>0</v>
      </c>
      <c r="D201" s="14">
        <f t="shared" si="204"/>
        <v>0</v>
      </c>
      <c r="E201" s="14" t="e">
        <f t="shared" si="205"/>
        <v>#DIV/0!</v>
      </c>
      <c r="F201" s="48" t="e">
        <f t="shared" si="206"/>
        <v>#DIV/0!</v>
      </c>
      <c r="G201" s="150" t="e">
        <f t="shared" si="207"/>
        <v>#DIV/0!</v>
      </c>
      <c r="H201" s="61"/>
    </row>
    <row r="202" spans="1:8" x14ac:dyDescent="0.25">
      <c r="A202" s="13" t="s">
        <v>147</v>
      </c>
      <c r="B202" s="43" t="e">
        <f t="shared" si="202"/>
        <v>#DIV/0!</v>
      </c>
      <c r="C202" s="14">
        <f t="shared" si="203"/>
        <v>0</v>
      </c>
      <c r="D202" s="14">
        <f t="shared" si="204"/>
        <v>0</v>
      </c>
      <c r="E202" s="14" t="e">
        <f t="shared" si="205"/>
        <v>#DIV/0!</v>
      </c>
      <c r="F202" s="48" t="e">
        <f t="shared" si="206"/>
        <v>#DIV/0!</v>
      </c>
      <c r="G202" s="150" t="e">
        <f t="shared" si="207"/>
        <v>#DIV/0!</v>
      </c>
      <c r="H202" s="61"/>
    </row>
    <row r="203" spans="1:8" x14ac:dyDescent="0.25">
      <c r="A203" s="13" t="s">
        <v>148</v>
      </c>
      <c r="B203" s="43" t="e">
        <f t="shared" si="202"/>
        <v>#DIV/0!</v>
      </c>
      <c r="C203" s="14">
        <f t="shared" si="203"/>
        <v>0</v>
      </c>
      <c r="D203" s="14">
        <f t="shared" si="204"/>
        <v>0</v>
      </c>
      <c r="E203" s="14" t="e">
        <f t="shared" si="205"/>
        <v>#DIV/0!</v>
      </c>
      <c r="F203" s="48" t="e">
        <f t="shared" si="206"/>
        <v>#DIV/0!</v>
      </c>
      <c r="G203" s="150" t="e">
        <f t="shared" si="207"/>
        <v>#DIV/0!</v>
      </c>
      <c r="H203" s="61"/>
    </row>
    <row r="204" spans="1:8" x14ac:dyDescent="0.25">
      <c r="A204" s="13" t="s">
        <v>149</v>
      </c>
      <c r="B204" s="43" t="e">
        <f t="shared" si="202"/>
        <v>#DIV/0!</v>
      </c>
      <c r="C204" s="14">
        <f t="shared" si="203"/>
        <v>0</v>
      </c>
      <c r="D204" s="14">
        <f t="shared" si="204"/>
        <v>0</v>
      </c>
      <c r="E204" s="14" t="e">
        <f t="shared" si="205"/>
        <v>#DIV/0!</v>
      </c>
      <c r="F204" s="48" t="e">
        <f t="shared" si="206"/>
        <v>#DIV/0!</v>
      </c>
      <c r="G204" s="150" t="e">
        <f t="shared" si="207"/>
        <v>#DIV/0!</v>
      </c>
      <c r="H204" s="61"/>
    </row>
    <row r="205" spans="1:8" x14ac:dyDescent="0.25">
      <c r="A205" s="13" t="s">
        <v>150</v>
      </c>
      <c r="B205" s="43" t="e">
        <f t="shared" si="202"/>
        <v>#DIV/0!</v>
      </c>
      <c r="C205" s="14">
        <f t="shared" si="203"/>
        <v>0</v>
      </c>
      <c r="D205" s="14">
        <f t="shared" si="204"/>
        <v>0</v>
      </c>
      <c r="E205" s="14" t="e">
        <f t="shared" si="205"/>
        <v>#DIV/0!</v>
      </c>
      <c r="F205" s="48" t="e">
        <f t="shared" si="206"/>
        <v>#DIV/0!</v>
      </c>
      <c r="G205" s="150" t="e">
        <f t="shared" si="207"/>
        <v>#DIV/0!</v>
      </c>
      <c r="H205" s="61"/>
    </row>
    <row r="206" spans="1:8" x14ac:dyDescent="0.25">
      <c r="A206" s="13" t="s">
        <v>151</v>
      </c>
      <c r="B206" s="43" t="e">
        <f t="shared" si="202"/>
        <v>#DIV/0!</v>
      </c>
      <c r="C206" s="14">
        <f t="shared" si="203"/>
        <v>0</v>
      </c>
      <c r="D206" s="14">
        <f t="shared" si="204"/>
        <v>0</v>
      </c>
      <c r="E206" s="14" t="e">
        <f t="shared" si="205"/>
        <v>#DIV/0!</v>
      </c>
      <c r="F206" s="48" t="e">
        <f t="shared" si="206"/>
        <v>#DIV/0!</v>
      </c>
      <c r="G206" s="150" t="e">
        <f t="shared" si="207"/>
        <v>#DIV/0!</v>
      </c>
      <c r="H206" s="61"/>
    </row>
    <row r="207" spans="1:8" x14ac:dyDescent="0.25">
      <c r="A207" s="13" t="s">
        <v>152</v>
      </c>
      <c r="B207" s="43" t="e">
        <f t="shared" si="202"/>
        <v>#DIV/0!</v>
      </c>
      <c r="C207" s="14">
        <f t="shared" si="203"/>
        <v>0</v>
      </c>
      <c r="D207" s="14">
        <f t="shared" si="204"/>
        <v>0</v>
      </c>
      <c r="E207" s="14" t="e">
        <f t="shared" si="205"/>
        <v>#DIV/0!</v>
      </c>
      <c r="F207" s="48" t="e">
        <f t="shared" si="206"/>
        <v>#DIV/0!</v>
      </c>
      <c r="G207" s="150" t="e">
        <f t="shared" si="207"/>
        <v>#DIV/0!</v>
      </c>
      <c r="H207" s="61"/>
    </row>
    <row r="208" spans="1:8" x14ac:dyDescent="0.25">
      <c r="A208" s="13" t="s">
        <v>162</v>
      </c>
      <c r="B208" s="43" t="e">
        <f t="shared" si="202"/>
        <v>#DIV/0!</v>
      </c>
      <c r="C208" s="14">
        <f t="shared" si="203"/>
        <v>0</v>
      </c>
      <c r="D208" s="14">
        <f t="shared" si="204"/>
        <v>0</v>
      </c>
      <c r="E208" s="14" t="e">
        <f t="shared" si="205"/>
        <v>#DIV/0!</v>
      </c>
      <c r="F208" s="48" t="e">
        <f t="shared" si="206"/>
        <v>#DIV/0!</v>
      </c>
      <c r="G208" s="150" t="e">
        <f t="shared" si="207"/>
        <v>#DIV/0!</v>
      </c>
      <c r="H208" s="61"/>
    </row>
    <row r="209" spans="1:17" x14ac:dyDescent="0.25">
      <c r="A209" s="13" t="s">
        <v>154</v>
      </c>
      <c r="B209" s="43" t="e">
        <f t="shared" si="202"/>
        <v>#DIV/0!</v>
      </c>
      <c r="C209" s="14">
        <f t="shared" si="203"/>
        <v>0</v>
      </c>
      <c r="D209" s="14">
        <f t="shared" si="204"/>
        <v>0</v>
      </c>
      <c r="E209" s="14" t="e">
        <f t="shared" si="205"/>
        <v>#DIV/0!</v>
      </c>
      <c r="F209" s="48" t="e">
        <f t="shared" si="206"/>
        <v>#DIV/0!</v>
      </c>
      <c r="G209" s="150" t="e">
        <f t="shared" si="207"/>
        <v>#DIV/0!</v>
      </c>
      <c r="H209" s="61"/>
      <c r="K209" s="1" t="s">
        <v>380</v>
      </c>
    </row>
    <row r="210" spans="1:17" x14ac:dyDescent="0.25">
      <c r="A210" s="13" t="s">
        <v>155</v>
      </c>
      <c r="B210" s="43" t="e">
        <f t="shared" si="202"/>
        <v>#DIV/0!</v>
      </c>
      <c r="C210" s="14">
        <f t="shared" si="203"/>
        <v>0</v>
      </c>
      <c r="D210" s="14">
        <f t="shared" si="204"/>
        <v>0</v>
      </c>
      <c r="E210" s="14" t="e">
        <f t="shared" si="205"/>
        <v>#DIV/0!</v>
      </c>
      <c r="F210" s="48" t="e">
        <f t="shared" si="206"/>
        <v>#DIV/0!</v>
      </c>
      <c r="G210" s="150" t="e">
        <f t="shared" si="207"/>
        <v>#DIV/0!</v>
      </c>
      <c r="H210" s="61"/>
      <c r="K210" t="s">
        <v>381</v>
      </c>
      <c r="L210" t="s">
        <v>382</v>
      </c>
      <c r="M210" t="s">
        <v>383</v>
      </c>
      <c r="N210" t="s">
        <v>384</v>
      </c>
      <c r="O210" t="s">
        <v>385</v>
      </c>
      <c r="P210" t="s">
        <v>386</v>
      </c>
      <c r="Q210" t="s">
        <v>213</v>
      </c>
    </row>
    <row r="211" spans="1:17" x14ac:dyDescent="0.25">
      <c r="A211" s="13" t="s">
        <v>156</v>
      </c>
      <c r="B211" s="43" t="e">
        <f t="shared" si="202"/>
        <v>#DIV/0!</v>
      </c>
      <c r="C211" s="14">
        <f t="shared" si="203"/>
        <v>0</v>
      </c>
      <c r="D211" s="14">
        <f t="shared" si="204"/>
        <v>0</v>
      </c>
      <c r="E211" s="14" t="e">
        <f t="shared" si="205"/>
        <v>#DIV/0!</v>
      </c>
      <c r="F211" s="48" t="e">
        <f t="shared" si="206"/>
        <v>#DIV/0!</v>
      </c>
      <c r="G211" s="150" t="e">
        <f t="shared" si="207"/>
        <v>#DIV/0!</v>
      </c>
      <c r="H211" s="61"/>
      <c r="J211" t="s">
        <v>387</v>
      </c>
      <c r="K211" s="186">
        <v>425</v>
      </c>
      <c r="L211" s="186">
        <v>395</v>
      </c>
      <c r="M211" s="186">
        <v>478</v>
      </c>
      <c r="N211" s="186">
        <v>460</v>
      </c>
      <c r="O211" s="186">
        <v>405</v>
      </c>
      <c r="P211" s="186">
        <v>539</v>
      </c>
      <c r="Q211" s="187">
        <f>SUMPRODUCT(K211:P211,K212:P212)/Q212</f>
        <v>450.92541087231353</v>
      </c>
    </row>
    <row r="212" spans="1:17" x14ac:dyDescent="0.25">
      <c r="A212" s="13" t="s">
        <v>157</v>
      </c>
      <c r="B212" s="43" t="e">
        <f t="shared" si="202"/>
        <v>#DIV/0!</v>
      </c>
      <c r="C212" s="14">
        <f t="shared" si="203"/>
        <v>0</v>
      </c>
      <c r="D212" s="14">
        <f t="shared" si="204"/>
        <v>0</v>
      </c>
      <c r="E212" s="14" t="e">
        <f t="shared" si="205"/>
        <v>#DIV/0!</v>
      </c>
      <c r="F212" s="48" t="e">
        <f t="shared" si="206"/>
        <v>#DIV/0!</v>
      </c>
      <c r="G212" s="150" t="e">
        <f t="shared" si="207"/>
        <v>#DIV/0!</v>
      </c>
      <c r="H212" s="61"/>
      <c r="J212" t="s">
        <v>388</v>
      </c>
      <c r="K212">
        <v>11.7</v>
      </c>
      <c r="L212">
        <v>12.3</v>
      </c>
      <c r="M212">
        <v>22.8</v>
      </c>
      <c r="N212">
        <v>45</v>
      </c>
      <c r="O212">
        <v>43.9</v>
      </c>
      <c r="P212">
        <v>22.5</v>
      </c>
      <c r="Q212" s="9">
        <f>SUM(K212:P212)</f>
        <v>158.19999999999999</v>
      </c>
    </row>
    <row r="213" spans="1:17" x14ac:dyDescent="0.25">
      <c r="A213" s="13" t="s">
        <v>158</v>
      </c>
      <c r="B213" s="43" t="e">
        <f t="shared" si="202"/>
        <v>#DIV/0!</v>
      </c>
      <c r="C213" s="14">
        <f t="shared" si="203"/>
        <v>0</v>
      </c>
      <c r="D213" s="14">
        <f t="shared" si="204"/>
        <v>0</v>
      </c>
      <c r="E213" s="14" t="e">
        <f t="shared" si="205"/>
        <v>#DIV/0!</v>
      </c>
      <c r="F213" s="48" t="e">
        <f t="shared" si="206"/>
        <v>#DIV/0!</v>
      </c>
      <c r="G213" s="150" t="e">
        <f t="shared" si="207"/>
        <v>#DIV/0!</v>
      </c>
      <c r="H213" s="61"/>
    </row>
    <row r="214" spans="1:17" x14ac:dyDescent="0.25">
      <c r="A214" s="13" t="s">
        <v>159</v>
      </c>
      <c r="B214" s="43" t="e">
        <f t="shared" si="202"/>
        <v>#DIV/0!</v>
      </c>
      <c r="C214" s="14">
        <f t="shared" si="203"/>
        <v>0</v>
      </c>
      <c r="D214" s="14">
        <f t="shared" si="204"/>
        <v>0</v>
      </c>
      <c r="E214" s="14" t="e">
        <f t="shared" si="205"/>
        <v>#DIV/0!</v>
      </c>
      <c r="F214" s="48" t="e">
        <f t="shared" si="206"/>
        <v>#DIV/0!</v>
      </c>
      <c r="G214" s="150" t="e">
        <f t="shared" si="207"/>
        <v>#DIV/0!</v>
      </c>
      <c r="H214" s="61"/>
      <c r="J214" t="s">
        <v>82</v>
      </c>
      <c r="K214" s="20" t="s">
        <v>389</v>
      </c>
      <c r="O214" s="20" t="s">
        <v>390</v>
      </c>
    </row>
    <row r="215" spans="1:17" x14ac:dyDescent="0.25">
      <c r="A215" s="13" t="s">
        <v>160</v>
      </c>
      <c r="B215" s="43" t="e">
        <f t="shared" si="202"/>
        <v>#DIV/0!</v>
      </c>
      <c r="C215" s="14">
        <f t="shared" si="203"/>
        <v>0</v>
      </c>
      <c r="D215" s="14">
        <f t="shared" si="204"/>
        <v>0</v>
      </c>
      <c r="E215" s="14" t="e">
        <f t="shared" si="205"/>
        <v>#DIV/0!</v>
      </c>
      <c r="F215" s="48" t="e">
        <f t="shared" si="206"/>
        <v>#DIV/0!</v>
      </c>
      <c r="G215" s="150" t="e">
        <f t="shared" si="207"/>
        <v>#DIV/0!</v>
      </c>
      <c r="H215" s="61"/>
      <c r="J215" s="838" t="s">
        <v>391</v>
      </c>
      <c r="K215" s="838"/>
      <c r="L215" s="838"/>
    </row>
    <row r="216" spans="1:17" x14ac:dyDescent="0.25">
      <c r="A216" s="13" t="s">
        <v>161</v>
      </c>
      <c r="B216" s="43" t="e">
        <f t="shared" si="202"/>
        <v>#DIV/0!</v>
      </c>
      <c r="C216" s="14">
        <f t="shared" si="203"/>
        <v>0</v>
      </c>
      <c r="D216" s="14">
        <f t="shared" si="204"/>
        <v>0</v>
      </c>
      <c r="E216" s="14" t="e">
        <f t="shared" si="205"/>
        <v>#DIV/0!</v>
      </c>
      <c r="F216" s="48" t="e">
        <f t="shared" si="206"/>
        <v>#DIV/0!</v>
      </c>
      <c r="G216" s="150" t="e">
        <f t="shared" si="207"/>
        <v>#DIV/0!</v>
      </c>
      <c r="H216" s="61"/>
      <c r="L216" t="s">
        <v>392</v>
      </c>
    </row>
    <row r="217" spans="1:17" x14ac:dyDescent="0.25">
      <c r="A217" s="143" t="s">
        <v>162</v>
      </c>
      <c r="B217" s="43" t="e">
        <f t="shared" si="202"/>
        <v>#DIV/0!</v>
      </c>
      <c r="C217" s="14">
        <f t="shared" si="203"/>
        <v>0</v>
      </c>
      <c r="D217" s="14">
        <f t="shared" si="204"/>
        <v>0</v>
      </c>
      <c r="E217" s="14" t="e">
        <f t="shared" si="205"/>
        <v>#DIV/0!</v>
      </c>
      <c r="F217" s="48" t="e">
        <f t="shared" si="206"/>
        <v>#DIV/0!</v>
      </c>
      <c r="G217" s="150" t="e">
        <f t="shared" si="207"/>
        <v>#DIV/0!</v>
      </c>
      <c r="H217" s="61"/>
      <c r="L217" s="188">
        <f>Q211</f>
        <v>450.92541087231353</v>
      </c>
    </row>
    <row r="218" spans="1:17" x14ac:dyDescent="0.25">
      <c r="A218" s="144" t="s">
        <v>163</v>
      </c>
      <c r="B218" s="46" t="e">
        <f>SUM(B194:B217)</f>
        <v>#DIV/0!</v>
      </c>
      <c r="C218" s="46">
        <f t="shared" ref="C218:E218" si="208">SUM(C194:C217)</f>
        <v>0</v>
      </c>
      <c r="D218" s="46">
        <f t="shared" si="208"/>
        <v>0</v>
      </c>
      <c r="E218" s="46" t="e">
        <f t="shared" si="208"/>
        <v>#DIV/0!</v>
      </c>
      <c r="F218" s="48" t="e">
        <f>SUM(B218:E218)</f>
        <v>#DIV/0!</v>
      </c>
      <c r="G218" s="150" t="e">
        <f t="shared" ref="G218" si="209">F218/$C$191</f>
        <v>#DIV/0!</v>
      </c>
      <c r="H218" s="61"/>
    </row>
    <row r="219" spans="1:17" ht="15.75" thickBot="1" x14ac:dyDescent="0.3">
      <c r="A219" s="145" t="s">
        <v>393</v>
      </c>
      <c r="B219" s="165" t="e">
        <f>B218/'Summary-all-crops'!$C$3</f>
        <v>#DIV/0!</v>
      </c>
      <c r="C219" s="165">
        <f>C218/'Summary-all-crops'!$C$3</f>
        <v>0</v>
      </c>
      <c r="D219" s="165">
        <f>D218/'Summary-all-crops'!$C$3</f>
        <v>0</v>
      </c>
      <c r="E219" s="165" t="e">
        <f>E218/'Summary-all-crops'!$C$3</f>
        <v>#DIV/0!</v>
      </c>
      <c r="F219" s="165" t="e">
        <f>F218/'Summary-all-crops'!$C$3</f>
        <v>#DIV/0!</v>
      </c>
      <c r="G219" s="166"/>
    </row>
    <row r="220" spans="1:17" x14ac:dyDescent="0.25">
      <c r="F220" s="92" t="e">
        <f>F218*K1</f>
        <v>#DIV/0!</v>
      </c>
      <c r="G220" s="147" t="e">
        <f>SUM(F194:F217)-F218</f>
        <v>#DIV/0!</v>
      </c>
    </row>
    <row r="222" spans="1:17" ht="43.35" customHeight="1" x14ac:dyDescent="0.25">
      <c r="A222" s="845" t="s">
        <v>706</v>
      </c>
      <c r="B222" s="845"/>
      <c r="C222" s="845"/>
      <c r="D222" s="845"/>
      <c r="E222" s="845"/>
      <c r="F222" s="845"/>
      <c r="G222" s="845"/>
      <c r="H222" s="845"/>
      <c r="I222" s="845"/>
      <c r="J222" s="845"/>
      <c r="K222" s="845"/>
      <c r="L222" s="845"/>
      <c r="M222" s="845"/>
      <c r="N222" s="845"/>
      <c r="O222" s="845"/>
      <c r="P222" s="845"/>
      <c r="Q222" s="845"/>
    </row>
    <row r="223" spans="1:17" x14ac:dyDescent="0.25">
      <c r="A223" s="24">
        <f>N57</f>
        <v>0</v>
      </c>
      <c r="B223" s="62" t="s">
        <v>395</v>
      </c>
      <c r="C223" s="6"/>
      <c r="D223" s="6"/>
      <c r="E223" s="6"/>
      <c r="F223" s="6"/>
      <c r="G223" s="6"/>
      <c r="H223" s="6"/>
      <c r="I223" s="6"/>
      <c r="J223" s="6"/>
      <c r="K223" s="6"/>
      <c r="L223" s="6"/>
      <c r="M223" s="6"/>
      <c r="N223" s="6"/>
      <c r="O223" s="6"/>
      <c r="P223" s="6"/>
      <c r="Q223" s="6"/>
    </row>
    <row r="224" spans="1:17" x14ac:dyDescent="0.25">
      <c r="A224" s="24">
        <f>N87</f>
        <v>0</v>
      </c>
      <c r="B224" s="62" t="s">
        <v>396</v>
      </c>
      <c r="C224" s="6"/>
      <c r="D224" s="6"/>
      <c r="E224" s="6"/>
      <c r="F224" s="6"/>
      <c r="G224" s="6"/>
      <c r="H224" s="6"/>
      <c r="I224" s="6"/>
      <c r="J224" s="6"/>
      <c r="K224" s="6"/>
      <c r="L224" s="6"/>
      <c r="M224" s="6"/>
      <c r="N224" s="6"/>
      <c r="O224" s="6"/>
      <c r="P224" s="6"/>
      <c r="Q224" s="6"/>
    </row>
    <row r="225" spans="1:17" x14ac:dyDescent="0.25">
      <c r="A225" s="24" t="e">
        <f>F218</f>
        <v>#DIV/0!</v>
      </c>
      <c r="B225" s="6" t="s">
        <v>397</v>
      </c>
      <c r="C225" s="24" t="e">
        <f>A225*K1</f>
        <v>#DIV/0!</v>
      </c>
      <c r="D225" s="6" t="s">
        <v>398</v>
      </c>
      <c r="E225" s="6"/>
      <c r="F225" s="176" t="e">
        <f>G218</f>
        <v>#DIV/0!</v>
      </c>
      <c r="G225" s="6" t="s">
        <v>399</v>
      </c>
      <c r="H225" s="6"/>
      <c r="I225" s="6"/>
      <c r="J225" s="6"/>
      <c r="K225" s="6"/>
      <c r="L225" s="6"/>
      <c r="M225" s="6"/>
      <c r="N225" s="6"/>
      <c r="O225" s="6"/>
      <c r="P225" s="6"/>
      <c r="Q225" s="6"/>
    </row>
  </sheetData>
  <mergeCells count="42">
    <mergeCell ref="AC10:AH13"/>
    <mergeCell ref="F16:G16"/>
    <mergeCell ref="J215:L215"/>
    <mergeCell ref="A222:Q222"/>
    <mergeCell ref="G31:J31"/>
    <mergeCell ref="K31:N31"/>
    <mergeCell ref="O31:R31"/>
    <mergeCell ref="C58:E58"/>
    <mergeCell ref="B31:B32"/>
    <mergeCell ref="C31:F31"/>
    <mergeCell ref="T129:T130"/>
    <mergeCell ref="W129:W130"/>
    <mergeCell ref="A160:A162"/>
    <mergeCell ref="B160:E160"/>
    <mergeCell ref="A192:A193"/>
    <mergeCell ref="B192:F192"/>
    <mergeCell ref="G192:G193"/>
    <mergeCell ref="A128:A129"/>
    <mergeCell ref="B128:F128"/>
    <mergeCell ref="C129:E129"/>
    <mergeCell ref="F129:I129"/>
    <mergeCell ref="J129:M129"/>
    <mergeCell ref="N129:Q129"/>
    <mergeCell ref="R129:R130"/>
    <mergeCell ref="S129:S130"/>
    <mergeCell ref="U61:W61"/>
    <mergeCell ref="K94:N94"/>
    <mergeCell ref="C88:E88"/>
    <mergeCell ref="A94:A95"/>
    <mergeCell ref="B94:B95"/>
    <mergeCell ref="C94:F94"/>
    <mergeCell ref="G94:J94"/>
    <mergeCell ref="B61:B62"/>
    <mergeCell ref="C61:F61"/>
    <mergeCell ref="G61:J61"/>
    <mergeCell ref="K61:N61"/>
    <mergeCell ref="O61:R61"/>
    <mergeCell ref="A1:E1"/>
    <mergeCell ref="D16:E16"/>
    <mergeCell ref="A17:B17"/>
    <mergeCell ref="A25:D25"/>
    <mergeCell ref="A26:B26"/>
  </mergeCells>
  <hyperlinks>
    <hyperlink ref="O60" r:id="rId1" display="https://www.semanticscholar.org/paper/Differences-in-grain%2Fstraw-ratio%2C-protein-content-Konvalina-Stehno/c8920241b02879926ffb06363c1fe2306dde4d96/figure/4" xr:uid="{7444A565-8BF0-49B0-AABC-3DBD8B3CA5C5}"/>
    <hyperlink ref="H60" r:id="rId2" xr:uid="{F9A3E503-ECE9-420E-888A-E43A7797BA4E}"/>
    <hyperlink ref="I127" r:id="rId3" xr:uid="{15431887-475E-4851-95F8-1296A6D01E60}"/>
    <hyperlink ref="X60" r:id="rId4" xr:uid="{40CAFBFA-7198-4142-999B-6BCE8788D909}"/>
    <hyperlink ref="K214" r:id="rId5" xr:uid="{162EA93F-DE17-4C17-8270-B0667C3144C7}"/>
    <hyperlink ref="O214" r:id="rId6" xr:uid="{7A037527-2BC2-44F3-B021-82C1714FF156}"/>
    <hyperlink ref="H122" r:id="rId7" xr:uid="{CA334E6C-3B98-4036-90EC-C430CBCD721D}"/>
    <hyperlink ref="H124" r:id="rId8" location=":~:text=The%20study%2C%20published%20today%20in,estimate%20of%20%2451%20per%20ton. " xr:uid="{B870B197-FF33-4F92-A62F-9CF3D8F639A4}"/>
  </hyperlinks>
  <pageMargins left="0.7" right="0.7" top="0.75" bottom="0.75" header="0.3" footer="0.3"/>
  <pageSetup orientation="portrait" r:id="rId9"/>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F3E79-4B5C-41BF-BD56-1D2E5F7839BC}">
  <dimension ref="A1:AO289"/>
  <sheetViews>
    <sheetView topLeftCell="A276" workbookViewId="0">
      <selection activeCell="E194" sqref="E194:G217"/>
    </sheetView>
  </sheetViews>
  <sheetFormatPr defaultRowHeight="15" x14ac:dyDescent="0.25"/>
  <cols>
    <col min="1" max="1" width="14.5703125" bestFit="1" customWidth="1"/>
    <col min="2" max="2" width="25.5703125" customWidth="1"/>
    <col min="3" max="3" width="24.5703125" customWidth="1"/>
    <col min="4" max="4" width="23.5703125" customWidth="1"/>
    <col min="5" max="5" width="23.140625" customWidth="1"/>
    <col min="6" max="6" width="26.42578125" customWidth="1"/>
    <col min="7" max="8" width="13.5703125" customWidth="1"/>
    <col min="9" max="9" width="9.42578125" customWidth="1"/>
    <col min="10" max="10" width="9.85546875" customWidth="1"/>
    <col min="11" max="11" width="14.85546875" customWidth="1"/>
    <col min="12" max="12" width="10.140625" customWidth="1"/>
    <col min="13" max="13" width="12.85546875" customWidth="1"/>
    <col min="14" max="14" width="15.5703125" customWidth="1"/>
    <col min="15" max="15" width="13.85546875" bestFit="1" customWidth="1"/>
    <col min="16" max="16" width="14.42578125" customWidth="1"/>
    <col min="17" max="17" width="13.85546875" bestFit="1" customWidth="1"/>
    <col min="18" max="18" width="18.42578125" customWidth="1"/>
    <col min="19" max="19" width="24.85546875" customWidth="1"/>
    <col min="20" max="20" width="20" customWidth="1"/>
    <col min="21" max="21" width="18.85546875" customWidth="1"/>
    <col min="22" max="22" width="13.5703125" customWidth="1"/>
    <col min="23" max="23" width="14.140625" bestFit="1" customWidth="1"/>
    <col min="24" max="24" width="15.140625" bestFit="1" customWidth="1"/>
    <col min="25" max="25" width="25.42578125" bestFit="1" customWidth="1"/>
    <col min="27" max="28" width="16.5703125" bestFit="1" customWidth="1"/>
    <col min="29" max="29" width="22.85546875" bestFit="1" customWidth="1"/>
    <col min="30" max="30" width="16.42578125" customWidth="1"/>
    <col min="31" max="31" width="10.7109375" customWidth="1"/>
    <col min="32" max="32" width="18" customWidth="1"/>
    <col min="33" max="33" width="21.85546875" customWidth="1"/>
    <col min="34" max="34" width="11.5703125" customWidth="1"/>
    <col min="35" max="35" width="16.28515625" customWidth="1"/>
    <col min="36" max="36" width="13.5703125" customWidth="1"/>
    <col min="37" max="37" width="14.85546875" customWidth="1"/>
    <col min="38" max="38" width="10.5703125" bestFit="1" customWidth="1"/>
  </cols>
  <sheetData>
    <row r="1" spans="1:34" ht="18.75" x14ac:dyDescent="0.3">
      <c r="A1" s="866" t="s">
        <v>730</v>
      </c>
      <c r="B1" s="866"/>
      <c r="C1" s="866"/>
      <c r="D1" s="866"/>
      <c r="E1" s="866"/>
      <c r="F1" s="866"/>
      <c r="G1" s="866"/>
      <c r="H1" s="58"/>
      <c r="I1" s="1" t="s">
        <v>400</v>
      </c>
      <c r="J1" s="1"/>
      <c r="K1" s="208">
        <f>'Prices,exch.rates,harvest index'!M2</f>
        <v>2.8759999999999999</v>
      </c>
      <c r="L1" s="1" t="s">
        <v>257</v>
      </c>
      <c r="M1" s="1"/>
      <c r="N1" s="1"/>
      <c r="O1" s="1"/>
    </row>
    <row r="2" spans="1:34" ht="18.75" x14ac:dyDescent="0.3">
      <c r="A2" s="58"/>
      <c r="B2" s="58"/>
      <c r="C2" s="58"/>
      <c r="D2" s="58"/>
      <c r="E2" s="58"/>
      <c r="F2" s="58"/>
      <c r="G2" s="58"/>
      <c r="H2" s="58"/>
      <c r="I2" s="1" t="s">
        <v>267</v>
      </c>
      <c r="K2" s="208">
        <f>'Prices,exch.rates,harvest index'!N2</f>
        <v>1.43</v>
      </c>
      <c r="L2" s="1" t="s">
        <v>257</v>
      </c>
      <c r="M2" s="1"/>
      <c r="N2" s="1"/>
      <c r="O2" s="1"/>
    </row>
    <row r="3" spans="1:34" x14ac:dyDescent="0.25">
      <c r="A3" s="3" t="s">
        <v>260</v>
      </c>
      <c r="B3" s="8" t="s">
        <v>480</v>
      </c>
      <c r="C3" s="8"/>
      <c r="D3" s="8"/>
      <c r="E3" s="4"/>
      <c r="F3" s="7" t="s">
        <v>265</v>
      </c>
      <c r="G3" s="7"/>
      <c r="H3" s="7"/>
      <c r="I3" s="6"/>
      <c r="J3" s="6"/>
      <c r="K3" s="6"/>
      <c r="L3" s="6"/>
      <c r="M3" s="6"/>
      <c r="N3" s="6"/>
      <c r="O3" s="6"/>
      <c r="P3" s="6"/>
      <c r="Q3" s="6"/>
      <c r="R3" s="6"/>
      <c r="S3" s="6"/>
    </row>
    <row r="4" spans="1:34" x14ac:dyDescent="0.25">
      <c r="A4" s="3"/>
      <c r="B4" s="10" t="s">
        <v>263</v>
      </c>
      <c r="C4" s="10"/>
      <c r="D4" s="10"/>
      <c r="E4" s="10"/>
      <c r="F4" s="10"/>
      <c r="G4" s="10"/>
      <c r="H4" s="10"/>
      <c r="I4" s="10"/>
      <c r="J4" s="10"/>
      <c r="K4" s="10"/>
      <c r="L4" s="10"/>
      <c r="M4" s="10"/>
      <c r="N4" s="10"/>
      <c r="O4" s="10"/>
      <c r="P4" s="10"/>
      <c r="Q4" s="10"/>
    </row>
    <row r="5" spans="1:34" x14ac:dyDescent="0.25">
      <c r="A5" s="7" t="s">
        <v>731</v>
      </c>
      <c r="B5" s="7"/>
      <c r="C5" s="7"/>
      <c r="D5" s="7"/>
      <c r="E5" s="7"/>
      <c r="F5" s="7"/>
      <c r="G5" s="7"/>
      <c r="H5" s="7"/>
      <c r="I5" s="6"/>
      <c r="J5" s="6"/>
      <c r="K5" s="6"/>
      <c r="L5" s="6"/>
      <c r="M5" s="6"/>
      <c r="N5" s="6"/>
      <c r="O5" s="6"/>
      <c r="P5" s="6"/>
      <c r="Q5" s="6"/>
      <c r="R5" s="6"/>
      <c r="S5" s="6"/>
      <c r="T5" s="6"/>
    </row>
    <row r="6" spans="1:34" ht="14.45" customHeight="1" x14ac:dyDescent="0.25">
      <c r="A6" s="7" t="s">
        <v>732</v>
      </c>
      <c r="B6" s="7"/>
      <c r="C6" s="7"/>
      <c r="D6" s="7"/>
      <c r="E6" s="7"/>
      <c r="F6" s="7"/>
      <c r="G6" s="7"/>
      <c r="H6" s="7"/>
      <c r="I6" s="7"/>
      <c r="J6" s="7"/>
      <c r="K6" s="7"/>
      <c r="L6" s="7"/>
      <c r="M6" s="7"/>
      <c r="N6" s="7"/>
      <c r="O6" s="7"/>
      <c r="P6" s="7"/>
      <c r="Q6" s="7"/>
      <c r="R6" s="7"/>
      <c r="S6" s="7"/>
      <c r="T6" s="7"/>
    </row>
    <row r="7" spans="1:34" ht="14.45" customHeight="1" x14ac:dyDescent="0.25">
      <c r="A7" s="3"/>
      <c r="B7" s="3"/>
      <c r="C7" s="3"/>
      <c r="D7" s="3"/>
      <c r="E7" s="3"/>
      <c r="F7" s="3"/>
      <c r="G7" s="3"/>
      <c r="H7" s="3"/>
      <c r="I7" s="3"/>
      <c r="J7" s="3"/>
      <c r="K7" s="3"/>
      <c r="L7" s="3"/>
      <c r="M7" s="3"/>
      <c r="N7" s="3"/>
      <c r="O7" s="3"/>
      <c r="P7" s="3"/>
      <c r="Q7" s="3"/>
      <c r="R7" s="3"/>
      <c r="S7" s="3"/>
      <c r="T7" s="3"/>
    </row>
    <row r="8" spans="1:34" ht="14.45" customHeight="1" x14ac:dyDescent="0.25">
      <c r="A8" s="3"/>
      <c r="B8" s="194" t="s">
        <v>709</v>
      </c>
      <c r="C8" s="15" t="s">
        <v>103</v>
      </c>
      <c r="D8" s="15" t="s">
        <v>276</v>
      </c>
      <c r="E8" s="195" t="s">
        <v>277</v>
      </c>
      <c r="F8" s="195" t="s">
        <v>278</v>
      </c>
      <c r="G8" s="194" t="s">
        <v>279</v>
      </c>
      <c r="H8" s="194" t="s">
        <v>280</v>
      </c>
      <c r="I8" s="3"/>
      <c r="J8" s="3"/>
      <c r="K8" s="3"/>
      <c r="L8" s="3"/>
      <c r="M8" s="3"/>
      <c r="N8" s="3"/>
      <c r="O8" s="3"/>
      <c r="P8" s="3"/>
      <c r="Q8" s="3"/>
      <c r="R8" s="3"/>
      <c r="S8" s="3"/>
      <c r="T8" s="3"/>
    </row>
    <row r="9" spans="1:34" ht="14.45" customHeight="1" x14ac:dyDescent="0.25">
      <c r="A9" s="3"/>
      <c r="B9" s="199" t="s">
        <v>77</v>
      </c>
      <c r="C9" s="242">
        <f>'Crop-area&amp;production'!BG32</f>
        <v>0</v>
      </c>
      <c r="D9" s="242">
        <f>'Crop-area&amp;production'!DT32</f>
        <v>0</v>
      </c>
      <c r="E9" s="242">
        <f>'Prices,exch.rates,harvest index'!E47</f>
        <v>0</v>
      </c>
      <c r="F9" s="14"/>
      <c r="G9" s="215">
        <f>'Prices,exch.rates,harvest index'!F47</f>
        <v>0</v>
      </c>
      <c r="H9" s="319"/>
      <c r="I9" s="3"/>
      <c r="J9" s="3"/>
      <c r="K9" s="3"/>
      <c r="L9" s="3"/>
      <c r="M9" s="3"/>
      <c r="N9" s="3"/>
      <c r="O9" s="3"/>
      <c r="P9" s="3"/>
      <c r="Q9" s="3"/>
      <c r="R9" s="3"/>
      <c r="S9" s="3"/>
      <c r="T9" s="3"/>
    </row>
    <row r="10" spans="1:34" ht="14.45" customHeight="1" x14ac:dyDescent="0.25">
      <c r="A10" s="3"/>
      <c r="B10" s="199" t="s">
        <v>686</v>
      </c>
      <c r="C10" s="242">
        <f>'Crop-area&amp;production'!BH32</f>
        <v>0</v>
      </c>
      <c r="D10" s="242">
        <f>'Crop-area&amp;production'!DU32</f>
        <v>0</v>
      </c>
      <c r="E10" s="215">
        <f>'Prices,exch.rates,harvest index'!E46</f>
        <v>0</v>
      </c>
      <c r="F10" s="14"/>
      <c r="G10" s="215">
        <f>'Prices,exch.rates,harvest index'!F46</f>
        <v>0</v>
      </c>
      <c r="H10" s="14"/>
      <c r="I10" s="3"/>
      <c r="J10" s="3"/>
      <c r="K10" s="3"/>
      <c r="L10" s="3"/>
      <c r="M10" s="3"/>
      <c r="N10" s="3"/>
      <c r="O10" s="3"/>
      <c r="P10" s="3"/>
      <c r="Q10" s="3"/>
      <c r="R10" s="3"/>
      <c r="S10" s="3"/>
      <c r="T10" s="3"/>
    </row>
    <row r="11" spans="1:34" ht="14.45" customHeight="1" x14ac:dyDescent="0.25">
      <c r="A11" s="3"/>
      <c r="B11" s="194" t="s">
        <v>710</v>
      </c>
      <c r="C11" s="307">
        <f>SUM(C9:C10)</f>
        <v>0</v>
      </c>
      <c r="D11" s="307">
        <f>SUM(D9:D10)</f>
        <v>0</v>
      </c>
      <c r="E11" s="307" t="e">
        <f>SUMPRODUCT(D9:D10,E9:E10)/D11</f>
        <v>#DIV/0!</v>
      </c>
      <c r="F11" s="198" t="e">
        <f>SUMPRODUCT($C9:$C10,F9:F10)/$C11</f>
        <v>#DIV/0!</v>
      </c>
      <c r="G11" s="307" t="e">
        <f>SUMPRODUCT(D9:D10,G9:G10)/D11</f>
        <v>#DIV/0!</v>
      </c>
      <c r="H11" s="198" t="e">
        <f>SUMPRODUCT($C9:$C10,H9:H10)/$C11</f>
        <v>#DIV/0!</v>
      </c>
      <c r="I11" s="3"/>
      <c r="J11" s="3"/>
      <c r="K11" s="3"/>
      <c r="L11" s="3"/>
      <c r="M11" s="3"/>
      <c r="N11" s="3"/>
      <c r="O11" s="3"/>
      <c r="P11" s="3"/>
      <c r="Q11" s="3"/>
      <c r="R11" s="3"/>
      <c r="S11" s="3"/>
      <c r="T11" s="3"/>
    </row>
    <row r="12" spans="1:34" ht="14.45" customHeight="1" x14ac:dyDescent="0.25">
      <c r="A12" s="3"/>
      <c r="B12" s="3"/>
      <c r="C12" s="3"/>
      <c r="D12" s="3"/>
      <c r="E12" s="3"/>
      <c r="F12" s="3"/>
      <c r="G12" s="3"/>
      <c r="H12" s="3"/>
      <c r="I12" s="3"/>
      <c r="J12" s="3"/>
      <c r="K12" s="3"/>
      <c r="L12" s="3"/>
      <c r="M12" s="3"/>
      <c r="N12" s="3"/>
      <c r="O12" s="3"/>
      <c r="P12" s="3"/>
      <c r="Q12" s="3"/>
      <c r="R12" s="3"/>
      <c r="S12" s="3"/>
      <c r="T12" s="3"/>
    </row>
    <row r="13" spans="1:34" ht="15.75" x14ac:dyDescent="0.25">
      <c r="A13" s="867"/>
      <c r="B13" s="867"/>
      <c r="C13" s="867"/>
      <c r="D13" s="814" t="s">
        <v>287</v>
      </c>
      <c r="E13" s="814"/>
      <c r="F13" s="814"/>
      <c r="G13" s="76"/>
      <c r="H13" s="1"/>
      <c r="I13" s="1"/>
      <c r="J13" s="1"/>
      <c r="K13" s="1"/>
      <c r="L13" s="1"/>
      <c r="M13" s="49"/>
      <c r="N13" s="44"/>
      <c r="O13" s="44"/>
      <c r="P13" s="2"/>
      <c r="Q13" s="18"/>
    </row>
    <row r="14" spans="1:34" ht="28.5" customHeight="1" x14ac:dyDescent="0.35">
      <c r="A14" s="843" t="s">
        <v>296</v>
      </c>
      <c r="B14" s="843"/>
      <c r="C14" s="18"/>
      <c r="D14" s="18">
        <v>2021</v>
      </c>
      <c r="E14" s="18">
        <v>2010</v>
      </c>
      <c r="F14" s="20"/>
      <c r="H14" s="60"/>
      <c r="I14" s="1"/>
      <c r="J14" s="60"/>
      <c r="K14" s="324"/>
      <c r="L14" s="35"/>
      <c r="M14" s="1"/>
      <c r="O14" s="92"/>
      <c r="P14" s="76"/>
      <c r="Q14" s="440"/>
      <c r="T14" s="1"/>
      <c r="U14" s="1"/>
    </row>
    <row r="15" spans="1:34" ht="32.1" customHeight="1" x14ac:dyDescent="0.25">
      <c r="A15" s="1" t="s">
        <v>733</v>
      </c>
      <c r="B15" s="1"/>
      <c r="C15" s="1"/>
      <c r="D15" s="124" t="e">
        <f>E11/K1</f>
        <v>#DIV/0!</v>
      </c>
      <c r="E15" s="720" t="e">
        <f>G11/K2</f>
        <v>#DIV/0!</v>
      </c>
      <c r="F15" s="20"/>
      <c r="L15" s="44"/>
      <c r="O15" s="92"/>
      <c r="P15" s="76"/>
      <c r="R15" s="19"/>
      <c r="S15" s="18"/>
      <c r="T15" s="18"/>
      <c r="AC15" s="852" t="s">
        <v>1258</v>
      </c>
      <c r="AD15" s="852"/>
      <c r="AE15" s="852"/>
      <c r="AF15" s="852"/>
      <c r="AG15" s="852"/>
      <c r="AH15" s="852"/>
    </row>
    <row r="16" spans="1:34" ht="18" x14ac:dyDescent="0.25">
      <c r="A16" s="1" t="s">
        <v>734</v>
      </c>
      <c r="B16" s="1"/>
      <c r="C16" s="1"/>
      <c r="D16" s="324"/>
      <c r="E16" s="325"/>
      <c r="F16" s="79"/>
      <c r="L16" s="441"/>
      <c r="O16" s="92"/>
      <c r="P16" s="76"/>
      <c r="R16" s="19"/>
      <c r="S16" s="18"/>
      <c r="T16" s="18"/>
      <c r="AC16" s="852"/>
      <c r="AD16" s="852"/>
      <c r="AE16" s="852"/>
      <c r="AF16" s="852"/>
      <c r="AG16" s="852"/>
      <c r="AH16" s="852"/>
    </row>
    <row r="17" spans="1:41" ht="18" x14ac:dyDescent="0.25">
      <c r="A17" s="1"/>
      <c r="B17" s="1"/>
      <c r="C17" s="1"/>
      <c r="D17" s="80" t="s">
        <v>735</v>
      </c>
      <c r="E17" s="17" t="s">
        <v>300</v>
      </c>
      <c r="F17" s="79"/>
      <c r="O17" s="92"/>
      <c r="P17" s="76"/>
      <c r="R17" s="19"/>
      <c r="S17" s="18"/>
      <c r="T17" s="18"/>
      <c r="AA17" s="3"/>
      <c r="AC17" s="852"/>
      <c r="AD17" s="852"/>
      <c r="AE17" s="852"/>
      <c r="AF17" s="852"/>
      <c r="AG17" s="852"/>
      <c r="AH17" s="852"/>
    </row>
    <row r="18" spans="1:41" x14ac:dyDescent="0.25">
      <c r="A18" s="1" t="s">
        <v>736</v>
      </c>
      <c r="B18" s="1"/>
      <c r="C18" s="1"/>
      <c r="D18" s="124" t="e">
        <f>(D15-E15)/($D$14-$E$14)</f>
        <v>#DIV/0!</v>
      </c>
      <c r="E18" s="124">
        <f>(D16-E16)/(D14-E14)</f>
        <v>0</v>
      </c>
      <c r="G18" s="44"/>
      <c r="H18" s="44"/>
      <c r="I18" s="44"/>
      <c r="M18" s="44"/>
      <c r="O18" s="92"/>
      <c r="P18" s="76"/>
      <c r="Q18" s="44"/>
      <c r="R18" s="18"/>
      <c r="S18" s="18"/>
      <c r="T18" s="18"/>
      <c r="AA18" s="3"/>
      <c r="AC18" s="852"/>
      <c r="AD18" s="852"/>
      <c r="AE18" s="852"/>
      <c r="AF18" s="852"/>
      <c r="AG18" s="852"/>
      <c r="AH18" s="852"/>
    </row>
    <row r="19" spans="1:41" x14ac:dyDescent="0.25">
      <c r="A19" s="1" t="s">
        <v>737</v>
      </c>
      <c r="B19" s="1"/>
      <c r="C19" s="1"/>
      <c r="D19" s="124" t="e">
        <f>D18*$F$20</f>
        <v>#DIV/0!</v>
      </c>
      <c r="E19" s="124">
        <f>E18*$F$20</f>
        <v>0</v>
      </c>
      <c r="F19" s="1"/>
      <c r="G19" s="44"/>
      <c r="H19" s="44"/>
      <c r="I19" s="1"/>
      <c r="M19" s="1"/>
      <c r="O19" s="92"/>
      <c r="P19" s="76"/>
      <c r="Q19" s="1"/>
      <c r="R19" s="18"/>
      <c r="S19" s="18"/>
      <c r="T19" s="18"/>
      <c r="AA19" s="3"/>
      <c r="AE19" s="430"/>
      <c r="AI19" s="52"/>
    </row>
    <row r="20" spans="1:41" x14ac:dyDescent="0.25">
      <c r="A20" s="1" t="s">
        <v>303</v>
      </c>
      <c r="B20" s="1"/>
      <c r="C20" s="176">
        <f>'Cereals-all-year'!C24</f>
        <v>6.0970000000000003E-2</v>
      </c>
      <c r="D20" s="1"/>
      <c r="E20" s="1" t="s">
        <v>304</v>
      </c>
      <c r="F20" s="78">
        <f>1/(1+C20)</f>
        <v>0.94253371914380235</v>
      </c>
      <c r="M20" s="452"/>
      <c r="O20" s="92"/>
      <c r="P20" s="76"/>
      <c r="Q20" s="452"/>
      <c r="R20" s="18"/>
      <c r="S20" s="18"/>
      <c r="T20" s="18"/>
      <c r="AF20" s="82"/>
      <c r="AG20" s="53"/>
      <c r="AH20" s="53"/>
      <c r="AI20" s="52"/>
    </row>
    <row r="21" spans="1:41" ht="28.5" customHeight="1" x14ac:dyDescent="0.25">
      <c r="A21" s="1"/>
      <c r="B21" s="1"/>
      <c r="C21" s="1"/>
      <c r="D21" s="1"/>
      <c r="E21" s="1"/>
      <c r="L21" s="452"/>
      <c r="M21" s="452"/>
      <c r="O21" s="92"/>
      <c r="P21" s="76"/>
      <c r="Q21" s="452"/>
      <c r="R21" s="18"/>
      <c r="S21" s="18"/>
      <c r="T21" s="18"/>
      <c r="W21" s="1" t="s">
        <v>136</v>
      </c>
      <c r="X21" s="1" t="s">
        <v>137</v>
      </c>
      <c r="Y21" s="1" t="s">
        <v>289</v>
      </c>
      <c r="Z21" s="22" t="s">
        <v>290</v>
      </c>
      <c r="AA21" s="1" t="s">
        <v>291</v>
      </c>
      <c r="AB21" s="15" t="s">
        <v>292</v>
      </c>
      <c r="AC21" s="15" t="s">
        <v>200</v>
      </c>
      <c r="AD21" s="1" t="s">
        <v>293</v>
      </c>
      <c r="AE21" s="1" t="s">
        <v>294</v>
      </c>
      <c r="AF21" s="1" t="s">
        <v>295</v>
      </c>
    </row>
    <row r="22" spans="1:41" ht="28.5" customHeight="1" x14ac:dyDescent="0.25">
      <c r="A22" s="844" t="s">
        <v>305</v>
      </c>
      <c r="B22" s="844"/>
      <c r="C22" s="844"/>
      <c r="D22" s="844"/>
      <c r="E22" s="18"/>
      <c r="L22" s="452"/>
      <c r="M22" s="452"/>
      <c r="O22" s="92"/>
      <c r="P22" s="76"/>
      <c r="Q22" s="452"/>
      <c r="R22" s="18"/>
      <c r="S22" s="18"/>
      <c r="T22" s="18"/>
      <c r="V22" s="13" t="s">
        <v>139</v>
      </c>
      <c r="W22" s="295"/>
      <c r="X22" s="295"/>
      <c r="Y22" s="295"/>
      <c r="Z22" s="95">
        <f>'Yield-data'!K5</f>
        <v>0</v>
      </c>
      <c r="AA22" s="140">
        <f t="shared" ref="AA22:AA45" si="0">Z22*B30</f>
        <v>0</v>
      </c>
      <c r="AB22" s="206">
        <f>'Yield-penalty-by-LD-class'!N5</f>
        <v>0</v>
      </c>
      <c r="AC22" s="206">
        <f>'Yield-penalty-by-LD-class'!O5</f>
        <v>0</v>
      </c>
      <c r="AD22" s="9">
        <f>IFERROR(((W22-X22)/X22)-AB22,0)</f>
        <v>0</v>
      </c>
      <c r="AE22" s="95">
        <f>IFERROR(((X22-Y22)/Y22)-AC22,0)</f>
        <v>0</v>
      </c>
      <c r="AF22" s="185">
        <f t="shared" ref="AF22:AF45" si="1">SUMPRODUCT(W22:Y22,C30:E30)-Z22</f>
        <v>0</v>
      </c>
    </row>
    <row r="23" spans="1:41" x14ac:dyDescent="0.25">
      <c r="A23" s="844" t="s">
        <v>306</v>
      </c>
      <c r="B23" s="844"/>
      <c r="C23" s="18"/>
      <c r="D23" s="18"/>
      <c r="E23" s="18"/>
      <c r="L23" s="452"/>
      <c r="M23" s="452"/>
      <c r="O23" s="92"/>
      <c r="P23" s="76"/>
      <c r="Q23" s="452"/>
      <c r="V23" s="13" t="s">
        <v>140</v>
      </c>
      <c r="W23" s="295"/>
      <c r="X23" s="295"/>
      <c r="Y23" s="295"/>
      <c r="Z23" s="95">
        <f>'Yield-data'!K6</f>
        <v>0</v>
      </c>
      <c r="AA23" s="140">
        <f t="shared" si="0"/>
        <v>0</v>
      </c>
      <c r="AB23" s="206">
        <f>'Yield-penalty-by-LD-class'!N6</f>
        <v>0</v>
      </c>
      <c r="AC23" s="206">
        <f>'Yield-penalty-by-LD-class'!O6</f>
        <v>0</v>
      </c>
      <c r="AD23" s="9">
        <f t="shared" ref="AD23:AD45" si="2">IFERROR(((W23-X23)/X23)-AB23,0)</f>
        <v>0</v>
      </c>
      <c r="AE23" s="95">
        <f t="shared" ref="AE23:AE45" si="3">IFERROR(((X23-Y23)/Y23)-AC23,0)</f>
        <v>0</v>
      </c>
      <c r="AF23" s="185">
        <f t="shared" si="1"/>
        <v>0</v>
      </c>
    </row>
    <row r="24" spans="1:41" ht="27.6" customHeight="1" x14ac:dyDescent="0.25">
      <c r="A24" s="3" t="s">
        <v>738</v>
      </c>
      <c r="B24" s="3"/>
      <c r="C24" s="3"/>
      <c r="D24" s="3"/>
      <c r="E24" s="3"/>
      <c r="L24" s="441"/>
      <c r="M24" s="441"/>
      <c r="O24" s="92"/>
      <c r="P24" s="76"/>
      <c r="Q24" s="441"/>
      <c r="V24" s="13" t="s">
        <v>141</v>
      </c>
      <c r="W24" s="295"/>
      <c r="X24" s="295"/>
      <c r="Y24" s="295"/>
      <c r="Z24" s="95">
        <f>'Yield-data'!K7</f>
        <v>0</v>
      </c>
      <c r="AA24" s="140">
        <f t="shared" si="0"/>
        <v>0</v>
      </c>
      <c r="AB24" s="206">
        <f>'Yield-penalty-by-LD-class'!N7</f>
        <v>0</v>
      </c>
      <c r="AC24" s="206">
        <f>'Yield-penalty-by-LD-class'!O7</f>
        <v>0</v>
      </c>
      <c r="AD24" s="9">
        <f t="shared" si="2"/>
        <v>0</v>
      </c>
      <c r="AE24" s="95">
        <f t="shared" si="3"/>
        <v>0</v>
      </c>
      <c r="AF24" s="185">
        <f t="shared" si="1"/>
        <v>0</v>
      </c>
      <c r="AL24" s="1"/>
      <c r="AM24" s="1"/>
      <c r="AN24" s="1"/>
      <c r="AO24" s="22"/>
    </row>
    <row r="25" spans="1:41" x14ac:dyDescent="0.25">
      <c r="A25" s="1" t="s">
        <v>739</v>
      </c>
      <c r="F25" s="1"/>
      <c r="L25" s="441"/>
      <c r="O25" s="92"/>
      <c r="P25" s="76"/>
      <c r="V25" s="13" t="s">
        <v>142</v>
      </c>
      <c r="W25" s="295"/>
      <c r="X25" s="295"/>
      <c r="Y25" s="295"/>
      <c r="Z25" s="95">
        <f>'Yield-data'!K8</f>
        <v>0</v>
      </c>
      <c r="AA25" s="140">
        <f t="shared" si="0"/>
        <v>0</v>
      </c>
      <c r="AB25" s="206">
        <f>'Yield-penalty-by-LD-class'!N8</f>
        <v>0</v>
      </c>
      <c r="AC25" s="206">
        <f>'Yield-penalty-by-LD-class'!O8</f>
        <v>0</v>
      </c>
      <c r="AD25" s="9">
        <f t="shared" si="2"/>
        <v>0</v>
      </c>
      <c r="AE25" s="95">
        <f t="shared" si="3"/>
        <v>0</v>
      </c>
      <c r="AF25" s="185">
        <f t="shared" si="1"/>
        <v>0</v>
      </c>
      <c r="AL25" s="49"/>
      <c r="AM25" s="49"/>
      <c r="AN25" s="49"/>
      <c r="AO25" s="49"/>
    </row>
    <row r="26" spans="1:41" ht="1.5" customHeight="1" x14ac:dyDescent="0.25">
      <c r="L26" s="441"/>
      <c r="O26" s="92"/>
      <c r="P26" s="76"/>
      <c r="V26" s="13" t="s">
        <v>143</v>
      </c>
      <c r="W26" s="295"/>
      <c r="X26" s="295"/>
      <c r="Y26" s="295"/>
      <c r="Z26" s="95">
        <f>'Yield-data'!K9</f>
        <v>0</v>
      </c>
      <c r="AA26" s="140">
        <f t="shared" si="0"/>
        <v>0</v>
      </c>
      <c r="AB26" s="206">
        <f>'Yield-penalty-by-LD-class'!N9</f>
        <v>0</v>
      </c>
      <c r="AC26" s="206">
        <f>'Yield-penalty-by-LD-class'!O9</f>
        <v>0</v>
      </c>
      <c r="AD26" s="9">
        <f t="shared" si="2"/>
        <v>0</v>
      </c>
      <c r="AE26" s="95">
        <f t="shared" si="3"/>
        <v>0</v>
      </c>
      <c r="AF26" s="185">
        <f t="shared" si="1"/>
        <v>0</v>
      </c>
      <c r="AL26" s="83"/>
      <c r="AM26" s="83"/>
      <c r="AN26" s="83"/>
    </row>
    <row r="27" spans="1:41" ht="39.6" customHeight="1" x14ac:dyDescent="0.25">
      <c r="A27" s="1" t="s">
        <v>740</v>
      </c>
      <c r="D27" s="1"/>
      <c r="F27" s="1"/>
      <c r="G27" s="60"/>
      <c r="H27" s="60"/>
      <c r="N27" s="1"/>
      <c r="O27" s="92"/>
      <c r="V27" s="13" t="s">
        <v>144</v>
      </c>
      <c r="W27" s="295"/>
      <c r="X27" s="295"/>
      <c r="Y27" s="295"/>
      <c r="Z27" s="95">
        <f>'Yield-data'!K10</f>
        <v>0</v>
      </c>
      <c r="AA27" s="140">
        <f t="shared" si="0"/>
        <v>0</v>
      </c>
      <c r="AB27" s="206">
        <f>'Yield-penalty-by-LD-class'!N10</f>
        <v>0</v>
      </c>
      <c r="AC27" s="206">
        <f>'Yield-penalty-by-LD-class'!O10</f>
        <v>0</v>
      </c>
      <c r="AD27" s="9">
        <f t="shared" si="2"/>
        <v>0</v>
      </c>
      <c r="AE27" s="95">
        <f t="shared" si="3"/>
        <v>0</v>
      </c>
      <c r="AF27" s="185">
        <f t="shared" si="1"/>
        <v>0</v>
      </c>
    </row>
    <row r="28" spans="1:41" ht="31.35" customHeight="1" x14ac:dyDescent="0.25">
      <c r="A28" s="13"/>
      <c r="B28" s="759" t="s">
        <v>741</v>
      </c>
      <c r="C28" s="759" t="s">
        <v>742</v>
      </c>
      <c r="D28" s="759"/>
      <c r="E28" s="759"/>
      <c r="F28" s="759"/>
      <c r="G28" s="759" t="s">
        <v>743</v>
      </c>
      <c r="H28" s="759"/>
      <c r="I28" s="759"/>
      <c r="J28" s="759"/>
      <c r="K28" s="759" t="s">
        <v>744</v>
      </c>
      <c r="L28" s="772"/>
      <c r="M28" s="772"/>
      <c r="N28" s="772"/>
      <c r="O28" s="772" t="s">
        <v>745</v>
      </c>
      <c r="P28" s="772"/>
      <c r="Q28" s="772"/>
      <c r="R28" s="759"/>
      <c r="S28" s="17" t="s">
        <v>746</v>
      </c>
      <c r="T28" s="44" t="s">
        <v>747</v>
      </c>
      <c r="U28" t="s">
        <v>748</v>
      </c>
      <c r="V28" s="13" t="s">
        <v>145</v>
      </c>
      <c r="W28" s="295"/>
      <c r="X28" s="295"/>
      <c r="Y28" s="295"/>
      <c r="Z28" s="95">
        <f>'Yield-data'!K11</f>
        <v>0</v>
      </c>
      <c r="AA28" s="140">
        <f t="shared" si="0"/>
        <v>0</v>
      </c>
      <c r="AB28" s="206">
        <f>'Yield-penalty-by-LD-class'!N11</f>
        <v>0</v>
      </c>
      <c r="AC28" s="206">
        <f>'Yield-penalty-by-LD-class'!O11</f>
        <v>0</v>
      </c>
      <c r="AD28" s="9">
        <f t="shared" si="2"/>
        <v>0</v>
      </c>
      <c r="AE28" s="95">
        <f t="shared" si="3"/>
        <v>0</v>
      </c>
      <c r="AF28" s="185">
        <f t="shared" si="1"/>
        <v>0</v>
      </c>
      <c r="AM28" s="52"/>
      <c r="AN28" s="1"/>
      <c r="AO28" s="1"/>
    </row>
    <row r="29" spans="1:41" x14ac:dyDescent="0.25">
      <c r="A29" s="15" t="s">
        <v>101</v>
      </c>
      <c r="B29" s="759"/>
      <c r="C29" s="15" t="s">
        <v>136</v>
      </c>
      <c r="D29" s="15" t="s">
        <v>137</v>
      </c>
      <c r="E29" s="15" t="s">
        <v>138</v>
      </c>
      <c r="F29" s="15" t="s">
        <v>120</v>
      </c>
      <c r="G29" s="15" t="s">
        <v>136</v>
      </c>
      <c r="H29" s="15" t="s">
        <v>137</v>
      </c>
      <c r="I29" s="15" t="s">
        <v>289</v>
      </c>
      <c r="J29" s="15" t="s">
        <v>120</v>
      </c>
      <c r="K29" s="15" t="s">
        <v>136</v>
      </c>
      <c r="L29" s="15" t="s">
        <v>137</v>
      </c>
      <c r="M29" s="15" t="s">
        <v>289</v>
      </c>
      <c r="N29" s="15" t="s">
        <v>120</v>
      </c>
      <c r="O29" s="15" t="s">
        <v>136</v>
      </c>
      <c r="P29" s="15" t="s">
        <v>137</v>
      </c>
      <c r="Q29" s="15" t="s">
        <v>289</v>
      </c>
      <c r="R29" s="15" t="s">
        <v>120</v>
      </c>
      <c r="U29" s="126"/>
      <c r="V29" s="13" t="s">
        <v>146</v>
      </c>
      <c r="W29" s="295"/>
      <c r="X29" s="295"/>
      <c r="Y29" s="295"/>
      <c r="Z29" s="95">
        <f>'Yield-data'!K12</f>
        <v>0</v>
      </c>
      <c r="AA29" s="140">
        <f t="shared" si="0"/>
        <v>0</v>
      </c>
      <c r="AB29" s="206">
        <f>'Yield-penalty-by-LD-class'!N12</f>
        <v>0</v>
      </c>
      <c r="AC29" s="206">
        <f>'Yield-penalty-by-LD-class'!O12</f>
        <v>0</v>
      </c>
      <c r="AD29" s="9">
        <f t="shared" si="2"/>
        <v>0</v>
      </c>
      <c r="AE29" s="95">
        <f t="shared" si="3"/>
        <v>0</v>
      </c>
      <c r="AF29" s="185">
        <f t="shared" si="1"/>
        <v>0</v>
      </c>
    </row>
    <row r="30" spans="1:41" x14ac:dyDescent="0.25">
      <c r="A30" s="13" t="s">
        <v>139</v>
      </c>
      <c r="B30" s="97">
        <f>'Area&amp;production data'!N5</f>
        <v>0</v>
      </c>
      <c r="C30" s="319">
        <f>'Area&amp;production data'!CC5</f>
        <v>0</v>
      </c>
      <c r="D30" s="319">
        <f>'Area&amp;production data'!CD5</f>
        <v>0</v>
      </c>
      <c r="E30" s="319">
        <f>'Area&amp;production data'!CE5</f>
        <v>0</v>
      </c>
      <c r="F30" s="206">
        <f>SUM(C30:E30)</f>
        <v>0</v>
      </c>
      <c r="G30" s="180">
        <f t="shared" ref="G30:G53" si="4">$W22-W22</f>
        <v>0</v>
      </c>
      <c r="H30" s="180">
        <f t="shared" ref="H30:H53" si="5">$W22-X22</f>
        <v>0</v>
      </c>
      <c r="I30" s="180">
        <f t="shared" ref="I30:I53" si="6">$W22-Y22</f>
        <v>0</v>
      </c>
      <c r="J30" s="229">
        <f>SUMPRODUCT(C30:E30,G30:I30)</f>
        <v>0</v>
      </c>
      <c r="K30" s="46">
        <f t="shared" ref="K30:L30" si="7">G30*C30*$B30</f>
        <v>0</v>
      </c>
      <c r="L30" s="46">
        <f t="shared" si="7"/>
        <v>0</v>
      </c>
      <c r="M30" s="46">
        <f>I30*E30*$B30</f>
        <v>0</v>
      </c>
      <c r="N30" s="46">
        <f>SUM(K30:M30)</f>
        <v>0</v>
      </c>
      <c r="O30" s="46" t="e">
        <f>$D$15*K30</f>
        <v>#DIV/0!</v>
      </c>
      <c r="P30" s="46" t="e">
        <f>$D$15*L30</f>
        <v>#DIV/0!</v>
      </c>
      <c r="Q30" s="46" t="e">
        <f>$D$15*M30</f>
        <v>#DIV/0!</v>
      </c>
      <c r="R30" s="48" t="e">
        <f>SUM(O30:Q30)</f>
        <v>#DIV/0!</v>
      </c>
      <c r="S30" s="30" t="e">
        <f>N30/$N$54</f>
        <v>#DIV/0!</v>
      </c>
      <c r="T30">
        <f>RANK(N30,$N$30:$N$53)</f>
        <v>1</v>
      </c>
      <c r="U30">
        <f>RANK(J30,$J$30:$J$53)</f>
        <v>1</v>
      </c>
      <c r="V30" s="13" t="s">
        <v>147</v>
      </c>
      <c r="W30" s="295"/>
      <c r="X30" s="295"/>
      <c r="Y30" s="295"/>
      <c r="Z30" s="95">
        <f>'Yield-data'!K13</f>
        <v>0</v>
      </c>
      <c r="AA30" s="140">
        <f t="shared" si="0"/>
        <v>0</v>
      </c>
      <c r="AB30" s="206">
        <f>'Yield-penalty-by-LD-class'!N13</f>
        <v>0</v>
      </c>
      <c r="AC30" s="206">
        <f>'Yield-penalty-by-LD-class'!O13</f>
        <v>0</v>
      </c>
      <c r="AD30" s="9">
        <f t="shared" si="2"/>
        <v>0</v>
      </c>
      <c r="AE30" s="95">
        <f t="shared" si="3"/>
        <v>0</v>
      </c>
      <c r="AF30" s="185">
        <f t="shared" si="1"/>
        <v>0</v>
      </c>
    </row>
    <row r="31" spans="1:41" x14ac:dyDescent="0.25">
      <c r="A31" s="13" t="s">
        <v>140</v>
      </c>
      <c r="B31" s="97">
        <f>'Area&amp;production data'!N6</f>
        <v>0</v>
      </c>
      <c r="C31" s="319">
        <f>'Area&amp;production data'!CC6</f>
        <v>0</v>
      </c>
      <c r="D31" s="319">
        <f>'Area&amp;production data'!CD6</f>
        <v>0</v>
      </c>
      <c r="E31" s="319">
        <f>'Area&amp;production data'!CE6</f>
        <v>0</v>
      </c>
      <c r="F31" s="206">
        <f t="shared" ref="F31:F53" si="8">SUM(C31:E31)</f>
        <v>0</v>
      </c>
      <c r="G31" s="180">
        <f t="shared" si="4"/>
        <v>0</v>
      </c>
      <c r="H31" s="180">
        <f t="shared" si="5"/>
        <v>0</v>
      </c>
      <c r="I31" s="180">
        <f t="shared" si="6"/>
        <v>0</v>
      </c>
      <c r="J31" s="229">
        <f t="shared" ref="J31:J53" si="9">SUMPRODUCT(C31:E31,G31:I31)</f>
        <v>0</v>
      </c>
      <c r="K31" s="46">
        <f t="shared" ref="K31:K53" si="10">G31*C31*$B31</f>
        <v>0</v>
      </c>
      <c r="L31" s="46">
        <f t="shared" ref="L31:L53" si="11">H31*D31*$B31</f>
        <v>0</v>
      </c>
      <c r="M31" s="46">
        <f t="shared" ref="M31:M53" si="12">I31*E31*$B31</f>
        <v>0</v>
      </c>
      <c r="N31" s="46">
        <f t="shared" ref="N31:N53" si="13">SUM(K31:M31)</f>
        <v>0</v>
      </c>
      <c r="O31" s="46" t="e">
        <f t="shared" ref="O31:O53" si="14">$D$15*K31</f>
        <v>#DIV/0!</v>
      </c>
      <c r="P31" s="46" t="e">
        <f t="shared" ref="P31:P53" si="15">$D$15*L31</f>
        <v>#DIV/0!</v>
      </c>
      <c r="Q31" s="46" t="e">
        <f t="shared" ref="Q31:Q53" si="16">$D$15*M31</f>
        <v>#DIV/0!</v>
      </c>
      <c r="R31" s="48" t="e">
        <f t="shared" ref="R31:R53" si="17">SUM(O31:Q31)</f>
        <v>#DIV/0!</v>
      </c>
      <c r="S31" s="30" t="e">
        <f t="shared" ref="S31:S53" si="18">N31/$N$54</f>
        <v>#DIV/0!</v>
      </c>
      <c r="T31">
        <f t="shared" ref="T31:T53" si="19">RANK(N31,$N$30:$N$53)</f>
        <v>1</v>
      </c>
      <c r="U31">
        <f t="shared" ref="U31:U53" si="20">RANK(J31,$J$30:$J$53)</f>
        <v>1</v>
      </c>
      <c r="V31" s="13" t="s">
        <v>148</v>
      </c>
      <c r="W31" s="295"/>
      <c r="X31" s="295"/>
      <c r="Y31" s="295"/>
      <c r="Z31" s="95">
        <f>'Yield-data'!K14</f>
        <v>0</v>
      </c>
      <c r="AA31" s="140">
        <f t="shared" si="0"/>
        <v>0</v>
      </c>
      <c r="AB31" s="206">
        <f>'Yield-penalty-by-LD-class'!N14</f>
        <v>0</v>
      </c>
      <c r="AC31" s="206">
        <f>'Yield-penalty-by-LD-class'!O14</f>
        <v>0</v>
      </c>
      <c r="AD31" s="9">
        <f t="shared" si="2"/>
        <v>0</v>
      </c>
      <c r="AE31" s="95">
        <f t="shared" si="3"/>
        <v>0</v>
      </c>
      <c r="AF31" s="185">
        <f t="shared" si="1"/>
        <v>0</v>
      </c>
    </row>
    <row r="32" spans="1:41" x14ac:dyDescent="0.25">
      <c r="A32" s="13" t="s">
        <v>141</v>
      </c>
      <c r="B32" s="97">
        <f>'Area&amp;production data'!N7</f>
        <v>0</v>
      </c>
      <c r="C32" s="319">
        <f>'Area&amp;production data'!CC7</f>
        <v>0</v>
      </c>
      <c r="D32" s="319">
        <f>'Area&amp;production data'!CD7</f>
        <v>0</v>
      </c>
      <c r="E32" s="319">
        <f>'Area&amp;production data'!CE7</f>
        <v>0</v>
      </c>
      <c r="F32" s="206">
        <f t="shared" si="8"/>
        <v>0</v>
      </c>
      <c r="G32" s="180">
        <f t="shared" si="4"/>
        <v>0</v>
      </c>
      <c r="H32" s="180">
        <f t="shared" si="5"/>
        <v>0</v>
      </c>
      <c r="I32" s="180">
        <f t="shared" si="6"/>
        <v>0</v>
      </c>
      <c r="J32" s="229">
        <f t="shared" si="9"/>
        <v>0</v>
      </c>
      <c r="K32" s="46">
        <f t="shared" si="10"/>
        <v>0</v>
      </c>
      <c r="L32" s="46">
        <f t="shared" si="11"/>
        <v>0</v>
      </c>
      <c r="M32" s="46">
        <f t="shared" si="12"/>
        <v>0</v>
      </c>
      <c r="N32" s="46">
        <f t="shared" si="13"/>
        <v>0</v>
      </c>
      <c r="O32" s="46" t="e">
        <f t="shared" si="14"/>
        <v>#DIV/0!</v>
      </c>
      <c r="P32" s="46" t="e">
        <f t="shared" si="15"/>
        <v>#DIV/0!</v>
      </c>
      <c r="Q32" s="46" t="e">
        <f t="shared" si="16"/>
        <v>#DIV/0!</v>
      </c>
      <c r="R32" s="48" t="e">
        <f t="shared" si="17"/>
        <v>#DIV/0!</v>
      </c>
      <c r="S32" s="30" t="e">
        <f t="shared" si="18"/>
        <v>#DIV/0!</v>
      </c>
      <c r="T32">
        <f t="shared" si="19"/>
        <v>1</v>
      </c>
      <c r="U32">
        <f t="shared" si="20"/>
        <v>1</v>
      </c>
      <c r="V32" s="13" t="s">
        <v>149</v>
      </c>
      <c r="W32" s="295"/>
      <c r="X32" s="295"/>
      <c r="Y32" s="295"/>
      <c r="Z32" s="95">
        <f>'Yield-data'!K15</f>
        <v>0</v>
      </c>
      <c r="AA32" s="140">
        <f t="shared" si="0"/>
        <v>0</v>
      </c>
      <c r="AB32" s="206">
        <f>'Yield-penalty-by-LD-class'!N15</f>
        <v>0</v>
      </c>
      <c r="AC32" s="206">
        <f>'Yield-penalty-by-LD-class'!O15</f>
        <v>0</v>
      </c>
      <c r="AD32" s="9">
        <f t="shared" si="2"/>
        <v>0</v>
      </c>
      <c r="AE32" s="95">
        <f t="shared" si="3"/>
        <v>0</v>
      </c>
      <c r="AF32" s="185">
        <f t="shared" si="1"/>
        <v>0</v>
      </c>
    </row>
    <row r="33" spans="1:32" x14ac:dyDescent="0.25">
      <c r="A33" s="13" t="s">
        <v>142</v>
      </c>
      <c r="B33" s="97">
        <f>'Area&amp;production data'!N8</f>
        <v>0</v>
      </c>
      <c r="C33" s="319">
        <f>'Area&amp;production data'!CC8</f>
        <v>0</v>
      </c>
      <c r="D33" s="319">
        <f>'Area&amp;production data'!CD8</f>
        <v>0</v>
      </c>
      <c r="E33" s="319">
        <f>'Area&amp;production data'!CE8</f>
        <v>0</v>
      </c>
      <c r="F33" s="206">
        <f t="shared" si="8"/>
        <v>0</v>
      </c>
      <c r="G33" s="180">
        <f t="shared" si="4"/>
        <v>0</v>
      </c>
      <c r="H33" s="180">
        <f t="shared" si="5"/>
        <v>0</v>
      </c>
      <c r="I33" s="180">
        <f t="shared" si="6"/>
        <v>0</v>
      </c>
      <c r="J33" s="229">
        <f t="shared" si="9"/>
        <v>0</v>
      </c>
      <c r="K33" s="46">
        <f t="shared" si="10"/>
        <v>0</v>
      </c>
      <c r="L33" s="46">
        <f t="shared" si="11"/>
        <v>0</v>
      </c>
      <c r="M33" s="46">
        <f t="shared" si="12"/>
        <v>0</v>
      </c>
      <c r="N33" s="46">
        <f t="shared" si="13"/>
        <v>0</v>
      </c>
      <c r="O33" s="46" t="e">
        <f t="shared" si="14"/>
        <v>#DIV/0!</v>
      </c>
      <c r="P33" s="46" t="e">
        <f t="shared" si="15"/>
        <v>#DIV/0!</v>
      </c>
      <c r="Q33" s="46" t="e">
        <f t="shared" si="16"/>
        <v>#DIV/0!</v>
      </c>
      <c r="R33" s="48" t="e">
        <f t="shared" si="17"/>
        <v>#DIV/0!</v>
      </c>
      <c r="S33" s="30" t="e">
        <f t="shared" si="18"/>
        <v>#DIV/0!</v>
      </c>
      <c r="T33">
        <f t="shared" si="19"/>
        <v>1</v>
      </c>
      <c r="U33">
        <f t="shared" si="20"/>
        <v>1</v>
      </c>
      <c r="V33" s="13" t="s">
        <v>150</v>
      </c>
      <c r="W33" s="295"/>
      <c r="X33" s="295"/>
      <c r="Y33" s="295"/>
      <c r="Z33" s="95">
        <f>'Yield-data'!K16</f>
        <v>0</v>
      </c>
      <c r="AA33" s="140">
        <f t="shared" si="0"/>
        <v>0</v>
      </c>
      <c r="AB33" s="206">
        <f>'Yield-penalty-by-LD-class'!N16</f>
        <v>0</v>
      </c>
      <c r="AC33" s="206">
        <f>'Yield-penalty-by-LD-class'!O16</f>
        <v>0</v>
      </c>
      <c r="AD33" s="9">
        <f t="shared" si="2"/>
        <v>0</v>
      </c>
      <c r="AE33" s="95">
        <f t="shared" si="3"/>
        <v>0</v>
      </c>
      <c r="AF33" s="185">
        <f t="shared" si="1"/>
        <v>0</v>
      </c>
    </row>
    <row r="34" spans="1:32" x14ac:dyDescent="0.25">
      <c r="A34" s="13" t="s">
        <v>143</v>
      </c>
      <c r="B34" s="97">
        <f>'Area&amp;production data'!N9</f>
        <v>0</v>
      </c>
      <c r="C34" s="319">
        <f>'Area&amp;production data'!CC9</f>
        <v>0</v>
      </c>
      <c r="D34" s="319">
        <f>'Area&amp;production data'!CD9</f>
        <v>0</v>
      </c>
      <c r="E34" s="319">
        <f>'Area&amp;production data'!CE9</f>
        <v>0</v>
      </c>
      <c r="F34" s="206">
        <f t="shared" si="8"/>
        <v>0</v>
      </c>
      <c r="G34" s="180">
        <f t="shared" si="4"/>
        <v>0</v>
      </c>
      <c r="H34" s="180">
        <f t="shared" si="5"/>
        <v>0</v>
      </c>
      <c r="I34" s="180">
        <f t="shared" si="6"/>
        <v>0</v>
      </c>
      <c r="J34" s="229">
        <f t="shared" si="9"/>
        <v>0</v>
      </c>
      <c r="K34" s="46">
        <f t="shared" si="10"/>
        <v>0</v>
      </c>
      <c r="L34" s="46">
        <f t="shared" si="11"/>
        <v>0</v>
      </c>
      <c r="M34" s="46">
        <f t="shared" si="12"/>
        <v>0</v>
      </c>
      <c r="N34" s="46">
        <f t="shared" si="13"/>
        <v>0</v>
      </c>
      <c r="O34" s="46" t="e">
        <f t="shared" si="14"/>
        <v>#DIV/0!</v>
      </c>
      <c r="P34" s="46" t="e">
        <f t="shared" si="15"/>
        <v>#DIV/0!</v>
      </c>
      <c r="Q34" s="46" t="e">
        <f t="shared" si="16"/>
        <v>#DIV/0!</v>
      </c>
      <c r="R34" s="48" t="e">
        <f t="shared" si="17"/>
        <v>#DIV/0!</v>
      </c>
      <c r="S34" s="30" t="e">
        <f t="shared" si="18"/>
        <v>#DIV/0!</v>
      </c>
      <c r="T34">
        <f t="shared" si="19"/>
        <v>1</v>
      </c>
      <c r="U34">
        <f t="shared" si="20"/>
        <v>1</v>
      </c>
      <c r="V34" s="13" t="s">
        <v>151</v>
      </c>
      <c r="W34" s="295"/>
      <c r="X34" s="295"/>
      <c r="Y34" s="295"/>
      <c r="Z34" s="95">
        <f>'Yield-data'!K17</f>
        <v>0</v>
      </c>
      <c r="AA34" s="140">
        <f t="shared" si="0"/>
        <v>0</v>
      </c>
      <c r="AB34" s="206">
        <f>'Yield-penalty-by-LD-class'!N17</f>
        <v>0</v>
      </c>
      <c r="AC34" s="206">
        <f>'Yield-penalty-by-LD-class'!O17</f>
        <v>0</v>
      </c>
      <c r="AD34" s="9">
        <f t="shared" si="2"/>
        <v>0</v>
      </c>
      <c r="AE34" s="95">
        <f t="shared" si="3"/>
        <v>0</v>
      </c>
      <c r="AF34" s="185">
        <f t="shared" si="1"/>
        <v>0</v>
      </c>
    </row>
    <row r="35" spans="1:32" x14ac:dyDescent="0.25">
      <c r="A35" s="13" t="s">
        <v>144</v>
      </c>
      <c r="B35" s="97">
        <f>'Area&amp;production data'!N10</f>
        <v>0</v>
      </c>
      <c r="C35" s="319">
        <f>'Area&amp;production data'!CC10</f>
        <v>0</v>
      </c>
      <c r="D35" s="319">
        <f>'Area&amp;production data'!CD10</f>
        <v>0</v>
      </c>
      <c r="E35" s="319">
        <f>'Area&amp;production data'!CE10</f>
        <v>0</v>
      </c>
      <c r="F35" s="206">
        <f t="shared" si="8"/>
        <v>0</v>
      </c>
      <c r="G35" s="180">
        <f t="shared" si="4"/>
        <v>0</v>
      </c>
      <c r="H35" s="180">
        <f t="shared" si="5"/>
        <v>0</v>
      </c>
      <c r="I35" s="180">
        <f t="shared" si="6"/>
        <v>0</v>
      </c>
      <c r="J35" s="229">
        <f t="shared" si="9"/>
        <v>0</v>
      </c>
      <c r="K35" s="46">
        <f t="shared" si="10"/>
        <v>0</v>
      </c>
      <c r="L35" s="46">
        <f t="shared" si="11"/>
        <v>0</v>
      </c>
      <c r="M35" s="46">
        <f t="shared" si="12"/>
        <v>0</v>
      </c>
      <c r="N35" s="46">
        <f t="shared" si="13"/>
        <v>0</v>
      </c>
      <c r="O35" s="46" t="e">
        <f t="shared" si="14"/>
        <v>#DIV/0!</v>
      </c>
      <c r="P35" s="46" t="e">
        <f t="shared" si="15"/>
        <v>#DIV/0!</v>
      </c>
      <c r="Q35" s="46" t="e">
        <f t="shared" si="16"/>
        <v>#DIV/0!</v>
      </c>
      <c r="R35" s="48" t="e">
        <f t="shared" si="17"/>
        <v>#DIV/0!</v>
      </c>
      <c r="S35" s="30" t="e">
        <f t="shared" si="18"/>
        <v>#DIV/0!</v>
      </c>
      <c r="T35">
        <f t="shared" si="19"/>
        <v>1</v>
      </c>
      <c r="U35">
        <f t="shared" si="20"/>
        <v>1</v>
      </c>
      <c r="V35" s="13" t="s">
        <v>152</v>
      </c>
      <c r="W35" s="295"/>
      <c r="X35" s="295"/>
      <c r="Y35" s="295"/>
      <c r="Z35" s="95">
        <f>'Yield-data'!K18</f>
        <v>0</v>
      </c>
      <c r="AA35" s="140">
        <f t="shared" si="0"/>
        <v>0</v>
      </c>
      <c r="AB35" s="206">
        <f>'Yield-penalty-by-LD-class'!N18</f>
        <v>0</v>
      </c>
      <c r="AC35" s="206">
        <f>'Yield-penalty-by-LD-class'!O18</f>
        <v>0</v>
      </c>
      <c r="AD35" s="9">
        <f t="shared" si="2"/>
        <v>0</v>
      </c>
      <c r="AE35" s="95">
        <f t="shared" si="3"/>
        <v>0</v>
      </c>
      <c r="AF35" s="185">
        <f t="shared" si="1"/>
        <v>0</v>
      </c>
    </row>
    <row r="36" spans="1:32" x14ac:dyDescent="0.25">
      <c r="A36" s="13" t="s">
        <v>145</v>
      </c>
      <c r="B36" s="97">
        <f>'Area&amp;production data'!N11</f>
        <v>0</v>
      </c>
      <c r="C36" s="319">
        <f>'Area&amp;production data'!CC11</f>
        <v>0</v>
      </c>
      <c r="D36" s="319">
        <f>'Area&amp;production data'!CD11</f>
        <v>0</v>
      </c>
      <c r="E36" s="319">
        <f>'Area&amp;production data'!CE11</f>
        <v>0</v>
      </c>
      <c r="F36" s="206">
        <f t="shared" si="8"/>
        <v>0</v>
      </c>
      <c r="G36" s="180">
        <f t="shared" si="4"/>
        <v>0</v>
      </c>
      <c r="H36" s="180">
        <f t="shared" si="5"/>
        <v>0</v>
      </c>
      <c r="I36" s="180">
        <f t="shared" si="6"/>
        <v>0</v>
      </c>
      <c r="J36" s="229">
        <f t="shared" si="9"/>
        <v>0</v>
      </c>
      <c r="K36" s="46">
        <f t="shared" si="10"/>
        <v>0</v>
      </c>
      <c r="L36" s="46">
        <f t="shared" si="11"/>
        <v>0</v>
      </c>
      <c r="M36" s="46">
        <f t="shared" si="12"/>
        <v>0</v>
      </c>
      <c r="N36" s="46">
        <f t="shared" si="13"/>
        <v>0</v>
      </c>
      <c r="O36" s="46" t="e">
        <f t="shared" si="14"/>
        <v>#DIV/0!</v>
      </c>
      <c r="P36" s="46" t="e">
        <f t="shared" si="15"/>
        <v>#DIV/0!</v>
      </c>
      <c r="Q36" s="46" t="e">
        <f t="shared" si="16"/>
        <v>#DIV/0!</v>
      </c>
      <c r="R36" s="48" t="e">
        <f t="shared" si="17"/>
        <v>#DIV/0!</v>
      </c>
      <c r="S36" s="30" t="e">
        <f t="shared" si="18"/>
        <v>#DIV/0!</v>
      </c>
      <c r="T36">
        <f t="shared" si="19"/>
        <v>1</v>
      </c>
      <c r="U36">
        <f t="shared" si="20"/>
        <v>1</v>
      </c>
      <c r="V36" s="13" t="s">
        <v>153</v>
      </c>
      <c r="W36" s="295"/>
      <c r="X36" s="295"/>
      <c r="Y36" s="295"/>
      <c r="Z36" s="95">
        <f>'Yield-data'!K19</f>
        <v>0</v>
      </c>
      <c r="AA36" s="140">
        <f t="shared" si="0"/>
        <v>0</v>
      </c>
      <c r="AB36" s="206">
        <f>'Yield-penalty-by-LD-class'!N19</f>
        <v>0</v>
      </c>
      <c r="AC36" s="206">
        <f>'Yield-penalty-by-LD-class'!O19</f>
        <v>0</v>
      </c>
      <c r="AD36" s="9">
        <f t="shared" si="2"/>
        <v>0</v>
      </c>
      <c r="AE36" s="95">
        <f t="shared" si="3"/>
        <v>0</v>
      </c>
      <c r="AF36" s="185">
        <f t="shared" si="1"/>
        <v>0</v>
      </c>
    </row>
    <row r="37" spans="1:32" x14ac:dyDescent="0.25">
      <c r="A37" s="13" t="s">
        <v>146</v>
      </c>
      <c r="B37" s="97">
        <f>'Area&amp;production data'!N12</f>
        <v>0</v>
      </c>
      <c r="C37" s="319">
        <f>'Area&amp;production data'!CC12</f>
        <v>0</v>
      </c>
      <c r="D37" s="319">
        <f>'Area&amp;production data'!CD12</f>
        <v>0</v>
      </c>
      <c r="E37" s="319">
        <f>'Area&amp;production data'!CE12</f>
        <v>0</v>
      </c>
      <c r="F37" s="206">
        <f t="shared" si="8"/>
        <v>0</v>
      </c>
      <c r="G37" s="180">
        <f t="shared" si="4"/>
        <v>0</v>
      </c>
      <c r="H37" s="180">
        <f t="shared" si="5"/>
        <v>0</v>
      </c>
      <c r="I37" s="180">
        <f t="shared" si="6"/>
        <v>0</v>
      </c>
      <c r="J37" s="229">
        <f t="shared" si="9"/>
        <v>0</v>
      </c>
      <c r="K37" s="46">
        <f t="shared" si="10"/>
        <v>0</v>
      </c>
      <c r="L37" s="46">
        <f t="shared" si="11"/>
        <v>0</v>
      </c>
      <c r="M37" s="46">
        <f t="shared" si="12"/>
        <v>0</v>
      </c>
      <c r="N37" s="46">
        <f t="shared" si="13"/>
        <v>0</v>
      </c>
      <c r="O37" s="46" t="e">
        <f t="shared" si="14"/>
        <v>#DIV/0!</v>
      </c>
      <c r="P37" s="46" t="e">
        <f t="shared" si="15"/>
        <v>#DIV/0!</v>
      </c>
      <c r="Q37" s="46" t="e">
        <f t="shared" si="16"/>
        <v>#DIV/0!</v>
      </c>
      <c r="R37" s="48" t="e">
        <f t="shared" si="17"/>
        <v>#DIV/0!</v>
      </c>
      <c r="S37" s="30" t="e">
        <f t="shared" si="18"/>
        <v>#DIV/0!</v>
      </c>
      <c r="T37">
        <f t="shared" si="19"/>
        <v>1</v>
      </c>
      <c r="U37">
        <f t="shared" si="20"/>
        <v>1</v>
      </c>
      <c r="V37" s="13" t="s">
        <v>154</v>
      </c>
      <c r="W37" s="295"/>
      <c r="X37" s="295"/>
      <c r="Y37" s="295"/>
      <c r="Z37" s="95">
        <f>'Yield-data'!K20</f>
        <v>0</v>
      </c>
      <c r="AA37" s="140">
        <f t="shared" si="0"/>
        <v>0</v>
      </c>
      <c r="AB37" s="206">
        <f>'Yield-penalty-by-LD-class'!N20</f>
        <v>0</v>
      </c>
      <c r="AC37" s="206">
        <f>'Yield-penalty-by-LD-class'!O20</f>
        <v>0</v>
      </c>
      <c r="AD37" s="9">
        <f t="shared" si="2"/>
        <v>0</v>
      </c>
      <c r="AE37" s="95">
        <f t="shared" si="3"/>
        <v>0</v>
      </c>
      <c r="AF37" s="185">
        <f t="shared" si="1"/>
        <v>0</v>
      </c>
    </row>
    <row r="38" spans="1:32" x14ac:dyDescent="0.25">
      <c r="A38" s="13" t="s">
        <v>147</v>
      </c>
      <c r="B38" s="97">
        <f>'Area&amp;production data'!N13</f>
        <v>0</v>
      </c>
      <c r="C38" s="319">
        <f>'Area&amp;production data'!CC13</f>
        <v>0</v>
      </c>
      <c r="D38" s="319">
        <f>'Area&amp;production data'!CD13</f>
        <v>0</v>
      </c>
      <c r="E38" s="319">
        <f>'Area&amp;production data'!CE13</f>
        <v>0</v>
      </c>
      <c r="F38" s="206">
        <f t="shared" si="8"/>
        <v>0</v>
      </c>
      <c r="G38" s="180">
        <f t="shared" si="4"/>
        <v>0</v>
      </c>
      <c r="H38" s="180">
        <f t="shared" si="5"/>
        <v>0</v>
      </c>
      <c r="I38" s="180">
        <f t="shared" si="6"/>
        <v>0</v>
      </c>
      <c r="J38" s="229">
        <f t="shared" si="9"/>
        <v>0</v>
      </c>
      <c r="K38" s="46">
        <f t="shared" si="10"/>
        <v>0</v>
      </c>
      <c r="L38" s="46">
        <f t="shared" si="11"/>
        <v>0</v>
      </c>
      <c r="M38" s="46">
        <f t="shared" si="12"/>
        <v>0</v>
      </c>
      <c r="N38" s="46">
        <f t="shared" si="13"/>
        <v>0</v>
      </c>
      <c r="O38" s="46" t="e">
        <f t="shared" si="14"/>
        <v>#DIV/0!</v>
      </c>
      <c r="P38" s="46" t="e">
        <f t="shared" si="15"/>
        <v>#DIV/0!</v>
      </c>
      <c r="Q38" s="46" t="e">
        <f t="shared" si="16"/>
        <v>#DIV/0!</v>
      </c>
      <c r="R38" s="48" t="e">
        <f t="shared" si="17"/>
        <v>#DIV/0!</v>
      </c>
      <c r="S38" s="30" t="e">
        <f t="shared" si="18"/>
        <v>#DIV/0!</v>
      </c>
      <c r="T38">
        <f t="shared" si="19"/>
        <v>1</v>
      </c>
      <c r="U38">
        <f t="shared" si="20"/>
        <v>1</v>
      </c>
      <c r="V38" s="13" t="s">
        <v>155</v>
      </c>
      <c r="W38" s="295"/>
      <c r="X38" s="295"/>
      <c r="Y38" s="295"/>
      <c r="Z38" s="95">
        <f>'Yield-data'!K21</f>
        <v>0</v>
      </c>
      <c r="AA38" s="140">
        <f t="shared" si="0"/>
        <v>0</v>
      </c>
      <c r="AB38" s="206">
        <f>'Yield-penalty-by-LD-class'!N21</f>
        <v>0</v>
      </c>
      <c r="AC38" s="206">
        <f>'Yield-penalty-by-LD-class'!O21</f>
        <v>0</v>
      </c>
      <c r="AD38" s="9">
        <f t="shared" si="2"/>
        <v>0</v>
      </c>
      <c r="AE38" s="95">
        <f t="shared" si="3"/>
        <v>0</v>
      </c>
      <c r="AF38" s="185">
        <f t="shared" si="1"/>
        <v>0</v>
      </c>
    </row>
    <row r="39" spans="1:32" x14ac:dyDescent="0.25">
      <c r="A39" s="13" t="s">
        <v>148</v>
      </c>
      <c r="B39" s="97">
        <f>'Area&amp;production data'!N14</f>
        <v>0</v>
      </c>
      <c r="C39" s="319">
        <f>'Area&amp;production data'!CC14</f>
        <v>0</v>
      </c>
      <c r="D39" s="319">
        <f>'Area&amp;production data'!CD14</f>
        <v>0</v>
      </c>
      <c r="E39" s="319">
        <f>'Area&amp;production data'!CE14</f>
        <v>0</v>
      </c>
      <c r="F39" s="206">
        <f t="shared" si="8"/>
        <v>0</v>
      </c>
      <c r="G39" s="180">
        <f t="shared" si="4"/>
        <v>0</v>
      </c>
      <c r="H39" s="180">
        <f t="shared" si="5"/>
        <v>0</v>
      </c>
      <c r="I39" s="180">
        <f t="shared" si="6"/>
        <v>0</v>
      </c>
      <c r="J39" s="229">
        <f t="shared" si="9"/>
        <v>0</v>
      </c>
      <c r="K39" s="46">
        <f t="shared" si="10"/>
        <v>0</v>
      </c>
      <c r="L39" s="46">
        <f t="shared" si="11"/>
        <v>0</v>
      </c>
      <c r="M39" s="46">
        <f t="shared" si="12"/>
        <v>0</v>
      </c>
      <c r="N39" s="46">
        <f t="shared" si="13"/>
        <v>0</v>
      </c>
      <c r="O39" s="46" t="e">
        <f t="shared" si="14"/>
        <v>#DIV/0!</v>
      </c>
      <c r="P39" s="46" t="e">
        <f t="shared" si="15"/>
        <v>#DIV/0!</v>
      </c>
      <c r="Q39" s="46" t="e">
        <f t="shared" si="16"/>
        <v>#DIV/0!</v>
      </c>
      <c r="R39" s="48" t="e">
        <f t="shared" si="17"/>
        <v>#DIV/0!</v>
      </c>
      <c r="S39" s="30" t="e">
        <f t="shared" si="18"/>
        <v>#DIV/0!</v>
      </c>
      <c r="T39">
        <f t="shared" si="19"/>
        <v>1</v>
      </c>
      <c r="U39">
        <f t="shared" si="20"/>
        <v>1</v>
      </c>
      <c r="V39" s="13" t="s">
        <v>156</v>
      </c>
      <c r="W39" s="295"/>
      <c r="X39" s="295"/>
      <c r="Y39" s="295"/>
      <c r="Z39" s="95">
        <f>'Yield-data'!K22</f>
        <v>0</v>
      </c>
      <c r="AA39" s="140">
        <f t="shared" si="0"/>
        <v>0</v>
      </c>
      <c r="AB39" s="206">
        <f>'Yield-penalty-by-LD-class'!N22</f>
        <v>0</v>
      </c>
      <c r="AC39" s="206">
        <f>'Yield-penalty-by-LD-class'!O22</f>
        <v>0</v>
      </c>
      <c r="AD39" s="9">
        <f t="shared" si="2"/>
        <v>0</v>
      </c>
      <c r="AE39" s="95">
        <f t="shared" si="3"/>
        <v>0</v>
      </c>
      <c r="AF39" s="185">
        <f t="shared" si="1"/>
        <v>0</v>
      </c>
    </row>
    <row r="40" spans="1:32" x14ac:dyDescent="0.25">
      <c r="A40" s="13" t="s">
        <v>149</v>
      </c>
      <c r="B40" s="97">
        <f>'Area&amp;production data'!N15</f>
        <v>0</v>
      </c>
      <c r="C40" s="319">
        <f>'Area&amp;production data'!CC15</f>
        <v>0</v>
      </c>
      <c r="D40" s="319">
        <f>'Area&amp;production data'!CD15</f>
        <v>0</v>
      </c>
      <c r="E40" s="319">
        <f>'Area&amp;production data'!CE15</f>
        <v>0</v>
      </c>
      <c r="F40" s="206">
        <f t="shared" si="8"/>
        <v>0</v>
      </c>
      <c r="G40" s="180">
        <f t="shared" si="4"/>
        <v>0</v>
      </c>
      <c r="H40" s="180">
        <f t="shared" si="5"/>
        <v>0</v>
      </c>
      <c r="I40" s="180">
        <f t="shared" si="6"/>
        <v>0</v>
      </c>
      <c r="J40" s="229">
        <f t="shared" si="9"/>
        <v>0</v>
      </c>
      <c r="K40" s="46">
        <f t="shared" si="10"/>
        <v>0</v>
      </c>
      <c r="L40" s="46">
        <f t="shared" si="11"/>
        <v>0</v>
      </c>
      <c r="M40" s="46">
        <f t="shared" si="12"/>
        <v>0</v>
      </c>
      <c r="N40" s="46">
        <f t="shared" si="13"/>
        <v>0</v>
      </c>
      <c r="O40" s="46" t="e">
        <f t="shared" si="14"/>
        <v>#DIV/0!</v>
      </c>
      <c r="P40" s="46" t="e">
        <f t="shared" si="15"/>
        <v>#DIV/0!</v>
      </c>
      <c r="Q40" s="46" t="e">
        <f t="shared" si="16"/>
        <v>#DIV/0!</v>
      </c>
      <c r="R40" s="48" t="e">
        <f t="shared" si="17"/>
        <v>#DIV/0!</v>
      </c>
      <c r="S40" s="30" t="e">
        <f t="shared" si="18"/>
        <v>#DIV/0!</v>
      </c>
      <c r="T40">
        <f t="shared" si="19"/>
        <v>1</v>
      </c>
      <c r="U40">
        <f t="shared" si="20"/>
        <v>1</v>
      </c>
      <c r="V40" s="13" t="s">
        <v>157</v>
      </c>
      <c r="W40" s="295"/>
      <c r="X40" s="295"/>
      <c r="Y40" s="295"/>
      <c r="Z40" s="95">
        <f>'Yield-data'!K23</f>
        <v>0</v>
      </c>
      <c r="AA40" s="140">
        <f t="shared" si="0"/>
        <v>0</v>
      </c>
      <c r="AB40" s="206">
        <f>'Yield-penalty-by-LD-class'!N23</f>
        <v>0</v>
      </c>
      <c r="AC40" s="206">
        <f>'Yield-penalty-by-LD-class'!O23</f>
        <v>0</v>
      </c>
      <c r="AD40" s="9">
        <f t="shared" si="2"/>
        <v>0</v>
      </c>
      <c r="AE40" s="95">
        <f t="shared" si="3"/>
        <v>0</v>
      </c>
      <c r="AF40" s="185">
        <f t="shared" si="1"/>
        <v>0</v>
      </c>
    </row>
    <row r="41" spans="1:32" x14ac:dyDescent="0.25">
      <c r="A41" s="13" t="s">
        <v>150</v>
      </c>
      <c r="B41" s="97">
        <f>'Area&amp;production data'!N16</f>
        <v>0</v>
      </c>
      <c r="C41" s="319">
        <f>'Area&amp;production data'!CC16</f>
        <v>0</v>
      </c>
      <c r="D41" s="319">
        <f>'Area&amp;production data'!CD16</f>
        <v>0</v>
      </c>
      <c r="E41" s="319">
        <f>'Area&amp;production data'!CE16</f>
        <v>0</v>
      </c>
      <c r="F41" s="206">
        <f t="shared" si="8"/>
        <v>0</v>
      </c>
      <c r="G41" s="180">
        <f t="shared" si="4"/>
        <v>0</v>
      </c>
      <c r="H41" s="180">
        <f t="shared" si="5"/>
        <v>0</v>
      </c>
      <c r="I41" s="180">
        <f t="shared" si="6"/>
        <v>0</v>
      </c>
      <c r="J41" s="229">
        <f t="shared" si="9"/>
        <v>0</v>
      </c>
      <c r="K41" s="46">
        <f t="shared" si="10"/>
        <v>0</v>
      </c>
      <c r="L41" s="46">
        <f t="shared" si="11"/>
        <v>0</v>
      </c>
      <c r="M41" s="46">
        <f t="shared" si="12"/>
        <v>0</v>
      </c>
      <c r="N41" s="46">
        <f t="shared" si="13"/>
        <v>0</v>
      </c>
      <c r="O41" s="46" t="e">
        <f t="shared" si="14"/>
        <v>#DIV/0!</v>
      </c>
      <c r="P41" s="46" t="e">
        <f t="shared" si="15"/>
        <v>#DIV/0!</v>
      </c>
      <c r="Q41" s="46" t="e">
        <f t="shared" si="16"/>
        <v>#DIV/0!</v>
      </c>
      <c r="R41" s="48" t="e">
        <f t="shared" si="17"/>
        <v>#DIV/0!</v>
      </c>
      <c r="S41" s="30" t="e">
        <f t="shared" si="18"/>
        <v>#DIV/0!</v>
      </c>
      <c r="T41">
        <f t="shared" si="19"/>
        <v>1</v>
      </c>
      <c r="U41">
        <f t="shared" si="20"/>
        <v>1</v>
      </c>
      <c r="V41" s="13" t="s">
        <v>158</v>
      </c>
      <c r="W41" s="295"/>
      <c r="X41" s="295"/>
      <c r="Y41" s="295"/>
      <c r="Z41" s="95">
        <f>'Yield-data'!K24</f>
        <v>0</v>
      </c>
      <c r="AA41" s="140">
        <f t="shared" si="0"/>
        <v>0</v>
      </c>
      <c r="AB41" s="206">
        <f>'Yield-penalty-by-LD-class'!N24</f>
        <v>0</v>
      </c>
      <c r="AC41" s="206">
        <f>'Yield-penalty-by-LD-class'!O24</f>
        <v>0</v>
      </c>
      <c r="AD41" s="9">
        <f t="shared" si="2"/>
        <v>0</v>
      </c>
      <c r="AE41" s="95">
        <f t="shared" si="3"/>
        <v>0</v>
      </c>
      <c r="AF41" s="185">
        <f t="shared" si="1"/>
        <v>0</v>
      </c>
    </row>
    <row r="42" spans="1:32" x14ac:dyDescent="0.25">
      <c r="A42" s="13" t="s">
        <v>151</v>
      </c>
      <c r="B42" s="97">
        <f>'Area&amp;production data'!N17</f>
        <v>0</v>
      </c>
      <c r="C42" s="319">
        <f>'Area&amp;production data'!CC17</f>
        <v>0</v>
      </c>
      <c r="D42" s="319">
        <f>'Area&amp;production data'!CD17</f>
        <v>0</v>
      </c>
      <c r="E42" s="319">
        <f>'Area&amp;production data'!CE17</f>
        <v>0</v>
      </c>
      <c r="F42" s="206">
        <f t="shared" si="8"/>
        <v>0</v>
      </c>
      <c r="G42" s="180">
        <f t="shared" si="4"/>
        <v>0</v>
      </c>
      <c r="H42" s="180">
        <f t="shared" si="5"/>
        <v>0</v>
      </c>
      <c r="I42" s="180">
        <f t="shared" si="6"/>
        <v>0</v>
      </c>
      <c r="J42" s="229">
        <f t="shared" si="9"/>
        <v>0</v>
      </c>
      <c r="K42" s="46">
        <f t="shared" si="10"/>
        <v>0</v>
      </c>
      <c r="L42" s="46">
        <f t="shared" si="11"/>
        <v>0</v>
      </c>
      <c r="M42" s="46">
        <f t="shared" si="12"/>
        <v>0</v>
      </c>
      <c r="N42" s="46">
        <f t="shared" si="13"/>
        <v>0</v>
      </c>
      <c r="O42" s="46" t="e">
        <f t="shared" si="14"/>
        <v>#DIV/0!</v>
      </c>
      <c r="P42" s="46" t="e">
        <f t="shared" si="15"/>
        <v>#DIV/0!</v>
      </c>
      <c r="Q42" s="46" t="e">
        <f t="shared" si="16"/>
        <v>#DIV/0!</v>
      </c>
      <c r="R42" s="48" t="e">
        <f t="shared" si="17"/>
        <v>#DIV/0!</v>
      </c>
      <c r="S42" s="30" t="e">
        <f t="shared" si="18"/>
        <v>#DIV/0!</v>
      </c>
      <c r="T42">
        <f t="shared" si="19"/>
        <v>1</v>
      </c>
      <c r="U42">
        <f t="shared" si="20"/>
        <v>1</v>
      </c>
      <c r="V42" s="13" t="s">
        <v>159</v>
      </c>
      <c r="W42" s="295"/>
      <c r="X42" s="295"/>
      <c r="Y42" s="295"/>
      <c r="Z42" s="95">
        <f>'Yield-data'!K25</f>
        <v>0</v>
      </c>
      <c r="AA42" s="140">
        <f t="shared" si="0"/>
        <v>0</v>
      </c>
      <c r="AB42" s="206">
        <f>'Yield-penalty-by-LD-class'!N25</f>
        <v>0</v>
      </c>
      <c r="AC42" s="206">
        <f>'Yield-penalty-by-LD-class'!O25</f>
        <v>0</v>
      </c>
      <c r="AD42" s="9">
        <f t="shared" si="2"/>
        <v>0</v>
      </c>
      <c r="AE42" s="95">
        <f t="shared" si="3"/>
        <v>0</v>
      </c>
      <c r="AF42" s="185">
        <f t="shared" si="1"/>
        <v>0</v>
      </c>
    </row>
    <row r="43" spans="1:32" x14ac:dyDescent="0.25">
      <c r="A43" s="13" t="s">
        <v>152</v>
      </c>
      <c r="B43" s="97">
        <f>'Area&amp;production data'!N18</f>
        <v>0</v>
      </c>
      <c r="C43" s="319">
        <f>'Area&amp;production data'!CC18</f>
        <v>0</v>
      </c>
      <c r="D43" s="319">
        <f>'Area&amp;production data'!CD18</f>
        <v>0</v>
      </c>
      <c r="E43" s="319">
        <f>'Area&amp;production data'!CE18</f>
        <v>0</v>
      </c>
      <c r="F43" s="206">
        <f t="shared" si="8"/>
        <v>0</v>
      </c>
      <c r="G43" s="180">
        <f t="shared" si="4"/>
        <v>0</v>
      </c>
      <c r="H43" s="180">
        <f t="shared" si="5"/>
        <v>0</v>
      </c>
      <c r="I43" s="180">
        <f t="shared" si="6"/>
        <v>0</v>
      </c>
      <c r="J43" s="229">
        <f t="shared" si="9"/>
        <v>0</v>
      </c>
      <c r="K43" s="46">
        <f t="shared" si="10"/>
        <v>0</v>
      </c>
      <c r="L43" s="46">
        <f t="shared" si="11"/>
        <v>0</v>
      </c>
      <c r="M43" s="46">
        <f t="shared" si="12"/>
        <v>0</v>
      </c>
      <c r="N43" s="46">
        <f t="shared" si="13"/>
        <v>0</v>
      </c>
      <c r="O43" s="46" t="e">
        <f t="shared" si="14"/>
        <v>#DIV/0!</v>
      </c>
      <c r="P43" s="46" t="e">
        <f t="shared" si="15"/>
        <v>#DIV/0!</v>
      </c>
      <c r="Q43" s="46" t="e">
        <f t="shared" si="16"/>
        <v>#DIV/0!</v>
      </c>
      <c r="R43" s="48" t="e">
        <f t="shared" si="17"/>
        <v>#DIV/0!</v>
      </c>
      <c r="S43" s="30" t="e">
        <f t="shared" si="18"/>
        <v>#DIV/0!</v>
      </c>
      <c r="T43">
        <f t="shared" si="19"/>
        <v>1</v>
      </c>
      <c r="U43">
        <f t="shared" si="20"/>
        <v>1</v>
      </c>
      <c r="V43" s="13" t="s">
        <v>160</v>
      </c>
      <c r="W43" s="295"/>
      <c r="X43" s="295"/>
      <c r="Y43" s="295"/>
      <c r="Z43" s="95">
        <f>'Yield-data'!K26</f>
        <v>0</v>
      </c>
      <c r="AA43" s="140">
        <f t="shared" si="0"/>
        <v>0</v>
      </c>
      <c r="AB43" s="206">
        <f>'Yield-penalty-by-LD-class'!N26</f>
        <v>0</v>
      </c>
      <c r="AC43" s="206">
        <f>'Yield-penalty-by-LD-class'!O26</f>
        <v>0</v>
      </c>
      <c r="AD43" s="9">
        <f t="shared" si="2"/>
        <v>0</v>
      </c>
      <c r="AE43" s="95">
        <f t="shared" si="3"/>
        <v>0</v>
      </c>
      <c r="AF43" s="185">
        <f t="shared" si="1"/>
        <v>0</v>
      </c>
    </row>
    <row r="44" spans="1:32" x14ac:dyDescent="0.25">
      <c r="A44" s="13" t="s">
        <v>162</v>
      </c>
      <c r="B44" s="97">
        <f>'Area&amp;production data'!N19</f>
        <v>0</v>
      </c>
      <c r="C44" s="319">
        <f>'Area&amp;production data'!CC19</f>
        <v>0</v>
      </c>
      <c r="D44" s="319">
        <f>'Area&amp;production data'!CD19</f>
        <v>0</v>
      </c>
      <c r="E44" s="319">
        <f>'Area&amp;production data'!CE19</f>
        <v>0</v>
      </c>
      <c r="F44" s="206">
        <f t="shared" si="8"/>
        <v>0</v>
      </c>
      <c r="G44" s="180">
        <f t="shared" si="4"/>
        <v>0</v>
      </c>
      <c r="H44" s="180">
        <f t="shared" si="5"/>
        <v>0</v>
      </c>
      <c r="I44" s="180">
        <f t="shared" si="6"/>
        <v>0</v>
      </c>
      <c r="J44" s="229">
        <f t="shared" si="9"/>
        <v>0</v>
      </c>
      <c r="K44" s="46">
        <f t="shared" si="10"/>
        <v>0</v>
      </c>
      <c r="L44" s="46">
        <f t="shared" si="11"/>
        <v>0</v>
      </c>
      <c r="M44" s="46">
        <f t="shared" si="12"/>
        <v>0</v>
      </c>
      <c r="N44" s="46">
        <f t="shared" si="13"/>
        <v>0</v>
      </c>
      <c r="O44" s="46" t="e">
        <f t="shared" si="14"/>
        <v>#DIV/0!</v>
      </c>
      <c r="P44" s="46" t="e">
        <f t="shared" si="15"/>
        <v>#DIV/0!</v>
      </c>
      <c r="Q44" s="46" t="e">
        <f t="shared" si="16"/>
        <v>#DIV/0!</v>
      </c>
      <c r="R44" s="48" t="e">
        <f t="shared" si="17"/>
        <v>#DIV/0!</v>
      </c>
      <c r="S44" s="30" t="e">
        <f t="shared" si="18"/>
        <v>#DIV/0!</v>
      </c>
      <c r="T44">
        <f t="shared" si="19"/>
        <v>1</v>
      </c>
      <c r="U44">
        <f t="shared" si="20"/>
        <v>1</v>
      </c>
      <c r="V44" s="13" t="s">
        <v>161</v>
      </c>
      <c r="W44" s="295"/>
      <c r="X44" s="295"/>
      <c r="Y44" s="295"/>
      <c r="Z44" s="95">
        <f>'Yield-data'!K27</f>
        <v>0</v>
      </c>
      <c r="AA44" s="140">
        <f t="shared" si="0"/>
        <v>0</v>
      </c>
      <c r="AB44" s="206">
        <f>'Yield-penalty-by-LD-class'!N27</f>
        <v>0</v>
      </c>
      <c r="AC44" s="206">
        <f>'Yield-penalty-by-LD-class'!O27</f>
        <v>0</v>
      </c>
      <c r="AD44" s="9">
        <f t="shared" si="2"/>
        <v>0</v>
      </c>
      <c r="AE44" s="95">
        <f t="shared" si="3"/>
        <v>0</v>
      </c>
      <c r="AF44" s="185">
        <f t="shared" si="1"/>
        <v>0</v>
      </c>
    </row>
    <row r="45" spans="1:32" x14ac:dyDescent="0.25">
      <c r="A45" s="13" t="s">
        <v>154</v>
      </c>
      <c r="B45" s="97">
        <f>'Area&amp;production data'!N20</f>
        <v>0</v>
      </c>
      <c r="C45" s="319">
        <f>'Area&amp;production data'!CC20</f>
        <v>0</v>
      </c>
      <c r="D45" s="319">
        <f>'Area&amp;production data'!CD20</f>
        <v>0</v>
      </c>
      <c r="E45" s="319">
        <f>'Area&amp;production data'!CE20</f>
        <v>0</v>
      </c>
      <c r="F45" s="206">
        <f t="shared" si="8"/>
        <v>0</v>
      </c>
      <c r="G45" s="180">
        <f t="shared" si="4"/>
        <v>0</v>
      </c>
      <c r="H45" s="180">
        <f t="shared" si="5"/>
        <v>0</v>
      </c>
      <c r="I45" s="180">
        <f t="shared" si="6"/>
        <v>0</v>
      </c>
      <c r="J45" s="229">
        <f t="shared" si="9"/>
        <v>0</v>
      </c>
      <c r="K45" s="46">
        <f t="shared" si="10"/>
        <v>0</v>
      </c>
      <c r="L45" s="46">
        <f t="shared" si="11"/>
        <v>0</v>
      </c>
      <c r="M45" s="46">
        <f t="shared" si="12"/>
        <v>0</v>
      </c>
      <c r="N45" s="46">
        <f t="shared" si="13"/>
        <v>0</v>
      </c>
      <c r="O45" s="46" t="e">
        <f t="shared" si="14"/>
        <v>#DIV/0!</v>
      </c>
      <c r="P45" s="46" t="e">
        <f t="shared" si="15"/>
        <v>#DIV/0!</v>
      </c>
      <c r="Q45" s="46" t="e">
        <f t="shared" si="16"/>
        <v>#DIV/0!</v>
      </c>
      <c r="R45" s="48" t="e">
        <f t="shared" si="17"/>
        <v>#DIV/0!</v>
      </c>
      <c r="S45" s="30" t="e">
        <f t="shared" si="18"/>
        <v>#DIV/0!</v>
      </c>
      <c r="T45">
        <f t="shared" si="19"/>
        <v>1</v>
      </c>
      <c r="U45">
        <f t="shared" si="20"/>
        <v>1</v>
      </c>
      <c r="V45" s="13" t="s">
        <v>162</v>
      </c>
      <c r="W45" s="295"/>
      <c r="X45" s="295"/>
      <c r="Y45" s="295"/>
      <c r="Z45" s="95">
        <f>'Yield-data'!K28</f>
        <v>0</v>
      </c>
      <c r="AA45" s="140">
        <f t="shared" si="0"/>
        <v>0</v>
      </c>
      <c r="AB45" s="206">
        <f>'Yield-penalty-by-LD-class'!N28</f>
        <v>0</v>
      </c>
      <c r="AC45" s="206">
        <f>'Yield-penalty-by-LD-class'!O28</f>
        <v>0</v>
      </c>
      <c r="AD45" s="9">
        <f t="shared" si="2"/>
        <v>0</v>
      </c>
      <c r="AE45" s="95">
        <f t="shared" si="3"/>
        <v>0</v>
      </c>
      <c r="AF45" s="185">
        <f t="shared" si="1"/>
        <v>0</v>
      </c>
    </row>
    <row r="46" spans="1:32" x14ac:dyDescent="0.25">
      <c r="A46" s="13" t="s">
        <v>155</v>
      </c>
      <c r="B46" s="97">
        <f>'Area&amp;production data'!N21</f>
        <v>0</v>
      </c>
      <c r="C46" s="319">
        <f>'Area&amp;production data'!CC21</f>
        <v>0</v>
      </c>
      <c r="D46" s="319">
        <f>'Area&amp;production data'!CD21</f>
        <v>0</v>
      </c>
      <c r="E46" s="319">
        <f>'Area&amp;production data'!CE21</f>
        <v>0</v>
      </c>
      <c r="F46" s="206">
        <f t="shared" si="8"/>
        <v>0</v>
      </c>
      <c r="G46" s="180">
        <f t="shared" si="4"/>
        <v>0</v>
      </c>
      <c r="H46" s="180">
        <f t="shared" si="5"/>
        <v>0</v>
      </c>
      <c r="I46" s="180">
        <f t="shared" si="6"/>
        <v>0</v>
      </c>
      <c r="J46" s="229">
        <f t="shared" si="9"/>
        <v>0</v>
      </c>
      <c r="K46" s="46">
        <f t="shared" si="10"/>
        <v>0</v>
      </c>
      <c r="L46" s="46">
        <f t="shared" si="11"/>
        <v>0</v>
      </c>
      <c r="M46" s="46">
        <f t="shared" si="12"/>
        <v>0</v>
      </c>
      <c r="N46" s="46">
        <f t="shared" si="13"/>
        <v>0</v>
      </c>
      <c r="O46" s="46" t="e">
        <f t="shared" si="14"/>
        <v>#DIV/0!</v>
      </c>
      <c r="P46" s="46" t="e">
        <f t="shared" si="15"/>
        <v>#DIV/0!</v>
      </c>
      <c r="Q46" s="46" t="e">
        <f t="shared" si="16"/>
        <v>#DIV/0!</v>
      </c>
      <c r="R46" s="48" t="e">
        <f t="shared" si="17"/>
        <v>#DIV/0!</v>
      </c>
      <c r="S46" s="30" t="e">
        <f t="shared" si="18"/>
        <v>#DIV/0!</v>
      </c>
      <c r="T46">
        <f t="shared" si="19"/>
        <v>1</v>
      </c>
      <c r="U46">
        <f t="shared" si="20"/>
        <v>1</v>
      </c>
      <c r="V46" s="13"/>
      <c r="W46" s="26" t="e">
        <f>SUMPRODUCT($B30:$B53,W22:W45)/$B$54</f>
        <v>#DIV/0!</v>
      </c>
      <c r="X46" s="26" t="e">
        <f>SUMPRODUCT($B30:$B53,X22:X45)/$B$54</f>
        <v>#DIV/0!</v>
      </c>
      <c r="Y46" s="26" t="e">
        <f>SUMPRODUCT($B30:$B53,Y22:Y45)/$B$54</f>
        <v>#DIV/0!</v>
      </c>
      <c r="Z46" s="26" t="e">
        <f>SUMPRODUCT($B30:$B53,Z22:Z45)/$B$54</f>
        <v>#DIV/0!</v>
      </c>
      <c r="AA46" s="23">
        <f>SUM(AA22:AA45)</f>
        <v>0</v>
      </c>
      <c r="AB46" s="37" t="e">
        <f>SUMPRODUCT(AB22:AB45,B30:B53)/B54</f>
        <v>#DIV/0!</v>
      </c>
      <c r="AC46" s="37" t="e">
        <f>SUMPRODUCT(AC22:AC45,B30:B53)/B54</f>
        <v>#DIV/0!</v>
      </c>
      <c r="AD46" s="124">
        <f>SUM(AD22:AD45)</f>
        <v>0</v>
      </c>
      <c r="AE46" s="124">
        <f>SUM(AE22:AE45)</f>
        <v>0</v>
      </c>
      <c r="AF46" s="142">
        <f>SUM(AF22:AF45)</f>
        <v>0</v>
      </c>
    </row>
    <row r="47" spans="1:32" x14ac:dyDescent="0.25">
      <c r="A47" s="13" t="s">
        <v>156</v>
      </c>
      <c r="B47" s="97">
        <f>'Area&amp;production data'!N22</f>
        <v>0</v>
      </c>
      <c r="C47" s="319">
        <f>'Area&amp;production data'!CC22</f>
        <v>0</v>
      </c>
      <c r="D47" s="319">
        <f>'Area&amp;production data'!CD22</f>
        <v>0</v>
      </c>
      <c r="E47" s="319">
        <f>'Area&amp;production data'!CE22</f>
        <v>0</v>
      </c>
      <c r="F47" s="206">
        <f t="shared" si="8"/>
        <v>0</v>
      </c>
      <c r="G47" s="180">
        <f t="shared" si="4"/>
        <v>0</v>
      </c>
      <c r="H47" s="180">
        <f t="shared" si="5"/>
        <v>0</v>
      </c>
      <c r="I47" s="180">
        <f t="shared" si="6"/>
        <v>0</v>
      </c>
      <c r="J47" s="229">
        <f t="shared" si="9"/>
        <v>0</v>
      </c>
      <c r="K47" s="46">
        <f t="shared" si="10"/>
        <v>0</v>
      </c>
      <c r="L47" s="46">
        <f t="shared" si="11"/>
        <v>0</v>
      </c>
      <c r="M47" s="46">
        <f t="shared" si="12"/>
        <v>0</v>
      </c>
      <c r="N47" s="46">
        <f t="shared" si="13"/>
        <v>0</v>
      </c>
      <c r="O47" s="46" t="e">
        <f t="shared" si="14"/>
        <v>#DIV/0!</v>
      </c>
      <c r="P47" s="46" t="e">
        <f t="shared" si="15"/>
        <v>#DIV/0!</v>
      </c>
      <c r="Q47" s="46" t="e">
        <f t="shared" si="16"/>
        <v>#DIV/0!</v>
      </c>
      <c r="R47" s="48" t="e">
        <f t="shared" si="17"/>
        <v>#DIV/0!</v>
      </c>
      <c r="S47" s="30" t="e">
        <f t="shared" si="18"/>
        <v>#DIV/0!</v>
      </c>
      <c r="T47">
        <f t="shared" si="19"/>
        <v>1</v>
      </c>
      <c r="U47">
        <f t="shared" si="20"/>
        <v>1</v>
      </c>
    </row>
    <row r="48" spans="1:32" x14ac:dyDescent="0.25">
      <c r="A48" s="13" t="s">
        <v>157</v>
      </c>
      <c r="B48" s="97">
        <f>'Area&amp;production data'!N23</f>
        <v>0</v>
      </c>
      <c r="C48" s="319">
        <f>'Area&amp;production data'!CC23</f>
        <v>0</v>
      </c>
      <c r="D48" s="319">
        <f>'Area&amp;production data'!CD23</f>
        <v>0</v>
      </c>
      <c r="E48" s="319">
        <f>'Area&amp;production data'!CE23</f>
        <v>0</v>
      </c>
      <c r="F48" s="206">
        <f t="shared" si="8"/>
        <v>0</v>
      </c>
      <c r="G48" s="180">
        <f t="shared" si="4"/>
        <v>0</v>
      </c>
      <c r="H48" s="180">
        <f t="shared" si="5"/>
        <v>0</v>
      </c>
      <c r="I48" s="180">
        <f t="shared" si="6"/>
        <v>0</v>
      </c>
      <c r="J48" s="229">
        <f t="shared" si="9"/>
        <v>0</v>
      </c>
      <c r="K48" s="46">
        <f t="shared" si="10"/>
        <v>0</v>
      </c>
      <c r="L48" s="46">
        <f t="shared" si="11"/>
        <v>0</v>
      </c>
      <c r="M48" s="46">
        <f t="shared" si="12"/>
        <v>0</v>
      </c>
      <c r="N48" s="46">
        <f t="shared" si="13"/>
        <v>0</v>
      </c>
      <c r="O48" s="46" t="e">
        <f t="shared" si="14"/>
        <v>#DIV/0!</v>
      </c>
      <c r="P48" s="46" t="e">
        <f t="shared" si="15"/>
        <v>#DIV/0!</v>
      </c>
      <c r="Q48" s="46" t="e">
        <f t="shared" si="16"/>
        <v>#DIV/0!</v>
      </c>
      <c r="R48" s="48" t="e">
        <f t="shared" si="17"/>
        <v>#DIV/0!</v>
      </c>
      <c r="S48" s="30" t="e">
        <f t="shared" si="18"/>
        <v>#DIV/0!</v>
      </c>
      <c r="T48">
        <f t="shared" si="19"/>
        <v>1</v>
      </c>
      <c r="U48">
        <f t="shared" si="20"/>
        <v>1</v>
      </c>
    </row>
    <row r="49" spans="1:35" x14ac:dyDescent="0.25">
      <c r="A49" s="13" t="s">
        <v>158</v>
      </c>
      <c r="B49" s="97">
        <f>'Area&amp;production data'!N24</f>
        <v>0</v>
      </c>
      <c r="C49" s="319">
        <f>'Area&amp;production data'!CC24</f>
        <v>0</v>
      </c>
      <c r="D49" s="319">
        <f>'Area&amp;production data'!CD24</f>
        <v>0</v>
      </c>
      <c r="E49" s="319">
        <f>'Area&amp;production data'!CE24</f>
        <v>0</v>
      </c>
      <c r="F49" s="206">
        <f t="shared" si="8"/>
        <v>0</v>
      </c>
      <c r="G49" s="180">
        <f t="shared" si="4"/>
        <v>0</v>
      </c>
      <c r="H49" s="180">
        <f t="shared" si="5"/>
        <v>0</v>
      </c>
      <c r="I49" s="180">
        <f t="shared" si="6"/>
        <v>0</v>
      </c>
      <c r="J49" s="229">
        <f t="shared" si="9"/>
        <v>0</v>
      </c>
      <c r="K49" s="46">
        <f t="shared" si="10"/>
        <v>0</v>
      </c>
      <c r="L49" s="46">
        <f t="shared" si="11"/>
        <v>0</v>
      </c>
      <c r="M49" s="46">
        <f t="shared" si="12"/>
        <v>0</v>
      </c>
      <c r="N49" s="46">
        <f t="shared" si="13"/>
        <v>0</v>
      </c>
      <c r="O49" s="46" t="e">
        <f t="shared" si="14"/>
        <v>#DIV/0!</v>
      </c>
      <c r="P49" s="46" t="e">
        <f t="shared" si="15"/>
        <v>#DIV/0!</v>
      </c>
      <c r="Q49" s="46" t="e">
        <f t="shared" si="16"/>
        <v>#DIV/0!</v>
      </c>
      <c r="R49" s="48" t="e">
        <f t="shared" si="17"/>
        <v>#DIV/0!</v>
      </c>
      <c r="S49" s="30" t="e">
        <f t="shared" si="18"/>
        <v>#DIV/0!</v>
      </c>
      <c r="T49">
        <f t="shared" si="19"/>
        <v>1</v>
      </c>
      <c r="U49">
        <f t="shared" si="20"/>
        <v>1</v>
      </c>
    </row>
    <row r="50" spans="1:35" x14ac:dyDescent="0.25">
      <c r="A50" s="13" t="s">
        <v>159</v>
      </c>
      <c r="B50" s="97">
        <f>'Area&amp;production data'!N25</f>
        <v>0</v>
      </c>
      <c r="C50" s="319">
        <f>'Area&amp;production data'!CC25</f>
        <v>0</v>
      </c>
      <c r="D50" s="319">
        <f>'Area&amp;production data'!CD25</f>
        <v>0</v>
      </c>
      <c r="E50" s="319">
        <f>'Area&amp;production data'!CE25</f>
        <v>0</v>
      </c>
      <c r="F50" s="206">
        <f t="shared" si="8"/>
        <v>0</v>
      </c>
      <c r="G50" s="180">
        <f t="shared" si="4"/>
        <v>0</v>
      </c>
      <c r="H50" s="180">
        <f t="shared" si="5"/>
        <v>0</v>
      </c>
      <c r="I50" s="180">
        <f t="shared" si="6"/>
        <v>0</v>
      </c>
      <c r="J50" s="229">
        <f t="shared" si="9"/>
        <v>0</v>
      </c>
      <c r="K50" s="46">
        <f t="shared" si="10"/>
        <v>0</v>
      </c>
      <c r="L50" s="46">
        <f t="shared" si="11"/>
        <v>0</v>
      </c>
      <c r="M50" s="46">
        <f t="shared" si="12"/>
        <v>0</v>
      </c>
      <c r="N50" s="46">
        <f t="shared" si="13"/>
        <v>0</v>
      </c>
      <c r="O50" s="46" t="e">
        <f t="shared" si="14"/>
        <v>#DIV/0!</v>
      </c>
      <c r="P50" s="46" t="e">
        <f t="shared" si="15"/>
        <v>#DIV/0!</v>
      </c>
      <c r="Q50" s="46" t="e">
        <f t="shared" si="16"/>
        <v>#DIV/0!</v>
      </c>
      <c r="R50" s="48" t="e">
        <f t="shared" si="17"/>
        <v>#DIV/0!</v>
      </c>
      <c r="S50" s="30" t="e">
        <f t="shared" si="18"/>
        <v>#DIV/0!</v>
      </c>
      <c r="T50">
        <f t="shared" si="19"/>
        <v>1</v>
      </c>
      <c r="U50">
        <f t="shared" si="20"/>
        <v>1</v>
      </c>
    </row>
    <row r="51" spans="1:35" x14ac:dyDescent="0.25">
      <c r="A51" s="13" t="s">
        <v>160</v>
      </c>
      <c r="B51" s="97">
        <f>'Area&amp;production data'!N26</f>
        <v>0</v>
      </c>
      <c r="C51" s="319">
        <f>'Area&amp;production data'!CC26</f>
        <v>0</v>
      </c>
      <c r="D51" s="319">
        <f>'Area&amp;production data'!CD26</f>
        <v>0</v>
      </c>
      <c r="E51" s="319">
        <f>'Area&amp;production data'!CE26</f>
        <v>0</v>
      </c>
      <c r="F51" s="206">
        <f t="shared" si="8"/>
        <v>0</v>
      </c>
      <c r="G51" s="180">
        <f t="shared" si="4"/>
        <v>0</v>
      </c>
      <c r="H51" s="180">
        <f t="shared" si="5"/>
        <v>0</v>
      </c>
      <c r="I51" s="180">
        <f t="shared" si="6"/>
        <v>0</v>
      </c>
      <c r="J51" s="229">
        <f t="shared" si="9"/>
        <v>0</v>
      </c>
      <c r="K51" s="46">
        <f t="shared" si="10"/>
        <v>0</v>
      </c>
      <c r="L51" s="46">
        <f t="shared" si="11"/>
        <v>0</v>
      </c>
      <c r="M51" s="46">
        <f t="shared" si="12"/>
        <v>0</v>
      </c>
      <c r="N51" s="46">
        <f t="shared" si="13"/>
        <v>0</v>
      </c>
      <c r="O51" s="46" t="e">
        <f t="shared" si="14"/>
        <v>#DIV/0!</v>
      </c>
      <c r="P51" s="46" t="e">
        <f t="shared" si="15"/>
        <v>#DIV/0!</v>
      </c>
      <c r="Q51" s="46" t="e">
        <f t="shared" si="16"/>
        <v>#DIV/0!</v>
      </c>
      <c r="R51" s="48" t="e">
        <f t="shared" si="17"/>
        <v>#DIV/0!</v>
      </c>
      <c r="S51" s="30" t="e">
        <f t="shared" si="18"/>
        <v>#DIV/0!</v>
      </c>
      <c r="T51">
        <f t="shared" si="19"/>
        <v>1</v>
      </c>
      <c r="U51">
        <f t="shared" si="20"/>
        <v>1</v>
      </c>
    </row>
    <row r="52" spans="1:35" x14ac:dyDescent="0.25">
      <c r="A52" s="13" t="s">
        <v>161</v>
      </c>
      <c r="B52" s="97">
        <f>'Area&amp;production data'!N27</f>
        <v>0</v>
      </c>
      <c r="C52" s="319">
        <f>'Area&amp;production data'!CC27</f>
        <v>0</v>
      </c>
      <c r="D52" s="319">
        <f>'Area&amp;production data'!CD27</f>
        <v>0</v>
      </c>
      <c r="E52" s="319">
        <f>'Area&amp;production data'!CE27</f>
        <v>0</v>
      </c>
      <c r="F52" s="206">
        <f t="shared" si="8"/>
        <v>0</v>
      </c>
      <c r="G52" s="180">
        <f t="shared" si="4"/>
        <v>0</v>
      </c>
      <c r="H52" s="180">
        <f t="shared" si="5"/>
        <v>0</v>
      </c>
      <c r="I52" s="180">
        <f t="shared" si="6"/>
        <v>0</v>
      </c>
      <c r="J52" s="229">
        <f t="shared" si="9"/>
        <v>0</v>
      </c>
      <c r="K52" s="46">
        <f t="shared" si="10"/>
        <v>0</v>
      </c>
      <c r="L52" s="46">
        <f t="shared" si="11"/>
        <v>0</v>
      </c>
      <c r="M52" s="46">
        <f t="shared" si="12"/>
        <v>0</v>
      </c>
      <c r="N52" s="46">
        <f t="shared" si="13"/>
        <v>0</v>
      </c>
      <c r="O52" s="46" t="e">
        <f t="shared" si="14"/>
        <v>#DIV/0!</v>
      </c>
      <c r="P52" s="46" t="e">
        <f t="shared" si="15"/>
        <v>#DIV/0!</v>
      </c>
      <c r="Q52" s="46" t="e">
        <f t="shared" si="16"/>
        <v>#DIV/0!</v>
      </c>
      <c r="R52" s="48" t="e">
        <f t="shared" si="17"/>
        <v>#DIV/0!</v>
      </c>
      <c r="S52" s="30" t="e">
        <f t="shared" si="18"/>
        <v>#DIV/0!</v>
      </c>
      <c r="T52">
        <f t="shared" si="19"/>
        <v>1</v>
      </c>
      <c r="U52">
        <f t="shared" si="20"/>
        <v>1</v>
      </c>
    </row>
    <row r="53" spans="1:35" s="1" customFormat="1" x14ac:dyDescent="0.25">
      <c r="A53" s="13" t="s">
        <v>162</v>
      </c>
      <c r="B53" s="97">
        <f>'Area&amp;production data'!N28</f>
        <v>0</v>
      </c>
      <c r="C53" s="319">
        <f>'Area&amp;production data'!CC28</f>
        <v>0</v>
      </c>
      <c r="D53" s="319">
        <f>'Area&amp;production data'!CD28</f>
        <v>0</v>
      </c>
      <c r="E53" s="319">
        <f>'Area&amp;production data'!CE28</f>
        <v>0</v>
      </c>
      <c r="F53" s="206">
        <f t="shared" si="8"/>
        <v>0</v>
      </c>
      <c r="G53" s="180">
        <f t="shared" si="4"/>
        <v>0</v>
      </c>
      <c r="H53" s="180">
        <f t="shared" si="5"/>
        <v>0</v>
      </c>
      <c r="I53" s="180">
        <f t="shared" si="6"/>
        <v>0</v>
      </c>
      <c r="J53" s="229">
        <f t="shared" si="9"/>
        <v>0</v>
      </c>
      <c r="K53" s="46">
        <f t="shared" si="10"/>
        <v>0</v>
      </c>
      <c r="L53" s="46">
        <f t="shared" si="11"/>
        <v>0</v>
      </c>
      <c r="M53" s="46">
        <f t="shared" si="12"/>
        <v>0</v>
      </c>
      <c r="N53" s="46">
        <f t="shared" si="13"/>
        <v>0</v>
      </c>
      <c r="O53" s="46" t="e">
        <f t="shared" si="14"/>
        <v>#DIV/0!</v>
      </c>
      <c r="P53" s="46" t="e">
        <f t="shared" si="15"/>
        <v>#DIV/0!</v>
      </c>
      <c r="Q53" s="46" t="e">
        <f t="shared" si="16"/>
        <v>#DIV/0!</v>
      </c>
      <c r="R53" s="48" t="e">
        <f t="shared" si="17"/>
        <v>#DIV/0!</v>
      </c>
      <c r="S53" s="30" t="e">
        <f t="shared" si="18"/>
        <v>#DIV/0!</v>
      </c>
      <c r="T53">
        <f t="shared" si="19"/>
        <v>1</v>
      </c>
      <c r="U53">
        <f t="shared" si="20"/>
        <v>1</v>
      </c>
      <c r="V53"/>
      <c r="W53" s="480"/>
      <c r="X53" s="480"/>
      <c r="Y53" s="480"/>
      <c r="Z53" s="480"/>
      <c r="AA53"/>
      <c r="AB53"/>
      <c r="AC53"/>
      <c r="AD53"/>
      <c r="AE53"/>
      <c r="AF53"/>
      <c r="AG53"/>
      <c r="AH53"/>
      <c r="AI53"/>
    </row>
    <row r="54" spans="1:35" x14ac:dyDescent="0.25">
      <c r="A54" s="15" t="s">
        <v>163</v>
      </c>
      <c r="B54" s="48">
        <f>SUM(B30:B53)</f>
        <v>0</v>
      </c>
      <c r="C54" s="42" t="e">
        <f>SUMPRODUCT($B$30:$B$53,C30:C53)/$B$54</f>
        <v>#DIV/0!</v>
      </c>
      <c r="D54" s="42" t="e">
        <f>SUMPRODUCT($B$30:$B$53,D30:D53)/$B$54</f>
        <v>#DIV/0!</v>
      </c>
      <c r="E54" s="42" t="e">
        <f>SUMPRODUCT($B$30:$B$53,E30:E53)/$B$54</f>
        <v>#DIV/0!</v>
      </c>
      <c r="F54" s="230" t="e">
        <f>SUM(C54:E54)</f>
        <v>#DIV/0!</v>
      </c>
      <c r="G54" s="336" t="e">
        <f>SUMPRODUCT($B30:$B53,C30:C53,G30:G53)/($B54*C54)</f>
        <v>#DIV/0!</v>
      </c>
      <c r="H54" s="336" t="e">
        <f>SUMPRODUCT($B30:$B53,D30:D53,H30:H53)/($B54*D54)</f>
        <v>#DIV/0!</v>
      </c>
      <c r="I54" s="336" t="e">
        <f>SUMPRODUCT($B30:$B53,E30:E53,I30:I53)/($B54*E54)</f>
        <v>#DIV/0!</v>
      </c>
      <c r="J54" s="336" t="e">
        <f>SUMPRODUCT($B30:$B53,F30:F53,J30:J53)/($B54*F54)</f>
        <v>#DIV/0!</v>
      </c>
      <c r="K54" s="46">
        <f>SUM(K30:K53)</f>
        <v>0</v>
      </c>
      <c r="L54" s="46">
        <f>SUM(L30:L53)</f>
        <v>0</v>
      </c>
      <c r="M54" s="46">
        <f>SUM(M30:M53)</f>
        <v>0</v>
      </c>
      <c r="N54" s="46">
        <f t="shared" ref="N54" si="21">SUM(K54:M54)</f>
        <v>0</v>
      </c>
      <c r="O54" s="46" t="e">
        <f>SUM(O30:O53)</f>
        <v>#DIV/0!</v>
      </c>
      <c r="P54" s="46" t="e">
        <f>SUM(P30:P53)</f>
        <v>#DIV/0!</v>
      </c>
      <c r="Q54" s="46" t="e">
        <f>SUM(Q30:Q53)</f>
        <v>#DIV/0!</v>
      </c>
      <c r="R54" s="48" t="e">
        <f>SUM(R30:R53)</f>
        <v>#DIV/0!</v>
      </c>
      <c r="S54" s="68" t="e">
        <f>N54/$N$54</f>
        <v>#DIV/0!</v>
      </c>
      <c r="AA54" s="1"/>
      <c r="AE54" s="1"/>
      <c r="AF54" s="1"/>
      <c r="AG54" s="1"/>
      <c r="AH54" s="1"/>
      <c r="AI54" s="1"/>
    </row>
    <row r="55" spans="1:35" x14ac:dyDescent="0.25">
      <c r="A55" s="17" t="s">
        <v>8</v>
      </c>
      <c r="C55" s="842" t="e">
        <f>SUM(C54:E54)=F54</f>
        <v>#DIV/0!</v>
      </c>
      <c r="D55" s="842"/>
      <c r="E55" s="842"/>
      <c r="F55" s="6"/>
      <c r="K55" s="335" t="e">
        <f>K54/$N$54</f>
        <v>#DIV/0!</v>
      </c>
      <c r="L55" s="335" t="e">
        <f t="shared" ref="L55:N55" si="22">L54/$N$54</f>
        <v>#DIV/0!</v>
      </c>
      <c r="M55" s="335" t="e">
        <f t="shared" si="22"/>
        <v>#DIV/0!</v>
      </c>
      <c r="N55" s="335" t="e">
        <f t="shared" si="22"/>
        <v>#DIV/0!</v>
      </c>
      <c r="R55" s="51" t="e">
        <f>R54/C254</f>
        <v>#DIV/0!</v>
      </c>
      <c r="S55" s="122"/>
      <c r="X55" s="122"/>
    </row>
    <row r="56" spans="1:35" x14ac:dyDescent="0.25">
      <c r="A56" s="17"/>
      <c r="C56" s="21"/>
      <c r="D56" s="21"/>
      <c r="E56" s="21"/>
      <c r="N56" s="68" t="e">
        <f>N54/('Yield-data'!I59*'Area&amp;production data'!BW29)</f>
        <v>#DIV/0!</v>
      </c>
    </row>
    <row r="57" spans="1:35" ht="45.95" customHeight="1" x14ac:dyDescent="0.25">
      <c r="A57" s="1" t="s">
        <v>749</v>
      </c>
      <c r="D57" s="3" t="s">
        <v>750</v>
      </c>
      <c r="E57" s="1"/>
      <c r="F57" s="54">
        <v>0</v>
      </c>
      <c r="G57" t="s">
        <v>96</v>
      </c>
      <c r="H57" s="20" t="s">
        <v>318</v>
      </c>
      <c r="O57" s="20" t="s">
        <v>751</v>
      </c>
      <c r="P57" s="20"/>
      <c r="X57" s="20" t="s">
        <v>320</v>
      </c>
    </row>
    <row r="58" spans="1:35" ht="39" customHeight="1" x14ac:dyDescent="0.25">
      <c r="A58" s="1" t="s">
        <v>101</v>
      </c>
      <c r="B58" s="814" t="s">
        <v>741</v>
      </c>
      <c r="C58" s="814" t="s">
        <v>742</v>
      </c>
      <c r="D58" s="814"/>
      <c r="E58" s="814"/>
      <c r="F58" s="814"/>
      <c r="G58" s="814" t="s">
        <v>322</v>
      </c>
      <c r="H58" s="814"/>
      <c r="I58" s="814"/>
      <c r="J58" s="814"/>
      <c r="K58" s="814" t="s">
        <v>752</v>
      </c>
      <c r="L58" s="814"/>
      <c r="M58" s="814"/>
      <c r="N58" s="814"/>
      <c r="O58" s="814" t="s">
        <v>753</v>
      </c>
      <c r="P58" s="814"/>
      <c r="Q58" s="814"/>
      <c r="R58" s="814"/>
      <c r="S58" s="17" t="s">
        <v>120</v>
      </c>
      <c r="T58" s="44"/>
      <c r="U58" s="814"/>
      <c r="V58" s="814"/>
      <c r="W58" s="814"/>
    </row>
    <row r="59" spans="1:35" x14ac:dyDescent="0.25">
      <c r="A59" s="1"/>
      <c r="B59" s="814"/>
      <c r="C59" s="1" t="s">
        <v>136</v>
      </c>
      <c r="D59" s="1" t="s">
        <v>137</v>
      </c>
      <c r="E59" s="1" t="s">
        <v>138</v>
      </c>
      <c r="F59" s="1" t="s">
        <v>120</v>
      </c>
      <c r="G59" s="1" t="s">
        <v>136</v>
      </c>
      <c r="H59" s="1" t="s">
        <v>137</v>
      </c>
      <c r="I59" s="1" t="s">
        <v>289</v>
      </c>
      <c r="J59" s="1" t="s">
        <v>120</v>
      </c>
      <c r="K59" s="1" t="s">
        <v>136</v>
      </c>
      <c r="L59" s="1" t="s">
        <v>137</v>
      </c>
      <c r="M59" s="1" t="s">
        <v>289</v>
      </c>
      <c r="N59" s="1" t="s">
        <v>120</v>
      </c>
      <c r="O59" s="1" t="s">
        <v>136</v>
      </c>
      <c r="P59" s="1" t="s">
        <v>137</v>
      </c>
      <c r="Q59" s="1" t="s">
        <v>289</v>
      </c>
      <c r="R59" s="17"/>
    </row>
    <row r="60" spans="1:35" x14ac:dyDescent="0.25">
      <c r="A60" s="13" t="s">
        <v>139</v>
      </c>
      <c r="B60" s="36">
        <f>B30</f>
        <v>0</v>
      </c>
      <c r="C60" s="25">
        <f>C30</f>
        <v>0</v>
      </c>
      <c r="D60" s="25">
        <f>D30</f>
        <v>0</v>
      </c>
      <c r="E60" s="25">
        <f>E30</f>
        <v>0</v>
      </c>
      <c r="F60" s="25">
        <f>SUM(C60:E60)</f>
        <v>0</v>
      </c>
      <c r="G60" s="184">
        <f>$F$57*G30</f>
        <v>0</v>
      </c>
      <c r="H60" s="184">
        <f>$F$57*H30</f>
        <v>0</v>
      </c>
      <c r="I60" s="184">
        <f>$F$57*I30</f>
        <v>0</v>
      </c>
      <c r="J60" s="9">
        <f>SUMPRODUCT(C60:E60,G60:I60)</f>
        <v>0</v>
      </c>
      <c r="K60" s="38">
        <f t="shared" ref="K60:N83" si="23">G60*C60*$B60</f>
        <v>0</v>
      </c>
      <c r="L60" s="38">
        <f t="shared" si="23"/>
        <v>0</v>
      </c>
      <c r="M60" s="38">
        <f t="shared" si="23"/>
        <v>0</v>
      </c>
      <c r="N60" s="38">
        <f t="shared" si="23"/>
        <v>0</v>
      </c>
      <c r="O60" s="38">
        <f>$D$16*K60</f>
        <v>0</v>
      </c>
      <c r="P60" s="38">
        <f>$D$16*L60</f>
        <v>0</v>
      </c>
      <c r="Q60" s="38">
        <f>$D$16*M60</f>
        <v>0</v>
      </c>
      <c r="R60" s="26">
        <f>SUM(O60:Q60)</f>
        <v>0</v>
      </c>
    </row>
    <row r="61" spans="1:35" x14ac:dyDescent="0.25">
      <c r="A61" s="13" t="s">
        <v>140</v>
      </c>
      <c r="B61" s="36">
        <f t="shared" ref="B61:E61" si="24">B31</f>
        <v>0</v>
      </c>
      <c r="C61" s="25">
        <f t="shared" si="24"/>
        <v>0</v>
      </c>
      <c r="D61" s="25">
        <f t="shared" si="24"/>
        <v>0</v>
      </c>
      <c r="E61" s="25">
        <f t="shared" si="24"/>
        <v>0</v>
      </c>
      <c r="F61" s="25">
        <f t="shared" ref="F61:F81" si="25">SUM(C61:E61)</f>
        <v>0</v>
      </c>
      <c r="G61" s="184">
        <f t="shared" ref="G61:I61" si="26">$F$57*G31</f>
        <v>0</v>
      </c>
      <c r="H61" s="184">
        <f t="shared" si="26"/>
        <v>0</v>
      </c>
      <c r="I61" s="184">
        <f t="shared" si="26"/>
        <v>0</v>
      </c>
      <c r="J61" s="9">
        <f t="shared" ref="J61:J81" si="27">SUMPRODUCT(C61:E61,G61:I61)</f>
        <v>0</v>
      </c>
      <c r="K61" s="38">
        <f t="shared" ref="K61:K82" si="28">G61*C61*$B61</f>
        <v>0</v>
      </c>
      <c r="L61" s="38">
        <f t="shared" ref="L61:L82" si="29">H61*D61*$B61</f>
        <v>0</v>
      </c>
      <c r="M61" s="38">
        <f t="shared" ref="M61:M82" si="30">I61*E61*$B61</f>
        <v>0</v>
      </c>
      <c r="N61" s="38">
        <f t="shared" ref="N61:N82" si="31">J61*F61*$B61</f>
        <v>0</v>
      </c>
      <c r="O61" s="38">
        <f t="shared" ref="O61:O82" si="32">$D$16*K61</f>
        <v>0</v>
      </c>
      <c r="P61" s="38">
        <f t="shared" ref="P61:P82" si="33">$D$16*L61</f>
        <v>0</v>
      </c>
      <c r="Q61" s="38">
        <f t="shared" ref="Q61:Q82" si="34">$D$16*M61</f>
        <v>0</v>
      </c>
      <c r="R61" s="26">
        <f t="shared" ref="R61:R81" si="35">SUM(O61:Q61)</f>
        <v>0</v>
      </c>
    </row>
    <row r="62" spans="1:35" x14ac:dyDescent="0.25">
      <c r="A62" s="13" t="s">
        <v>141</v>
      </c>
      <c r="B62" s="36">
        <f t="shared" ref="B62:E62" si="36">B32</f>
        <v>0</v>
      </c>
      <c r="C62" s="25">
        <f t="shared" si="36"/>
        <v>0</v>
      </c>
      <c r="D62" s="25">
        <f t="shared" si="36"/>
        <v>0</v>
      </c>
      <c r="E62" s="25">
        <f t="shared" si="36"/>
        <v>0</v>
      </c>
      <c r="F62" s="25">
        <f t="shared" si="25"/>
        <v>0</v>
      </c>
      <c r="G62" s="184">
        <f t="shared" ref="G62:I62" si="37">$F$57*G32</f>
        <v>0</v>
      </c>
      <c r="H62" s="184">
        <f t="shared" si="37"/>
        <v>0</v>
      </c>
      <c r="I62" s="184">
        <f t="shared" si="37"/>
        <v>0</v>
      </c>
      <c r="J62" s="9">
        <f t="shared" si="27"/>
        <v>0</v>
      </c>
      <c r="K62" s="38">
        <f t="shared" si="28"/>
        <v>0</v>
      </c>
      <c r="L62" s="38">
        <f t="shared" si="29"/>
        <v>0</v>
      </c>
      <c r="M62" s="38">
        <f t="shared" si="30"/>
        <v>0</v>
      </c>
      <c r="N62" s="38">
        <f t="shared" si="31"/>
        <v>0</v>
      </c>
      <c r="O62" s="38">
        <f t="shared" si="32"/>
        <v>0</v>
      </c>
      <c r="P62" s="38">
        <f t="shared" si="33"/>
        <v>0</v>
      </c>
      <c r="Q62" s="38">
        <f t="shared" si="34"/>
        <v>0</v>
      </c>
      <c r="R62" s="26">
        <f t="shared" si="35"/>
        <v>0</v>
      </c>
    </row>
    <row r="63" spans="1:35" x14ac:dyDescent="0.25">
      <c r="A63" s="13" t="s">
        <v>142</v>
      </c>
      <c r="B63" s="36">
        <f t="shared" ref="B63:E63" si="38">B33</f>
        <v>0</v>
      </c>
      <c r="C63" s="25">
        <f t="shared" si="38"/>
        <v>0</v>
      </c>
      <c r="D63" s="25">
        <f t="shared" si="38"/>
        <v>0</v>
      </c>
      <c r="E63" s="25">
        <f t="shared" si="38"/>
        <v>0</v>
      </c>
      <c r="F63" s="25">
        <f t="shared" si="25"/>
        <v>0</v>
      </c>
      <c r="G63" s="184">
        <f t="shared" ref="G63:I63" si="39">$F$57*G33</f>
        <v>0</v>
      </c>
      <c r="H63" s="184">
        <f t="shared" si="39"/>
        <v>0</v>
      </c>
      <c r="I63" s="184">
        <f t="shared" si="39"/>
        <v>0</v>
      </c>
      <c r="J63" s="9">
        <f t="shared" si="27"/>
        <v>0</v>
      </c>
      <c r="K63" s="38">
        <f t="shared" si="28"/>
        <v>0</v>
      </c>
      <c r="L63" s="38">
        <f t="shared" si="29"/>
        <v>0</v>
      </c>
      <c r="M63" s="38">
        <f t="shared" si="30"/>
        <v>0</v>
      </c>
      <c r="N63" s="38">
        <f t="shared" si="31"/>
        <v>0</v>
      </c>
      <c r="O63" s="38">
        <f t="shared" si="32"/>
        <v>0</v>
      </c>
      <c r="P63" s="38">
        <f t="shared" si="33"/>
        <v>0</v>
      </c>
      <c r="Q63" s="38">
        <f t="shared" si="34"/>
        <v>0</v>
      </c>
      <c r="R63" s="26">
        <f t="shared" si="35"/>
        <v>0</v>
      </c>
    </row>
    <row r="64" spans="1:35" x14ac:dyDescent="0.25">
      <c r="A64" s="13" t="s">
        <v>143</v>
      </c>
      <c r="B64" s="36">
        <f t="shared" ref="B64:E64" si="40">B34</f>
        <v>0</v>
      </c>
      <c r="C64" s="25">
        <f t="shared" si="40"/>
        <v>0</v>
      </c>
      <c r="D64" s="25">
        <f t="shared" si="40"/>
        <v>0</v>
      </c>
      <c r="E64" s="25">
        <f t="shared" si="40"/>
        <v>0</v>
      </c>
      <c r="F64" s="25">
        <f t="shared" si="25"/>
        <v>0</v>
      </c>
      <c r="G64" s="184">
        <f t="shared" ref="G64:I64" si="41">$F$57*G34</f>
        <v>0</v>
      </c>
      <c r="H64" s="184">
        <f t="shared" si="41"/>
        <v>0</v>
      </c>
      <c r="I64" s="184">
        <f t="shared" si="41"/>
        <v>0</v>
      </c>
      <c r="J64" s="9">
        <f t="shared" si="27"/>
        <v>0</v>
      </c>
      <c r="K64" s="38">
        <f t="shared" si="28"/>
        <v>0</v>
      </c>
      <c r="L64" s="38">
        <f t="shared" si="29"/>
        <v>0</v>
      </c>
      <c r="M64" s="38">
        <f t="shared" si="30"/>
        <v>0</v>
      </c>
      <c r="N64" s="38">
        <f t="shared" si="31"/>
        <v>0</v>
      </c>
      <c r="O64" s="38">
        <f t="shared" si="32"/>
        <v>0</v>
      </c>
      <c r="P64" s="38">
        <f t="shared" si="33"/>
        <v>0</v>
      </c>
      <c r="Q64" s="38">
        <f t="shared" si="34"/>
        <v>0</v>
      </c>
      <c r="R64" s="26">
        <f t="shared" si="35"/>
        <v>0</v>
      </c>
    </row>
    <row r="65" spans="1:18" x14ac:dyDescent="0.25">
      <c r="A65" s="13" t="s">
        <v>144</v>
      </c>
      <c r="B65" s="36">
        <f t="shared" ref="B65:E65" si="42">B35</f>
        <v>0</v>
      </c>
      <c r="C65" s="25">
        <f t="shared" si="42"/>
        <v>0</v>
      </c>
      <c r="D65" s="25">
        <f t="shared" si="42"/>
        <v>0</v>
      </c>
      <c r="E65" s="25">
        <f t="shared" si="42"/>
        <v>0</v>
      </c>
      <c r="F65" s="25">
        <f t="shared" si="25"/>
        <v>0</v>
      </c>
      <c r="G65" s="184">
        <f t="shared" ref="G65:I65" si="43">$F$57*G35</f>
        <v>0</v>
      </c>
      <c r="H65" s="184">
        <f t="shared" si="43"/>
        <v>0</v>
      </c>
      <c r="I65" s="184">
        <f t="shared" si="43"/>
        <v>0</v>
      </c>
      <c r="J65" s="9">
        <f t="shared" si="27"/>
        <v>0</v>
      </c>
      <c r="K65" s="38">
        <f t="shared" si="28"/>
        <v>0</v>
      </c>
      <c r="L65" s="38">
        <f t="shared" si="29"/>
        <v>0</v>
      </c>
      <c r="M65" s="38">
        <f t="shared" si="30"/>
        <v>0</v>
      </c>
      <c r="N65" s="38">
        <f t="shared" si="31"/>
        <v>0</v>
      </c>
      <c r="O65" s="38">
        <f t="shared" si="32"/>
        <v>0</v>
      </c>
      <c r="P65" s="38">
        <f t="shared" si="33"/>
        <v>0</v>
      </c>
      <c r="Q65" s="38">
        <f t="shared" si="34"/>
        <v>0</v>
      </c>
      <c r="R65" s="26">
        <f t="shared" si="35"/>
        <v>0</v>
      </c>
    </row>
    <row r="66" spans="1:18" x14ac:dyDescent="0.25">
      <c r="A66" s="13" t="s">
        <v>145</v>
      </c>
      <c r="B66" s="36">
        <f t="shared" ref="B66:E66" si="44">B36</f>
        <v>0</v>
      </c>
      <c r="C66" s="25">
        <f t="shared" si="44"/>
        <v>0</v>
      </c>
      <c r="D66" s="25">
        <f t="shared" si="44"/>
        <v>0</v>
      </c>
      <c r="E66" s="25">
        <f t="shared" si="44"/>
        <v>0</v>
      </c>
      <c r="F66" s="25">
        <f t="shared" si="25"/>
        <v>0</v>
      </c>
      <c r="G66" s="184">
        <f t="shared" ref="G66:I66" si="45">$F$57*G36</f>
        <v>0</v>
      </c>
      <c r="H66" s="184">
        <f t="shared" si="45"/>
        <v>0</v>
      </c>
      <c r="I66" s="184">
        <f t="shared" si="45"/>
        <v>0</v>
      </c>
      <c r="J66" s="9">
        <f t="shared" si="27"/>
        <v>0</v>
      </c>
      <c r="K66" s="38">
        <f t="shared" si="28"/>
        <v>0</v>
      </c>
      <c r="L66" s="38">
        <f t="shared" si="29"/>
        <v>0</v>
      </c>
      <c r="M66" s="38">
        <f t="shared" si="30"/>
        <v>0</v>
      </c>
      <c r="N66" s="38">
        <f t="shared" si="31"/>
        <v>0</v>
      </c>
      <c r="O66" s="38">
        <f t="shared" si="32"/>
        <v>0</v>
      </c>
      <c r="P66" s="38">
        <f t="shared" si="33"/>
        <v>0</v>
      </c>
      <c r="Q66" s="38">
        <f t="shared" si="34"/>
        <v>0</v>
      </c>
      <c r="R66" s="26">
        <f t="shared" si="35"/>
        <v>0</v>
      </c>
    </row>
    <row r="67" spans="1:18" x14ac:dyDescent="0.25">
      <c r="A67" s="13" t="s">
        <v>146</v>
      </c>
      <c r="B67" s="36">
        <f t="shared" ref="B67:E67" si="46">B37</f>
        <v>0</v>
      </c>
      <c r="C67" s="25">
        <f t="shared" si="46"/>
        <v>0</v>
      </c>
      <c r="D67" s="25">
        <f t="shared" si="46"/>
        <v>0</v>
      </c>
      <c r="E67" s="25">
        <f t="shared" si="46"/>
        <v>0</v>
      </c>
      <c r="F67" s="25">
        <f t="shared" si="25"/>
        <v>0</v>
      </c>
      <c r="G67" s="184">
        <f t="shared" ref="G67:I67" si="47">$F$57*G37</f>
        <v>0</v>
      </c>
      <c r="H67" s="184">
        <f t="shared" si="47"/>
        <v>0</v>
      </c>
      <c r="I67" s="184">
        <f t="shared" si="47"/>
        <v>0</v>
      </c>
      <c r="J67" s="9">
        <f t="shared" si="27"/>
        <v>0</v>
      </c>
      <c r="K67" s="38">
        <f t="shared" si="28"/>
        <v>0</v>
      </c>
      <c r="L67" s="38">
        <f t="shared" si="29"/>
        <v>0</v>
      </c>
      <c r="M67" s="38">
        <f t="shared" si="30"/>
        <v>0</v>
      </c>
      <c r="N67" s="38">
        <f t="shared" si="31"/>
        <v>0</v>
      </c>
      <c r="O67" s="38">
        <f t="shared" si="32"/>
        <v>0</v>
      </c>
      <c r="P67" s="38">
        <f t="shared" si="33"/>
        <v>0</v>
      </c>
      <c r="Q67" s="38">
        <f t="shared" si="34"/>
        <v>0</v>
      </c>
      <c r="R67" s="26">
        <f t="shared" si="35"/>
        <v>0</v>
      </c>
    </row>
    <row r="68" spans="1:18" x14ac:dyDescent="0.25">
      <c r="A68" s="13" t="s">
        <v>147</v>
      </c>
      <c r="B68" s="36">
        <f t="shared" ref="B68:E68" si="48">B38</f>
        <v>0</v>
      </c>
      <c r="C68" s="25">
        <f t="shared" si="48"/>
        <v>0</v>
      </c>
      <c r="D68" s="25">
        <f t="shared" si="48"/>
        <v>0</v>
      </c>
      <c r="E68" s="25">
        <f t="shared" si="48"/>
        <v>0</v>
      </c>
      <c r="F68" s="25">
        <f t="shared" si="25"/>
        <v>0</v>
      </c>
      <c r="G68" s="184">
        <f t="shared" ref="G68:I68" si="49">$F$57*G38</f>
        <v>0</v>
      </c>
      <c r="H68" s="184">
        <f t="shared" si="49"/>
        <v>0</v>
      </c>
      <c r="I68" s="184">
        <f t="shared" si="49"/>
        <v>0</v>
      </c>
      <c r="J68" s="9">
        <f t="shared" si="27"/>
        <v>0</v>
      </c>
      <c r="K68" s="38">
        <f t="shared" si="28"/>
        <v>0</v>
      </c>
      <c r="L68" s="38">
        <f t="shared" si="29"/>
        <v>0</v>
      </c>
      <c r="M68" s="38">
        <f t="shared" si="30"/>
        <v>0</v>
      </c>
      <c r="N68" s="38">
        <f t="shared" si="31"/>
        <v>0</v>
      </c>
      <c r="O68" s="38">
        <f t="shared" si="32"/>
        <v>0</v>
      </c>
      <c r="P68" s="38">
        <f t="shared" si="33"/>
        <v>0</v>
      </c>
      <c r="Q68" s="38">
        <f t="shared" si="34"/>
        <v>0</v>
      </c>
      <c r="R68" s="26">
        <f t="shared" si="35"/>
        <v>0</v>
      </c>
    </row>
    <row r="69" spans="1:18" x14ac:dyDescent="0.25">
      <c r="A69" s="13" t="s">
        <v>148</v>
      </c>
      <c r="B69" s="36">
        <f t="shared" ref="B69:E69" si="50">B39</f>
        <v>0</v>
      </c>
      <c r="C69" s="25">
        <f t="shared" si="50"/>
        <v>0</v>
      </c>
      <c r="D69" s="25">
        <f t="shared" si="50"/>
        <v>0</v>
      </c>
      <c r="E69" s="25">
        <f t="shared" si="50"/>
        <v>0</v>
      </c>
      <c r="F69" s="25">
        <f t="shared" si="25"/>
        <v>0</v>
      </c>
      <c r="G69" s="184">
        <f t="shared" ref="G69:I69" si="51">$F$57*G39</f>
        <v>0</v>
      </c>
      <c r="H69" s="184">
        <f t="shared" si="51"/>
        <v>0</v>
      </c>
      <c r="I69" s="184">
        <f t="shared" si="51"/>
        <v>0</v>
      </c>
      <c r="J69" s="9">
        <f t="shared" si="27"/>
        <v>0</v>
      </c>
      <c r="K69" s="38">
        <f t="shared" si="28"/>
        <v>0</v>
      </c>
      <c r="L69" s="38">
        <f t="shared" si="29"/>
        <v>0</v>
      </c>
      <c r="M69" s="38">
        <f t="shared" si="30"/>
        <v>0</v>
      </c>
      <c r="N69" s="38">
        <f t="shared" si="31"/>
        <v>0</v>
      </c>
      <c r="O69" s="38">
        <f t="shared" si="32"/>
        <v>0</v>
      </c>
      <c r="P69" s="38">
        <f t="shared" si="33"/>
        <v>0</v>
      </c>
      <c r="Q69" s="38">
        <f t="shared" si="34"/>
        <v>0</v>
      </c>
      <c r="R69" s="26">
        <f t="shared" si="35"/>
        <v>0</v>
      </c>
    </row>
    <row r="70" spans="1:18" x14ac:dyDescent="0.25">
      <c r="A70" s="13" t="s">
        <v>149</v>
      </c>
      <c r="B70" s="36">
        <f t="shared" ref="B70:E70" si="52">B40</f>
        <v>0</v>
      </c>
      <c r="C70" s="25">
        <f t="shared" si="52"/>
        <v>0</v>
      </c>
      <c r="D70" s="25">
        <f t="shared" si="52"/>
        <v>0</v>
      </c>
      <c r="E70" s="25">
        <f t="shared" si="52"/>
        <v>0</v>
      </c>
      <c r="F70" s="25">
        <f t="shared" si="25"/>
        <v>0</v>
      </c>
      <c r="G70" s="184">
        <f t="shared" ref="G70:I70" si="53">$F$57*G40</f>
        <v>0</v>
      </c>
      <c r="H70" s="184">
        <f t="shared" si="53"/>
        <v>0</v>
      </c>
      <c r="I70" s="184">
        <f t="shared" si="53"/>
        <v>0</v>
      </c>
      <c r="J70" s="9">
        <f t="shared" si="27"/>
        <v>0</v>
      </c>
      <c r="K70" s="38">
        <f t="shared" si="28"/>
        <v>0</v>
      </c>
      <c r="L70" s="38">
        <f t="shared" si="29"/>
        <v>0</v>
      </c>
      <c r="M70" s="38">
        <f t="shared" si="30"/>
        <v>0</v>
      </c>
      <c r="N70" s="38">
        <f t="shared" si="31"/>
        <v>0</v>
      </c>
      <c r="O70" s="38">
        <f t="shared" si="32"/>
        <v>0</v>
      </c>
      <c r="P70" s="38">
        <f t="shared" si="33"/>
        <v>0</v>
      </c>
      <c r="Q70" s="38">
        <f t="shared" si="34"/>
        <v>0</v>
      </c>
      <c r="R70" s="26">
        <f t="shared" si="35"/>
        <v>0</v>
      </c>
    </row>
    <row r="71" spans="1:18" x14ac:dyDescent="0.25">
      <c r="A71" s="13" t="s">
        <v>150</v>
      </c>
      <c r="B71" s="36">
        <f t="shared" ref="B71:E71" si="54">B41</f>
        <v>0</v>
      </c>
      <c r="C71" s="25">
        <f t="shared" si="54"/>
        <v>0</v>
      </c>
      <c r="D71" s="25">
        <f t="shared" si="54"/>
        <v>0</v>
      </c>
      <c r="E71" s="25">
        <f t="shared" si="54"/>
        <v>0</v>
      </c>
      <c r="F71" s="25">
        <f t="shared" si="25"/>
        <v>0</v>
      </c>
      <c r="G71" s="184">
        <f t="shared" ref="G71:I71" si="55">$F$57*G41</f>
        <v>0</v>
      </c>
      <c r="H71" s="184">
        <f t="shared" si="55"/>
        <v>0</v>
      </c>
      <c r="I71" s="184">
        <f t="shared" si="55"/>
        <v>0</v>
      </c>
      <c r="J71" s="9">
        <f t="shared" si="27"/>
        <v>0</v>
      </c>
      <c r="K71" s="38">
        <f t="shared" si="28"/>
        <v>0</v>
      </c>
      <c r="L71" s="38">
        <f t="shared" si="29"/>
        <v>0</v>
      </c>
      <c r="M71" s="38">
        <f t="shared" si="30"/>
        <v>0</v>
      </c>
      <c r="N71" s="38">
        <f t="shared" si="31"/>
        <v>0</v>
      </c>
      <c r="O71" s="38">
        <f t="shared" si="32"/>
        <v>0</v>
      </c>
      <c r="P71" s="38">
        <f t="shared" si="33"/>
        <v>0</v>
      </c>
      <c r="Q71" s="38">
        <f t="shared" si="34"/>
        <v>0</v>
      </c>
      <c r="R71" s="26">
        <f t="shared" si="35"/>
        <v>0</v>
      </c>
    </row>
    <row r="72" spans="1:18" x14ac:dyDescent="0.25">
      <c r="A72" s="13" t="s">
        <v>151</v>
      </c>
      <c r="B72" s="36">
        <f t="shared" ref="B72:E72" si="56">B42</f>
        <v>0</v>
      </c>
      <c r="C72" s="25">
        <f t="shared" si="56"/>
        <v>0</v>
      </c>
      <c r="D72" s="25">
        <f t="shared" si="56"/>
        <v>0</v>
      </c>
      <c r="E72" s="25">
        <f t="shared" si="56"/>
        <v>0</v>
      </c>
      <c r="F72" s="25">
        <f t="shared" si="25"/>
        <v>0</v>
      </c>
      <c r="G72" s="184">
        <f t="shared" ref="G72:I72" si="57">$F$57*G42</f>
        <v>0</v>
      </c>
      <c r="H72" s="184">
        <f t="shared" si="57"/>
        <v>0</v>
      </c>
      <c r="I72" s="184">
        <f t="shared" si="57"/>
        <v>0</v>
      </c>
      <c r="J72" s="9">
        <f t="shared" si="27"/>
        <v>0</v>
      </c>
      <c r="K72" s="38">
        <f t="shared" si="28"/>
        <v>0</v>
      </c>
      <c r="L72" s="38">
        <f t="shared" si="29"/>
        <v>0</v>
      </c>
      <c r="M72" s="38">
        <f t="shared" si="30"/>
        <v>0</v>
      </c>
      <c r="N72" s="38">
        <f t="shared" si="31"/>
        <v>0</v>
      </c>
      <c r="O72" s="38">
        <f t="shared" si="32"/>
        <v>0</v>
      </c>
      <c r="P72" s="38">
        <f t="shared" si="33"/>
        <v>0</v>
      </c>
      <c r="Q72" s="38">
        <f t="shared" si="34"/>
        <v>0</v>
      </c>
      <c r="R72" s="26">
        <f t="shared" si="35"/>
        <v>0</v>
      </c>
    </row>
    <row r="73" spans="1:18" x14ac:dyDescent="0.25">
      <c r="A73" s="13" t="s">
        <v>152</v>
      </c>
      <c r="B73" s="36">
        <f t="shared" ref="B73:E73" si="58">B43</f>
        <v>0</v>
      </c>
      <c r="C73" s="25">
        <f t="shared" si="58"/>
        <v>0</v>
      </c>
      <c r="D73" s="25">
        <f t="shared" si="58"/>
        <v>0</v>
      </c>
      <c r="E73" s="25">
        <f t="shared" si="58"/>
        <v>0</v>
      </c>
      <c r="F73" s="25">
        <f t="shared" si="25"/>
        <v>0</v>
      </c>
      <c r="G73" s="184">
        <f t="shared" ref="G73:I73" si="59">$F$57*G43</f>
        <v>0</v>
      </c>
      <c r="H73" s="184">
        <f t="shared" si="59"/>
        <v>0</v>
      </c>
      <c r="I73" s="184">
        <f t="shared" si="59"/>
        <v>0</v>
      </c>
      <c r="J73" s="9">
        <f t="shared" si="27"/>
        <v>0</v>
      </c>
      <c r="K73" s="38">
        <f t="shared" si="28"/>
        <v>0</v>
      </c>
      <c r="L73" s="38">
        <f t="shared" si="29"/>
        <v>0</v>
      </c>
      <c r="M73" s="38">
        <f t="shared" si="30"/>
        <v>0</v>
      </c>
      <c r="N73" s="38">
        <f t="shared" si="31"/>
        <v>0</v>
      </c>
      <c r="O73" s="38">
        <f t="shared" si="32"/>
        <v>0</v>
      </c>
      <c r="P73" s="38">
        <f t="shared" si="33"/>
        <v>0</v>
      </c>
      <c r="Q73" s="38">
        <f t="shared" si="34"/>
        <v>0</v>
      </c>
      <c r="R73" s="26">
        <f t="shared" si="35"/>
        <v>0</v>
      </c>
    </row>
    <row r="74" spans="1:18" x14ac:dyDescent="0.25">
      <c r="A74" s="13" t="s">
        <v>162</v>
      </c>
      <c r="B74" s="36">
        <f t="shared" ref="B74:E74" si="60">B44</f>
        <v>0</v>
      </c>
      <c r="C74" s="25">
        <f t="shared" si="60"/>
        <v>0</v>
      </c>
      <c r="D74" s="25">
        <f t="shared" si="60"/>
        <v>0</v>
      </c>
      <c r="E74" s="25">
        <f t="shared" si="60"/>
        <v>0</v>
      </c>
      <c r="F74" s="25">
        <f t="shared" si="25"/>
        <v>0</v>
      </c>
      <c r="G74" s="184">
        <f t="shared" ref="G74:I74" si="61">$F$57*G44</f>
        <v>0</v>
      </c>
      <c r="H74" s="184">
        <f t="shared" si="61"/>
        <v>0</v>
      </c>
      <c r="I74" s="184">
        <f t="shared" si="61"/>
        <v>0</v>
      </c>
      <c r="J74" s="9">
        <f t="shared" si="27"/>
        <v>0</v>
      </c>
      <c r="K74" s="38">
        <f t="shared" si="28"/>
        <v>0</v>
      </c>
      <c r="L74" s="38">
        <f t="shared" si="29"/>
        <v>0</v>
      </c>
      <c r="M74" s="38">
        <f t="shared" si="30"/>
        <v>0</v>
      </c>
      <c r="N74" s="38">
        <f t="shared" si="31"/>
        <v>0</v>
      </c>
      <c r="O74" s="38">
        <f t="shared" si="32"/>
        <v>0</v>
      </c>
      <c r="P74" s="38">
        <f t="shared" si="33"/>
        <v>0</v>
      </c>
      <c r="Q74" s="38">
        <f t="shared" si="34"/>
        <v>0</v>
      </c>
      <c r="R74" s="26">
        <f t="shared" si="35"/>
        <v>0</v>
      </c>
    </row>
    <row r="75" spans="1:18" x14ac:dyDescent="0.25">
      <c r="A75" s="13" t="s">
        <v>154</v>
      </c>
      <c r="B75" s="36">
        <f t="shared" ref="B75:E75" si="62">B45</f>
        <v>0</v>
      </c>
      <c r="C75" s="25">
        <f t="shared" si="62"/>
        <v>0</v>
      </c>
      <c r="D75" s="25">
        <f t="shared" si="62"/>
        <v>0</v>
      </c>
      <c r="E75" s="25">
        <f t="shared" si="62"/>
        <v>0</v>
      </c>
      <c r="F75" s="25">
        <f t="shared" si="25"/>
        <v>0</v>
      </c>
      <c r="G75" s="184">
        <f t="shared" ref="G75:I75" si="63">$F$57*G45</f>
        <v>0</v>
      </c>
      <c r="H75" s="184">
        <f t="shared" si="63"/>
        <v>0</v>
      </c>
      <c r="I75" s="184">
        <f t="shared" si="63"/>
        <v>0</v>
      </c>
      <c r="J75" s="9">
        <f t="shared" si="27"/>
        <v>0</v>
      </c>
      <c r="K75" s="38">
        <f t="shared" si="28"/>
        <v>0</v>
      </c>
      <c r="L75" s="38">
        <f t="shared" si="29"/>
        <v>0</v>
      </c>
      <c r="M75" s="38">
        <f t="shared" si="30"/>
        <v>0</v>
      </c>
      <c r="N75" s="38">
        <f t="shared" si="31"/>
        <v>0</v>
      </c>
      <c r="O75" s="38">
        <f t="shared" si="32"/>
        <v>0</v>
      </c>
      <c r="P75" s="38">
        <f t="shared" si="33"/>
        <v>0</v>
      </c>
      <c r="Q75" s="38">
        <f t="shared" si="34"/>
        <v>0</v>
      </c>
      <c r="R75" s="26">
        <f t="shared" si="35"/>
        <v>0</v>
      </c>
    </row>
    <row r="76" spans="1:18" x14ac:dyDescent="0.25">
      <c r="A76" s="13" t="s">
        <v>155</v>
      </c>
      <c r="B76" s="36">
        <f t="shared" ref="B76:E76" si="64">B46</f>
        <v>0</v>
      </c>
      <c r="C76" s="25">
        <f t="shared" si="64"/>
        <v>0</v>
      </c>
      <c r="D76" s="25">
        <f t="shared" si="64"/>
        <v>0</v>
      </c>
      <c r="E76" s="25">
        <f t="shared" si="64"/>
        <v>0</v>
      </c>
      <c r="F76" s="25">
        <f t="shared" si="25"/>
        <v>0</v>
      </c>
      <c r="G76" s="184">
        <f t="shared" ref="G76:I76" si="65">$F$57*G46</f>
        <v>0</v>
      </c>
      <c r="H76" s="184">
        <f t="shared" si="65"/>
        <v>0</v>
      </c>
      <c r="I76" s="184">
        <f t="shared" si="65"/>
        <v>0</v>
      </c>
      <c r="J76" s="9">
        <f t="shared" si="27"/>
        <v>0</v>
      </c>
      <c r="K76" s="38">
        <f t="shared" si="28"/>
        <v>0</v>
      </c>
      <c r="L76" s="38">
        <f t="shared" si="29"/>
        <v>0</v>
      </c>
      <c r="M76" s="38">
        <f t="shared" si="30"/>
        <v>0</v>
      </c>
      <c r="N76" s="38">
        <f t="shared" si="31"/>
        <v>0</v>
      </c>
      <c r="O76" s="38">
        <f t="shared" si="32"/>
        <v>0</v>
      </c>
      <c r="P76" s="38">
        <f t="shared" si="33"/>
        <v>0</v>
      </c>
      <c r="Q76" s="38">
        <f t="shared" si="34"/>
        <v>0</v>
      </c>
      <c r="R76" s="26">
        <f t="shared" si="35"/>
        <v>0</v>
      </c>
    </row>
    <row r="77" spans="1:18" x14ac:dyDescent="0.25">
      <c r="A77" s="13" t="s">
        <v>156</v>
      </c>
      <c r="B77" s="36">
        <f t="shared" ref="B77:E77" si="66">B47</f>
        <v>0</v>
      </c>
      <c r="C77" s="25">
        <f t="shared" si="66"/>
        <v>0</v>
      </c>
      <c r="D77" s="25">
        <f t="shared" si="66"/>
        <v>0</v>
      </c>
      <c r="E77" s="25">
        <f t="shared" si="66"/>
        <v>0</v>
      </c>
      <c r="F77" s="25">
        <f t="shared" si="25"/>
        <v>0</v>
      </c>
      <c r="G77" s="184">
        <f t="shared" ref="G77:I77" si="67">$F$57*G47</f>
        <v>0</v>
      </c>
      <c r="H77" s="184">
        <f t="shared" si="67"/>
        <v>0</v>
      </c>
      <c r="I77" s="184">
        <f t="shared" si="67"/>
        <v>0</v>
      </c>
      <c r="J77" s="9">
        <f t="shared" si="27"/>
        <v>0</v>
      </c>
      <c r="K77" s="38">
        <f t="shared" si="28"/>
        <v>0</v>
      </c>
      <c r="L77" s="38">
        <f t="shared" si="29"/>
        <v>0</v>
      </c>
      <c r="M77" s="38">
        <f t="shared" si="30"/>
        <v>0</v>
      </c>
      <c r="N77" s="38">
        <f t="shared" si="31"/>
        <v>0</v>
      </c>
      <c r="O77" s="38">
        <f t="shared" si="32"/>
        <v>0</v>
      </c>
      <c r="P77" s="38">
        <f t="shared" si="33"/>
        <v>0</v>
      </c>
      <c r="Q77" s="38">
        <f t="shared" si="34"/>
        <v>0</v>
      </c>
      <c r="R77" s="26">
        <f t="shared" si="35"/>
        <v>0</v>
      </c>
    </row>
    <row r="78" spans="1:18" x14ac:dyDescent="0.25">
      <c r="A78" s="13" t="s">
        <v>157</v>
      </c>
      <c r="B78" s="36">
        <f t="shared" ref="B78:E78" si="68">B48</f>
        <v>0</v>
      </c>
      <c r="C78" s="25">
        <f t="shared" si="68"/>
        <v>0</v>
      </c>
      <c r="D78" s="25">
        <f t="shared" si="68"/>
        <v>0</v>
      </c>
      <c r="E78" s="25">
        <f t="shared" si="68"/>
        <v>0</v>
      </c>
      <c r="F78" s="25">
        <f t="shared" si="25"/>
        <v>0</v>
      </c>
      <c r="G78" s="184">
        <f t="shared" ref="G78:I78" si="69">$F$57*G48</f>
        <v>0</v>
      </c>
      <c r="H78" s="184">
        <f t="shared" si="69"/>
        <v>0</v>
      </c>
      <c r="I78" s="184">
        <f t="shared" si="69"/>
        <v>0</v>
      </c>
      <c r="J78" s="9">
        <f t="shared" si="27"/>
        <v>0</v>
      </c>
      <c r="K78" s="38">
        <f t="shared" si="28"/>
        <v>0</v>
      </c>
      <c r="L78" s="38">
        <f t="shared" si="29"/>
        <v>0</v>
      </c>
      <c r="M78" s="38">
        <f t="shared" si="30"/>
        <v>0</v>
      </c>
      <c r="N78" s="38">
        <f t="shared" si="31"/>
        <v>0</v>
      </c>
      <c r="O78" s="38">
        <f t="shared" si="32"/>
        <v>0</v>
      </c>
      <c r="P78" s="38">
        <f t="shared" si="33"/>
        <v>0</v>
      </c>
      <c r="Q78" s="38">
        <f t="shared" si="34"/>
        <v>0</v>
      </c>
      <c r="R78" s="26">
        <f t="shared" si="35"/>
        <v>0</v>
      </c>
    </row>
    <row r="79" spans="1:18" x14ac:dyDescent="0.25">
      <c r="A79" s="13" t="s">
        <v>158</v>
      </c>
      <c r="B79" s="36">
        <f t="shared" ref="B79:E79" si="70">B49</f>
        <v>0</v>
      </c>
      <c r="C79" s="25">
        <f t="shared" si="70"/>
        <v>0</v>
      </c>
      <c r="D79" s="25">
        <f t="shared" si="70"/>
        <v>0</v>
      </c>
      <c r="E79" s="25">
        <f t="shared" si="70"/>
        <v>0</v>
      </c>
      <c r="F79" s="25">
        <f t="shared" si="25"/>
        <v>0</v>
      </c>
      <c r="G79" s="184">
        <f t="shared" ref="G79:I79" si="71">$F$57*G49</f>
        <v>0</v>
      </c>
      <c r="H79" s="184">
        <f t="shared" si="71"/>
        <v>0</v>
      </c>
      <c r="I79" s="184">
        <f t="shared" si="71"/>
        <v>0</v>
      </c>
      <c r="J79" s="9">
        <f t="shared" si="27"/>
        <v>0</v>
      </c>
      <c r="K79" s="38">
        <f t="shared" si="28"/>
        <v>0</v>
      </c>
      <c r="L79" s="38">
        <f t="shared" si="29"/>
        <v>0</v>
      </c>
      <c r="M79" s="38">
        <f t="shared" si="30"/>
        <v>0</v>
      </c>
      <c r="N79" s="38">
        <f t="shared" si="31"/>
        <v>0</v>
      </c>
      <c r="O79" s="38">
        <f t="shared" si="32"/>
        <v>0</v>
      </c>
      <c r="P79" s="38">
        <f t="shared" si="33"/>
        <v>0</v>
      </c>
      <c r="Q79" s="38">
        <f t="shared" si="34"/>
        <v>0</v>
      </c>
      <c r="R79" s="26">
        <f t="shared" si="35"/>
        <v>0</v>
      </c>
    </row>
    <row r="80" spans="1:18" x14ac:dyDescent="0.25">
      <c r="A80" s="13" t="s">
        <v>159</v>
      </c>
      <c r="B80" s="36">
        <f t="shared" ref="B80:E80" si="72">B50</f>
        <v>0</v>
      </c>
      <c r="C80" s="25">
        <f t="shared" si="72"/>
        <v>0</v>
      </c>
      <c r="D80" s="25">
        <f t="shared" si="72"/>
        <v>0</v>
      </c>
      <c r="E80" s="25">
        <f t="shared" si="72"/>
        <v>0</v>
      </c>
      <c r="F80" s="25">
        <f t="shared" si="25"/>
        <v>0</v>
      </c>
      <c r="G80" s="184">
        <f t="shared" ref="G80:I80" si="73">$F$57*G50</f>
        <v>0</v>
      </c>
      <c r="H80" s="184">
        <f t="shared" si="73"/>
        <v>0</v>
      </c>
      <c r="I80" s="184">
        <f t="shared" si="73"/>
        <v>0</v>
      </c>
      <c r="J80" s="9">
        <f t="shared" si="27"/>
        <v>0</v>
      </c>
      <c r="K80" s="38">
        <f t="shared" si="28"/>
        <v>0</v>
      </c>
      <c r="L80" s="38">
        <f t="shared" si="29"/>
        <v>0</v>
      </c>
      <c r="M80" s="38">
        <f t="shared" si="30"/>
        <v>0</v>
      </c>
      <c r="N80" s="38">
        <f t="shared" si="31"/>
        <v>0</v>
      </c>
      <c r="O80" s="38">
        <f t="shared" si="32"/>
        <v>0</v>
      </c>
      <c r="P80" s="38">
        <f t="shared" si="33"/>
        <v>0</v>
      </c>
      <c r="Q80" s="38">
        <f t="shared" si="34"/>
        <v>0</v>
      </c>
      <c r="R80" s="26">
        <f t="shared" si="35"/>
        <v>0</v>
      </c>
    </row>
    <row r="81" spans="1:20" x14ac:dyDescent="0.25">
      <c r="A81" s="13" t="s">
        <v>160</v>
      </c>
      <c r="B81" s="36">
        <f t="shared" ref="B81:E81" si="74">B51</f>
        <v>0</v>
      </c>
      <c r="C81" s="25">
        <f t="shared" si="74"/>
        <v>0</v>
      </c>
      <c r="D81" s="25">
        <f t="shared" si="74"/>
        <v>0</v>
      </c>
      <c r="E81" s="25">
        <f t="shared" si="74"/>
        <v>0</v>
      </c>
      <c r="F81" s="25">
        <f t="shared" si="25"/>
        <v>0</v>
      </c>
      <c r="G81" s="184">
        <f t="shared" ref="G81:I81" si="75">$F$57*G51</f>
        <v>0</v>
      </c>
      <c r="H81" s="184">
        <f t="shared" si="75"/>
        <v>0</v>
      </c>
      <c r="I81" s="184">
        <f t="shared" si="75"/>
        <v>0</v>
      </c>
      <c r="J81" s="9">
        <f t="shared" si="27"/>
        <v>0</v>
      </c>
      <c r="K81" s="38">
        <f t="shared" si="28"/>
        <v>0</v>
      </c>
      <c r="L81" s="38">
        <f t="shared" si="29"/>
        <v>0</v>
      </c>
      <c r="M81" s="38">
        <f t="shared" si="30"/>
        <v>0</v>
      </c>
      <c r="N81" s="38">
        <f t="shared" si="31"/>
        <v>0</v>
      </c>
      <c r="O81" s="38">
        <f t="shared" si="32"/>
        <v>0</v>
      </c>
      <c r="P81" s="38">
        <f t="shared" si="33"/>
        <v>0</v>
      </c>
      <c r="Q81" s="38">
        <f t="shared" si="34"/>
        <v>0</v>
      </c>
      <c r="R81" s="26">
        <f t="shared" si="35"/>
        <v>0</v>
      </c>
    </row>
    <row r="82" spans="1:20" x14ac:dyDescent="0.25">
      <c r="A82" s="13" t="s">
        <v>161</v>
      </c>
      <c r="B82" s="36">
        <f>B52</f>
        <v>0</v>
      </c>
      <c r="C82" s="25">
        <f>C52</f>
        <v>0</v>
      </c>
      <c r="D82" s="25">
        <f>D52</f>
        <v>0</v>
      </c>
      <c r="E82" s="25">
        <f>E52</f>
        <v>0</v>
      </c>
      <c r="F82" s="25">
        <f>SUM(C82:E82)</f>
        <v>0</v>
      </c>
      <c r="G82" s="184">
        <f t="shared" ref="G82:I83" si="76">$F$57*G52</f>
        <v>0</v>
      </c>
      <c r="H82" s="184">
        <f t="shared" si="76"/>
        <v>0</v>
      </c>
      <c r="I82" s="184">
        <f t="shared" si="76"/>
        <v>0</v>
      </c>
      <c r="J82" s="9">
        <f>SUMPRODUCT(C82:E82,G82:I82)</f>
        <v>0</v>
      </c>
      <c r="K82" s="38">
        <f t="shared" si="28"/>
        <v>0</v>
      </c>
      <c r="L82" s="38">
        <f t="shared" si="29"/>
        <v>0</v>
      </c>
      <c r="M82" s="38">
        <f t="shared" si="30"/>
        <v>0</v>
      </c>
      <c r="N82" s="38">
        <f t="shared" si="31"/>
        <v>0</v>
      </c>
      <c r="O82" s="38">
        <f t="shared" si="32"/>
        <v>0</v>
      </c>
      <c r="P82" s="38">
        <f t="shared" si="33"/>
        <v>0</v>
      </c>
      <c r="Q82" s="38">
        <f t="shared" si="34"/>
        <v>0</v>
      </c>
      <c r="R82" s="26">
        <f>SUM(O82:Q82)</f>
        <v>0</v>
      </c>
    </row>
    <row r="83" spans="1:20" x14ac:dyDescent="0.25">
      <c r="A83" s="13" t="s">
        <v>162</v>
      </c>
      <c r="B83" s="36">
        <f t="shared" ref="B83:E83" si="77">B53</f>
        <v>0</v>
      </c>
      <c r="C83" s="25">
        <f t="shared" si="77"/>
        <v>0</v>
      </c>
      <c r="D83" s="25">
        <f t="shared" si="77"/>
        <v>0</v>
      </c>
      <c r="E83" s="25">
        <f t="shared" si="77"/>
        <v>0</v>
      </c>
      <c r="F83" s="25">
        <f>SUM(C83:E83)</f>
        <v>0</v>
      </c>
      <c r="G83" s="184">
        <f t="shared" si="76"/>
        <v>0</v>
      </c>
      <c r="H83" s="184">
        <f t="shared" si="76"/>
        <v>0</v>
      </c>
      <c r="I83" s="184">
        <f t="shared" si="76"/>
        <v>0</v>
      </c>
      <c r="J83" s="9">
        <f>SUMPRODUCT(C83:E83,G83:I83)</f>
        <v>0</v>
      </c>
      <c r="K83" s="38">
        <f t="shared" si="23"/>
        <v>0</v>
      </c>
      <c r="L83" s="38">
        <f t="shared" si="23"/>
        <v>0</v>
      </c>
      <c r="M83" s="38">
        <f t="shared" si="23"/>
        <v>0</v>
      </c>
      <c r="N83" s="38">
        <f t="shared" si="23"/>
        <v>0</v>
      </c>
      <c r="O83" s="38">
        <f>$D$16*K83</f>
        <v>0</v>
      </c>
      <c r="P83" s="38">
        <f>$D$16*L83</f>
        <v>0</v>
      </c>
      <c r="Q83" s="38">
        <f>$D$16*M83</f>
        <v>0</v>
      </c>
      <c r="R83" s="26">
        <f>SUM(O83:Q83)</f>
        <v>0</v>
      </c>
    </row>
    <row r="84" spans="1:20" x14ac:dyDescent="0.25">
      <c r="A84" s="1" t="s">
        <v>163</v>
      </c>
      <c r="B84" s="10">
        <f>SUM(B60:B83)</f>
        <v>0</v>
      </c>
      <c r="C84" s="51" t="e">
        <f>SUMPRODUCT($B$60:$B$83,C60:C83)/$B$84</f>
        <v>#DIV/0!</v>
      </c>
      <c r="D84" s="51" t="e">
        <f>SUMPRODUCT($B$60:$B$83,D60:D83)/$B$84</f>
        <v>#DIV/0!</v>
      </c>
      <c r="E84" s="51" t="e">
        <f>SUMPRODUCT($B$60:$B$83,E60:E83)/$B$84</f>
        <v>#DIV/0!</v>
      </c>
      <c r="F84" s="37" t="e">
        <f>SUM(C84:E84)</f>
        <v>#DIV/0!</v>
      </c>
      <c r="G84" s="10" t="e">
        <f>SUMPRODUCT(B60:B83,G60:G83)/E84</f>
        <v>#DIV/0!</v>
      </c>
      <c r="H84" s="10" t="e">
        <f>SUMPRODUCT(B60:B83,H60:H83)/G84</f>
        <v>#DIV/0!</v>
      </c>
      <c r="I84" s="10" t="e">
        <f>SUMPRODUCT(B60:B83,I60:I83)/H84</f>
        <v>#DIV/0!</v>
      </c>
      <c r="J84" s="9" t="e">
        <f>SUMPRODUCT(C84:E84,G84:I84)</f>
        <v>#DIV/0!</v>
      </c>
      <c r="K84" s="38">
        <f>SUM(K60:K83)</f>
        <v>0</v>
      </c>
      <c r="L84" s="38">
        <f>SUM(L60:L83)</f>
        <v>0</v>
      </c>
      <c r="M84" s="38">
        <f t="shared" ref="M84" si="78">SUM(M60:M83)</f>
        <v>0</v>
      </c>
      <c r="N84" s="38">
        <f>SUM(K84:M84)</f>
        <v>0</v>
      </c>
      <c r="O84" s="38">
        <f>SUM(O60:O83)</f>
        <v>0</v>
      </c>
      <c r="P84" s="38">
        <f>SUM(P60:P83)</f>
        <v>0</v>
      </c>
      <c r="Q84" s="38">
        <f>SUM(Q60:Q83)</f>
        <v>0</v>
      </c>
      <c r="R84" s="23">
        <f>SUM(R60:R83)</f>
        <v>0</v>
      </c>
    </row>
    <row r="85" spans="1:20" x14ac:dyDescent="0.25">
      <c r="A85" s="17" t="s">
        <v>8</v>
      </c>
      <c r="C85" s="842"/>
      <c r="D85" s="842"/>
      <c r="E85" s="842"/>
      <c r="F85" s="6"/>
      <c r="N85" s="29" t="b">
        <f>SUM(K84:M84)=N84</f>
        <v>1</v>
      </c>
      <c r="S85" s="39" t="b">
        <f>SUM(O84:Q84)=R84</f>
        <v>1</v>
      </c>
    </row>
    <row r="86" spans="1:20" x14ac:dyDescent="0.25">
      <c r="A86" s="17"/>
      <c r="C86" s="21"/>
      <c r="D86" s="21"/>
      <c r="E86" s="21"/>
    </row>
    <row r="89" spans="1:20" ht="27.6" customHeight="1" x14ac:dyDescent="0.25">
      <c r="A89" s="814" t="s">
        <v>754</v>
      </c>
      <c r="B89" s="814"/>
      <c r="C89" s="814"/>
      <c r="D89" s="814"/>
      <c r="E89" s="814"/>
      <c r="F89" s="814"/>
      <c r="G89" s="814"/>
      <c r="H89" s="814"/>
      <c r="I89" s="814"/>
    </row>
    <row r="90" spans="1:20" ht="18.600000000000001" customHeight="1" x14ac:dyDescent="0.25">
      <c r="A90" s="59" t="s">
        <v>755</v>
      </c>
    </row>
    <row r="91" spans="1:20" ht="33.6" customHeight="1" x14ac:dyDescent="0.25">
      <c r="A91" s="838" t="s">
        <v>101</v>
      </c>
      <c r="B91" s="814" t="s">
        <v>327</v>
      </c>
      <c r="C91" s="814" t="str">
        <f>C58</f>
        <v>Percentage of pasture area by degree of land degradation ( low degradation, medium degradation, severe degradation)</v>
      </c>
      <c r="D91" s="814"/>
      <c r="E91" s="814"/>
      <c r="F91" s="814"/>
      <c r="G91" s="814" t="s">
        <v>756</v>
      </c>
      <c r="H91" s="814"/>
      <c r="I91" s="814"/>
      <c r="J91" s="814"/>
      <c r="K91" s="814" t="s">
        <v>757</v>
      </c>
      <c r="L91" s="814"/>
      <c r="M91" s="814"/>
      <c r="N91" s="814"/>
      <c r="O91" s="44"/>
      <c r="P91" s="44"/>
      <c r="Q91" s="44"/>
      <c r="R91" s="44"/>
      <c r="S91" s="44"/>
      <c r="T91" s="44"/>
    </row>
    <row r="92" spans="1:20" x14ac:dyDescent="0.25">
      <c r="A92" s="838"/>
      <c r="B92" s="814"/>
      <c r="C92" s="1" t="s">
        <v>331</v>
      </c>
      <c r="D92" s="1" t="s">
        <v>137</v>
      </c>
      <c r="E92" s="1" t="s">
        <v>289</v>
      </c>
      <c r="F92" s="1" t="s">
        <v>120</v>
      </c>
      <c r="G92" s="1" t="s">
        <v>136</v>
      </c>
      <c r="H92" s="1" t="s">
        <v>137</v>
      </c>
      <c r="I92" s="1" t="s">
        <v>289</v>
      </c>
      <c r="J92" s="1" t="s">
        <v>120</v>
      </c>
      <c r="K92" s="1" t="s">
        <v>136</v>
      </c>
      <c r="L92" s="1" t="s">
        <v>137</v>
      </c>
      <c r="M92" s="1" t="s">
        <v>289</v>
      </c>
      <c r="N92" s="1" t="s">
        <v>120</v>
      </c>
    </row>
    <row r="93" spans="1:20" x14ac:dyDescent="0.25">
      <c r="A93" s="13" t="s">
        <v>139</v>
      </c>
      <c r="B93" s="40"/>
      <c r="C93" s="231">
        <f>C60</f>
        <v>0</v>
      </c>
      <c r="D93" s="231">
        <f t="shared" ref="D93:E93" si="79">D60</f>
        <v>0</v>
      </c>
      <c r="E93" s="231">
        <f t="shared" si="79"/>
        <v>0</v>
      </c>
      <c r="F93" s="9">
        <f>SUM(C93:E93)</f>
        <v>0</v>
      </c>
      <c r="G93" s="36">
        <v>0</v>
      </c>
      <c r="H93" s="9">
        <v>0</v>
      </c>
      <c r="I93" s="25">
        <f>IFERROR(E93*$B93/(E30*$B30),0)</f>
        <v>0</v>
      </c>
      <c r="J93" s="9">
        <f>SUMPRODUCT(C93:E93,G93:I93)</f>
        <v>0</v>
      </c>
      <c r="K93" s="9">
        <f>($G93-G93)*(C30*$B30)</f>
        <v>0</v>
      </c>
      <c r="L93" s="9">
        <f>($G93-H93)*(D30*$B30)</f>
        <v>0</v>
      </c>
      <c r="M93" s="9">
        <f>($G93-I93)*(E30*$B30)</f>
        <v>0</v>
      </c>
      <c r="N93" s="9">
        <f>SUM(K93:M93)</f>
        <v>0</v>
      </c>
    </row>
    <row r="94" spans="1:20" x14ac:dyDescent="0.25">
      <c r="A94" s="13" t="s">
        <v>140</v>
      </c>
      <c r="B94" s="40"/>
      <c r="C94" s="231">
        <f t="shared" ref="C94:E94" si="80">C61</f>
        <v>0</v>
      </c>
      <c r="D94" s="231">
        <f t="shared" si="80"/>
        <v>0</v>
      </c>
      <c r="E94" s="231">
        <f t="shared" si="80"/>
        <v>0</v>
      </c>
      <c r="F94" s="9">
        <f t="shared" ref="F94:F116" si="81">SUM(C94:E94)</f>
        <v>0</v>
      </c>
      <c r="G94" s="36">
        <v>0</v>
      </c>
      <c r="H94" s="9">
        <v>0</v>
      </c>
      <c r="I94" s="25">
        <f t="shared" ref="I94:I116" si="82">IFERROR(E94*$B94/(E31*$B31),0)</f>
        <v>0</v>
      </c>
      <c r="J94" s="9">
        <f t="shared" ref="J94:J116" si="83">SUMPRODUCT(C94:E94,G94:I94)</f>
        <v>0</v>
      </c>
      <c r="K94" s="9">
        <f t="shared" ref="K94:M94" si="84">($G94-G94)*(C31*$B31)</f>
        <v>0</v>
      </c>
      <c r="L94" s="9">
        <f t="shared" si="84"/>
        <v>0</v>
      </c>
      <c r="M94" s="9">
        <f t="shared" si="84"/>
        <v>0</v>
      </c>
      <c r="N94" s="9">
        <f t="shared" ref="N94:N116" si="85">SUM(K94:M94)</f>
        <v>0</v>
      </c>
    </row>
    <row r="95" spans="1:20" x14ac:dyDescent="0.25">
      <c r="A95" s="13" t="s">
        <v>141</v>
      </c>
      <c r="B95" s="40"/>
      <c r="C95" s="231">
        <f t="shared" ref="C95:E95" si="86">C62</f>
        <v>0</v>
      </c>
      <c r="D95" s="231">
        <f t="shared" si="86"/>
        <v>0</v>
      </c>
      <c r="E95" s="231">
        <f t="shared" si="86"/>
        <v>0</v>
      </c>
      <c r="F95" s="9">
        <f t="shared" si="81"/>
        <v>0</v>
      </c>
      <c r="G95" s="36">
        <v>0</v>
      </c>
      <c r="H95" s="9">
        <v>0</v>
      </c>
      <c r="I95" s="25">
        <f t="shared" si="82"/>
        <v>0</v>
      </c>
      <c r="J95" s="9">
        <f t="shared" si="83"/>
        <v>0</v>
      </c>
      <c r="K95" s="9">
        <f t="shared" ref="K95:M95" si="87">($G95-G95)*(C32*$B32)</f>
        <v>0</v>
      </c>
      <c r="L95" s="9">
        <f t="shared" si="87"/>
        <v>0</v>
      </c>
      <c r="M95" s="9">
        <f t="shared" si="87"/>
        <v>0</v>
      </c>
      <c r="N95" s="9">
        <f t="shared" si="85"/>
        <v>0</v>
      </c>
    </row>
    <row r="96" spans="1:20" x14ac:dyDescent="0.25">
      <c r="A96" s="13" t="s">
        <v>142</v>
      </c>
      <c r="B96" s="40"/>
      <c r="C96" s="231">
        <f t="shared" ref="C96:E96" si="88">C63</f>
        <v>0</v>
      </c>
      <c r="D96" s="231">
        <f t="shared" si="88"/>
        <v>0</v>
      </c>
      <c r="E96" s="231">
        <f t="shared" si="88"/>
        <v>0</v>
      </c>
      <c r="F96" s="9">
        <f t="shared" si="81"/>
        <v>0</v>
      </c>
      <c r="G96" s="36">
        <v>0</v>
      </c>
      <c r="H96" s="9">
        <v>0</v>
      </c>
      <c r="I96" s="25">
        <f t="shared" si="82"/>
        <v>0</v>
      </c>
      <c r="J96" s="9">
        <f t="shared" si="83"/>
        <v>0</v>
      </c>
      <c r="K96" s="9">
        <f t="shared" ref="K96:M96" si="89">($G96-G96)*(C33*$B33)</f>
        <v>0</v>
      </c>
      <c r="L96" s="9">
        <f t="shared" si="89"/>
        <v>0</v>
      </c>
      <c r="M96" s="9">
        <f t="shared" si="89"/>
        <v>0</v>
      </c>
      <c r="N96" s="9">
        <f t="shared" si="85"/>
        <v>0</v>
      </c>
    </row>
    <row r="97" spans="1:14" x14ac:dyDescent="0.25">
      <c r="A97" s="13" t="s">
        <v>143</v>
      </c>
      <c r="B97" s="40"/>
      <c r="C97" s="231">
        <f t="shared" ref="C97:E97" si="90">C64</f>
        <v>0</v>
      </c>
      <c r="D97" s="231">
        <f t="shared" si="90"/>
        <v>0</v>
      </c>
      <c r="E97" s="231">
        <f t="shared" si="90"/>
        <v>0</v>
      </c>
      <c r="F97" s="9">
        <f t="shared" si="81"/>
        <v>0</v>
      </c>
      <c r="G97" s="36">
        <v>0</v>
      </c>
      <c r="H97" s="9">
        <v>0</v>
      </c>
      <c r="I97" s="25">
        <f t="shared" si="82"/>
        <v>0</v>
      </c>
      <c r="J97" s="9">
        <f t="shared" si="83"/>
        <v>0</v>
      </c>
      <c r="K97" s="9">
        <f t="shared" ref="K97:M97" si="91">($G97-G97)*(C34*$B34)</f>
        <v>0</v>
      </c>
      <c r="L97" s="9">
        <f t="shared" si="91"/>
        <v>0</v>
      </c>
      <c r="M97" s="9">
        <f t="shared" si="91"/>
        <v>0</v>
      </c>
      <c r="N97" s="9">
        <f t="shared" si="85"/>
        <v>0</v>
      </c>
    </row>
    <row r="98" spans="1:14" x14ac:dyDescent="0.25">
      <c r="A98" s="13" t="s">
        <v>144</v>
      </c>
      <c r="B98" s="40"/>
      <c r="C98" s="231">
        <f t="shared" ref="C98:E98" si="92">C65</f>
        <v>0</v>
      </c>
      <c r="D98" s="231">
        <f t="shared" si="92"/>
        <v>0</v>
      </c>
      <c r="E98" s="231">
        <f t="shared" si="92"/>
        <v>0</v>
      </c>
      <c r="F98" s="9">
        <f t="shared" si="81"/>
        <v>0</v>
      </c>
      <c r="G98" s="36">
        <v>0</v>
      </c>
      <c r="H98" s="9">
        <v>0</v>
      </c>
      <c r="I98" s="25">
        <f t="shared" si="82"/>
        <v>0</v>
      </c>
      <c r="J98" s="9">
        <f t="shared" si="83"/>
        <v>0</v>
      </c>
      <c r="K98" s="9">
        <f t="shared" ref="K98:M98" si="93">($G98-G98)*(C35*$B35)</f>
        <v>0</v>
      </c>
      <c r="L98" s="9">
        <f t="shared" si="93"/>
        <v>0</v>
      </c>
      <c r="M98" s="9">
        <f t="shared" si="93"/>
        <v>0</v>
      </c>
      <c r="N98" s="9">
        <f t="shared" si="85"/>
        <v>0</v>
      </c>
    </row>
    <row r="99" spans="1:14" x14ac:dyDescent="0.25">
      <c r="A99" s="13" t="s">
        <v>145</v>
      </c>
      <c r="B99" s="40"/>
      <c r="C99" s="231">
        <f t="shared" ref="C99:E99" si="94">C66</f>
        <v>0</v>
      </c>
      <c r="D99" s="231">
        <f t="shared" si="94"/>
        <v>0</v>
      </c>
      <c r="E99" s="231">
        <f t="shared" si="94"/>
        <v>0</v>
      </c>
      <c r="F99" s="9">
        <f t="shared" si="81"/>
        <v>0</v>
      </c>
      <c r="G99" s="36">
        <v>0</v>
      </c>
      <c r="H99" s="9">
        <v>0</v>
      </c>
      <c r="I99" s="25">
        <f t="shared" si="82"/>
        <v>0</v>
      </c>
      <c r="J99" s="9">
        <f t="shared" si="83"/>
        <v>0</v>
      </c>
      <c r="K99" s="9">
        <f t="shared" ref="K99:M99" si="95">($G99-G99)*(C36*$B36)</f>
        <v>0</v>
      </c>
      <c r="L99" s="9">
        <f t="shared" si="95"/>
        <v>0</v>
      </c>
      <c r="M99" s="9">
        <f t="shared" si="95"/>
        <v>0</v>
      </c>
      <c r="N99" s="9">
        <f t="shared" si="85"/>
        <v>0</v>
      </c>
    </row>
    <row r="100" spans="1:14" x14ac:dyDescent="0.25">
      <c r="A100" s="13" t="s">
        <v>146</v>
      </c>
      <c r="B100" s="40"/>
      <c r="C100" s="231">
        <f t="shared" ref="C100:E100" si="96">C67</f>
        <v>0</v>
      </c>
      <c r="D100" s="231">
        <f t="shared" si="96"/>
        <v>0</v>
      </c>
      <c r="E100" s="231">
        <f t="shared" si="96"/>
        <v>0</v>
      </c>
      <c r="F100" s="9">
        <f t="shared" si="81"/>
        <v>0</v>
      </c>
      <c r="G100" s="36">
        <v>0</v>
      </c>
      <c r="H100" s="9">
        <v>0</v>
      </c>
      <c r="I100" s="25">
        <f t="shared" si="82"/>
        <v>0</v>
      </c>
      <c r="J100" s="9">
        <f t="shared" si="83"/>
        <v>0</v>
      </c>
      <c r="K100" s="9">
        <f t="shared" ref="K100:M100" si="97">($G100-G100)*(C37*$B37)</f>
        <v>0</v>
      </c>
      <c r="L100" s="9">
        <f t="shared" si="97"/>
        <v>0</v>
      </c>
      <c r="M100" s="9">
        <f t="shared" si="97"/>
        <v>0</v>
      </c>
      <c r="N100" s="9">
        <f t="shared" si="85"/>
        <v>0</v>
      </c>
    </row>
    <row r="101" spans="1:14" x14ac:dyDescent="0.25">
      <c r="A101" s="13" t="s">
        <v>147</v>
      </c>
      <c r="B101" s="40"/>
      <c r="C101" s="231">
        <f t="shared" ref="C101:E101" si="98">C68</f>
        <v>0</v>
      </c>
      <c r="D101" s="231">
        <f t="shared" si="98"/>
        <v>0</v>
      </c>
      <c r="E101" s="231">
        <f t="shared" si="98"/>
        <v>0</v>
      </c>
      <c r="F101" s="9">
        <f t="shared" si="81"/>
        <v>0</v>
      </c>
      <c r="G101" s="36">
        <v>0</v>
      </c>
      <c r="H101" s="9">
        <v>0</v>
      </c>
      <c r="I101" s="25">
        <f t="shared" si="82"/>
        <v>0</v>
      </c>
      <c r="J101" s="9">
        <f t="shared" si="83"/>
        <v>0</v>
      </c>
      <c r="K101" s="9">
        <f t="shared" ref="K101:M101" si="99">($G101-G101)*(C38*$B38)</f>
        <v>0</v>
      </c>
      <c r="L101" s="9">
        <f t="shared" si="99"/>
        <v>0</v>
      </c>
      <c r="M101" s="9">
        <f t="shared" si="99"/>
        <v>0</v>
      </c>
      <c r="N101" s="9">
        <f t="shared" si="85"/>
        <v>0</v>
      </c>
    </row>
    <row r="102" spans="1:14" x14ac:dyDescent="0.25">
      <c r="A102" s="13" t="s">
        <v>148</v>
      </c>
      <c r="B102" s="40"/>
      <c r="C102" s="231">
        <f t="shared" ref="C102:E102" si="100">C69</f>
        <v>0</v>
      </c>
      <c r="D102" s="231">
        <f t="shared" si="100"/>
        <v>0</v>
      </c>
      <c r="E102" s="231">
        <f t="shared" si="100"/>
        <v>0</v>
      </c>
      <c r="F102" s="9">
        <f t="shared" si="81"/>
        <v>0</v>
      </c>
      <c r="G102" s="36">
        <v>0</v>
      </c>
      <c r="H102" s="9">
        <v>0</v>
      </c>
      <c r="I102" s="25">
        <f t="shared" si="82"/>
        <v>0</v>
      </c>
      <c r="J102" s="9">
        <f t="shared" si="83"/>
        <v>0</v>
      </c>
      <c r="K102" s="9">
        <f t="shared" ref="K102:M102" si="101">($G102-G102)*(C39*$B39)</f>
        <v>0</v>
      </c>
      <c r="L102" s="9">
        <f t="shared" si="101"/>
        <v>0</v>
      </c>
      <c r="M102" s="9">
        <f t="shared" si="101"/>
        <v>0</v>
      </c>
      <c r="N102" s="9">
        <f t="shared" si="85"/>
        <v>0</v>
      </c>
    </row>
    <row r="103" spans="1:14" x14ac:dyDescent="0.25">
      <c r="A103" s="13" t="s">
        <v>149</v>
      </c>
      <c r="B103" s="40"/>
      <c r="C103" s="231">
        <f t="shared" ref="C103:E103" si="102">C70</f>
        <v>0</v>
      </c>
      <c r="D103" s="231">
        <f t="shared" si="102"/>
        <v>0</v>
      </c>
      <c r="E103" s="231">
        <f t="shared" si="102"/>
        <v>0</v>
      </c>
      <c r="F103" s="9">
        <f t="shared" si="81"/>
        <v>0</v>
      </c>
      <c r="G103" s="36">
        <v>0</v>
      </c>
      <c r="H103" s="9">
        <v>0</v>
      </c>
      <c r="I103" s="25">
        <f t="shared" si="82"/>
        <v>0</v>
      </c>
      <c r="J103" s="9">
        <f t="shared" si="83"/>
        <v>0</v>
      </c>
      <c r="K103" s="9">
        <f t="shared" ref="K103:M103" si="103">($G103-G103)*(C40*$B40)</f>
        <v>0</v>
      </c>
      <c r="L103" s="9">
        <f t="shared" si="103"/>
        <v>0</v>
      </c>
      <c r="M103" s="9">
        <f t="shared" si="103"/>
        <v>0</v>
      </c>
      <c r="N103" s="9">
        <f t="shared" si="85"/>
        <v>0</v>
      </c>
    </row>
    <row r="104" spans="1:14" x14ac:dyDescent="0.25">
      <c r="A104" s="13" t="s">
        <v>150</v>
      </c>
      <c r="B104" s="40"/>
      <c r="C104" s="231">
        <f t="shared" ref="C104:E104" si="104">C71</f>
        <v>0</v>
      </c>
      <c r="D104" s="231">
        <f t="shared" si="104"/>
        <v>0</v>
      </c>
      <c r="E104" s="231">
        <f t="shared" si="104"/>
        <v>0</v>
      </c>
      <c r="F104" s="9">
        <f t="shared" si="81"/>
        <v>0</v>
      </c>
      <c r="G104" s="36">
        <v>0</v>
      </c>
      <c r="H104" s="9">
        <v>0</v>
      </c>
      <c r="I104" s="25">
        <f t="shared" si="82"/>
        <v>0</v>
      </c>
      <c r="J104" s="9">
        <f t="shared" si="83"/>
        <v>0</v>
      </c>
      <c r="K104" s="9">
        <f t="shared" ref="K104:M104" si="105">($G104-G104)*(C41*$B41)</f>
        <v>0</v>
      </c>
      <c r="L104" s="9">
        <f t="shared" si="105"/>
        <v>0</v>
      </c>
      <c r="M104" s="9">
        <f t="shared" si="105"/>
        <v>0</v>
      </c>
      <c r="N104" s="9">
        <f t="shared" si="85"/>
        <v>0</v>
      </c>
    </row>
    <row r="105" spans="1:14" x14ac:dyDescent="0.25">
      <c r="A105" s="13" t="s">
        <v>151</v>
      </c>
      <c r="B105" s="40"/>
      <c r="C105" s="231">
        <f t="shared" ref="C105:E105" si="106">C72</f>
        <v>0</v>
      </c>
      <c r="D105" s="231">
        <f t="shared" si="106"/>
        <v>0</v>
      </c>
      <c r="E105" s="231">
        <f t="shared" si="106"/>
        <v>0</v>
      </c>
      <c r="F105" s="9">
        <f t="shared" si="81"/>
        <v>0</v>
      </c>
      <c r="G105" s="36">
        <v>0</v>
      </c>
      <c r="H105" s="9">
        <v>0</v>
      </c>
      <c r="I105" s="25">
        <f t="shared" si="82"/>
        <v>0</v>
      </c>
      <c r="J105" s="9">
        <f t="shared" si="83"/>
        <v>0</v>
      </c>
      <c r="K105" s="9">
        <f t="shared" ref="K105:M105" si="107">($G105-G105)*(C42*$B42)</f>
        <v>0</v>
      </c>
      <c r="L105" s="9">
        <f t="shared" si="107"/>
        <v>0</v>
      </c>
      <c r="M105" s="9">
        <f t="shared" si="107"/>
        <v>0</v>
      </c>
      <c r="N105" s="9">
        <f t="shared" si="85"/>
        <v>0</v>
      </c>
    </row>
    <row r="106" spans="1:14" x14ac:dyDescent="0.25">
      <c r="A106" s="13" t="s">
        <v>152</v>
      </c>
      <c r="B106" s="40"/>
      <c r="C106" s="231">
        <f t="shared" ref="C106:E106" si="108">C73</f>
        <v>0</v>
      </c>
      <c r="D106" s="231">
        <f t="shared" si="108"/>
        <v>0</v>
      </c>
      <c r="E106" s="231">
        <f t="shared" si="108"/>
        <v>0</v>
      </c>
      <c r="F106" s="9">
        <f t="shared" si="81"/>
        <v>0</v>
      </c>
      <c r="G106" s="36">
        <v>0</v>
      </c>
      <c r="H106" s="9">
        <v>0</v>
      </c>
      <c r="I106" s="25">
        <f t="shared" si="82"/>
        <v>0</v>
      </c>
      <c r="J106" s="9">
        <f t="shared" si="83"/>
        <v>0</v>
      </c>
      <c r="K106" s="9">
        <f t="shared" ref="K106:M106" si="109">($G106-G106)*(C43*$B43)</f>
        <v>0</v>
      </c>
      <c r="L106" s="9">
        <f t="shared" si="109"/>
        <v>0</v>
      </c>
      <c r="M106" s="9">
        <f t="shared" si="109"/>
        <v>0</v>
      </c>
      <c r="N106" s="9">
        <f t="shared" si="85"/>
        <v>0</v>
      </c>
    </row>
    <row r="107" spans="1:14" x14ac:dyDescent="0.25">
      <c r="A107" s="13" t="s">
        <v>162</v>
      </c>
      <c r="B107" s="40"/>
      <c r="C107" s="231">
        <f t="shared" ref="C107:E107" si="110">C74</f>
        <v>0</v>
      </c>
      <c r="D107" s="231">
        <f t="shared" si="110"/>
        <v>0</v>
      </c>
      <c r="E107" s="231">
        <f t="shared" si="110"/>
        <v>0</v>
      </c>
      <c r="F107" s="9">
        <f t="shared" si="81"/>
        <v>0</v>
      </c>
      <c r="G107" s="36">
        <v>0</v>
      </c>
      <c r="H107" s="9">
        <v>0</v>
      </c>
      <c r="I107" s="25">
        <f t="shared" si="82"/>
        <v>0</v>
      </c>
      <c r="J107" s="9">
        <f t="shared" si="83"/>
        <v>0</v>
      </c>
      <c r="K107" s="9">
        <f t="shared" ref="K107:M107" si="111">($G107-G107)*(C44*$B44)</f>
        <v>0</v>
      </c>
      <c r="L107" s="9">
        <f t="shared" si="111"/>
        <v>0</v>
      </c>
      <c r="M107" s="9">
        <f t="shared" si="111"/>
        <v>0</v>
      </c>
      <c r="N107" s="9">
        <f t="shared" si="85"/>
        <v>0</v>
      </c>
    </row>
    <row r="108" spans="1:14" x14ac:dyDescent="0.25">
      <c r="A108" s="13" t="s">
        <v>154</v>
      </c>
      <c r="B108" s="40"/>
      <c r="C108" s="231">
        <f t="shared" ref="C108:E108" si="112">C75</f>
        <v>0</v>
      </c>
      <c r="D108" s="231">
        <f t="shared" si="112"/>
        <v>0</v>
      </c>
      <c r="E108" s="231">
        <f t="shared" si="112"/>
        <v>0</v>
      </c>
      <c r="F108" s="9">
        <f t="shared" si="81"/>
        <v>0</v>
      </c>
      <c r="G108" s="36">
        <v>0</v>
      </c>
      <c r="H108" s="9">
        <v>0</v>
      </c>
      <c r="I108" s="25">
        <f t="shared" si="82"/>
        <v>0</v>
      </c>
      <c r="J108" s="9">
        <f t="shared" si="83"/>
        <v>0</v>
      </c>
      <c r="K108" s="9">
        <f t="shared" ref="K108:M108" si="113">($G108-G108)*(C45*$B45)</f>
        <v>0</v>
      </c>
      <c r="L108" s="9">
        <f t="shared" si="113"/>
        <v>0</v>
      </c>
      <c r="M108" s="9">
        <f t="shared" si="113"/>
        <v>0</v>
      </c>
      <c r="N108" s="9">
        <f t="shared" si="85"/>
        <v>0</v>
      </c>
    </row>
    <row r="109" spans="1:14" x14ac:dyDescent="0.25">
      <c r="A109" s="13" t="s">
        <v>155</v>
      </c>
      <c r="B109" s="40"/>
      <c r="C109" s="231">
        <f t="shared" ref="C109:E109" si="114">C76</f>
        <v>0</v>
      </c>
      <c r="D109" s="231">
        <f t="shared" si="114"/>
        <v>0</v>
      </c>
      <c r="E109" s="231">
        <f t="shared" si="114"/>
        <v>0</v>
      </c>
      <c r="F109" s="9">
        <f t="shared" si="81"/>
        <v>0</v>
      </c>
      <c r="G109" s="36">
        <v>0</v>
      </c>
      <c r="H109" s="9">
        <v>0</v>
      </c>
      <c r="I109" s="25">
        <f t="shared" si="82"/>
        <v>0</v>
      </c>
      <c r="J109" s="9">
        <f t="shared" si="83"/>
        <v>0</v>
      </c>
      <c r="K109" s="9">
        <f t="shared" ref="K109:M109" si="115">($G109-G109)*(C46*$B46)</f>
        <v>0</v>
      </c>
      <c r="L109" s="9">
        <f t="shared" si="115"/>
        <v>0</v>
      </c>
      <c r="M109" s="9">
        <f t="shared" si="115"/>
        <v>0</v>
      </c>
      <c r="N109" s="9">
        <f t="shared" si="85"/>
        <v>0</v>
      </c>
    </row>
    <row r="110" spans="1:14" x14ac:dyDescent="0.25">
      <c r="A110" s="13" t="s">
        <v>156</v>
      </c>
      <c r="B110" s="40"/>
      <c r="C110" s="231">
        <f t="shared" ref="C110:E110" si="116">C77</f>
        <v>0</v>
      </c>
      <c r="D110" s="231">
        <f t="shared" si="116"/>
        <v>0</v>
      </c>
      <c r="E110" s="231">
        <f t="shared" si="116"/>
        <v>0</v>
      </c>
      <c r="F110" s="9">
        <f t="shared" si="81"/>
        <v>0</v>
      </c>
      <c r="G110" s="36">
        <v>0</v>
      </c>
      <c r="H110" s="9">
        <v>0</v>
      </c>
      <c r="I110" s="25">
        <f t="shared" si="82"/>
        <v>0</v>
      </c>
      <c r="J110" s="9">
        <f t="shared" si="83"/>
        <v>0</v>
      </c>
      <c r="K110" s="9">
        <f t="shared" ref="K110:M110" si="117">($G110-G110)*(C47*$B47)</f>
        <v>0</v>
      </c>
      <c r="L110" s="9">
        <f t="shared" si="117"/>
        <v>0</v>
      </c>
      <c r="M110" s="9">
        <f t="shared" si="117"/>
        <v>0</v>
      </c>
      <c r="N110" s="9">
        <f t="shared" si="85"/>
        <v>0</v>
      </c>
    </row>
    <row r="111" spans="1:14" x14ac:dyDescent="0.25">
      <c r="A111" s="13" t="s">
        <v>157</v>
      </c>
      <c r="B111" s="40"/>
      <c r="C111" s="231">
        <f t="shared" ref="C111:E111" si="118">C78</f>
        <v>0</v>
      </c>
      <c r="D111" s="231">
        <f t="shared" si="118"/>
        <v>0</v>
      </c>
      <c r="E111" s="231">
        <f t="shared" si="118"/>
        <v>0</v>
      </c>
      <c r="F111" s="9">
        <f t="shared" si="81"/>
        <v>0</v>
      </c>
      <c r="G111" s="36">
        <v>0</v>
      </c>
      <c r="H111" s="9">
        <v>0</v>
      </c>
      <c r="I111" s="25">
        <f t="shared" si="82"/>
        <v>0</v>
      </c>
      <c r="J111" s="9">
        <f t="shared" si="83"/>
        <v>0</v>
      </c>
      <c r="K111" s="9">
        <f t="shared" ref="K111:M111" si="119">($G111-G111)*(C48*$B48)</f>
        <v>0</v>
      </c>
      <c r="L111" s="9">
        <f t="shared" si="119"/>
        <v>0</v>
      </c>
      <c r="M111" s="9">
        <f t="shared" si="119"/>
        <v>0</v>
      </c>
      <c r="N111" s="9">
        <f t="shared" si="85"/>
        <v>0</v>
      </c>
    </row>
    <row r="112" spans="1:14" x14ac:dyDescent="0.25">
      <c r="A112" s="13" t="s">
        <v>158</v>
      </c>
      <c r="B112" s="40"/>
      <c r="C112" s="231">
        <f t="shared" ref="C112:E112" si="120">C79</f>
        <v>0</v>
      </c>
      <c r="D112" s="231">
        <f t="shared" si="120"/>
        <v>0</v>
      </c>
      <c r="E112" s="231">
        <f t="shared" si="120"/>
        <v>0</v>
      </c>
      <c r="F112" s="9">
        <f t="shared" si="81"/>
        <v>0</v>
      </c>
      <c r="G112" s="36">
        <v>0</v>
      </c>
      <c r="H112" s="9">
        <v>0</v>
      </c>
      <c r="I112" s="25">
        <f t="shared" si="82"/>
        <v>0</v>
      </c>
      <c r="J112" s="9">
        <f t="shared" si="83"/>
        <v>0</v>
      </c>
      <c r="K112" s="9">
        <f t="shared" ref="K112:M112" si="121">($G112-G112)*(C49*$B49)</f>
        <v>0</v>
      </c>
      <c r="L112" s="9">
        <f t="shared" si="121"/>
        <v>0</v>
      </c>
      <c r="M112" s="9">
        <f t="shared" si="121"/>
        <v>0</v>
      </c>
      <c r="N112" s="9">
        <f t="shared" si="85"/>
        <v>0</v>
      </c>
    </row>
    <row r="113" spans="1:14" x14ac:dyDescent="0.25">
      <c r="A113" s="13" t="s">
        <v>159</v>
      </c>
      <c r="B113" s="40"/>
      <c r="C113" s="231">
        <f t="shared" ref="C113:E113" si="122">C80</f>
        <v>0</v>
      </c>
      <c r="D113" s="231">
        <f t="shared" si="122"/>
        <v>0</v>
      </c>
      <c r="E113" s="231">
        <f t="shared" si="122"/>
        <v>0</v>
      </c>
      <c r="F113" s="9">
        <f t="shared" si="81"/>
        <v>0</v>
      </c>
      <c r="G113" s="36">
        <v>0</v>
      </c>
      <c r="H113" s="9">
        <v>0</v>
      </c>
      <c r="I113" s="25">
        <f t="shared" si="82"/>
        <v>0</v>
      </c>
      <c r="J113" s="9">
        <f t="shared" si="83"/>
        <v>0</v>
      </c>
      <c r="K113" s="9">
        <f t="shared" ref="K113:M113" si="123">($G113-G113)*(C50*$B50)</f>
        <v>0</v>
      </c>
      <c r="L113" s="9">
        <f t="shared" si="123"/>
        <v>0</v>
      </c>
      <c r="M113" s="9">
        <f t="shared" si="123"/>
        <v>0</v>
      </c>
      <c r="N113" s="9">
        <f t="shared" si="85"/>
        <v>0</v>
      </c>
    </row>
    <row r="114" spans="1:14" x14ac:dyDescent="0.25">
      <c r="A114" s="13" t="s">
        <v>160</v>
      </c>
      <c r="B114" s="40"/>
      <c r="C114" s="231">
        <f t="shared" ref="C114:E114" si="124">C81</f>
        <v>0</v>
      </c>
      <c r="D114" s="231">
        <f t="shared" si="124"/>
        <v>0</v>
      </c>
      <c r="E114" s="231">
        <f t="shared" si="124"/>
        <v>0</v>
      </c>
      <c r="F114" s="9">
        <f t="shared" si="81"/>
        <v>0</v>
      </c>
      <c r="G114" s="36">
        <v>0</v>
      </c>
      <c r="H114" s="9">
        <v>0</v>
      </c>
      <c r="I114" s="25">
        <f t="shared" si="82"/>
        <v>0</v>
      </c>
      <c r="J114" s="9">
        <f t="shared" si="83"/>
        <v>0</v>
      </c>
      <c r="K114" s="9">
        <f t="shared" ref="K114:M114" si="125">($G114-G114)*(C51*$B51)</f>
        <v>0</v>
      </c>
      <c r="L114" s="9">
        <f t="shared" si="125"/>
        <v>0</v>
      </c>
      <c r="M114" s="9">
        <f t="shared" si="125"/>
        <v>0</v>
      </c>
      <c r="N114" s="9">
        <f t="shared" si="85"/>
        <v>0</v>
      </c>
    </row>
    <row r="115" spans="1:14" x14ac:dyDescent="0.25">
      <c r="A115" s="13" t="s">
        <v>161</v>
      </c>
      <c r="B115" s="40"/>
      <c r="C115" s="231">
        <f t="shared" ref="C115:E115" si="126">C82</f>
        <v>0</v>
      </c>
      <c r="D115" s="231">
        <f t="shared" si="126"/>
        <v>0</v>
      </c>
      <c r="E115" s="231">
        <f t="shared" si="126"/>
        <v>0</v>
      </c>
      <c r="F115" s="9">
        <f t="shared" si="81"/>
        <v>0</v>
      </c>
      <c r="G115" s="36">
        <v>0</v>
      </c>
      <c r="H115" s="9">
        <v>0</v>
      </c>
      <c r="I115" s="25">
        <f t="shared" si="82"/>
        <v>0</v>
      </c>
      <c r="J115" s="9">
        <f t="shared" si="83"/>
        <v>0</v>
      </c>
      <c r="K115" s="9">
        <f t="shared" ref="K115:M115" si="127">($G115-G115)*(C52*$B52)</f>
        <v>0</v>
      </c>
      <c r="L115" s="9">
        <f t="shared" si="127"/>
        <v>0</v>
      </c>
      <c r="M115" s="9">
        <f t="shared" si="127"/>
        <v>0</v>
      </c>
      <c r="N115" s="9">
        <f t="shared" si="85"/>
        <v>0</v>
      </c>
    </row>
    <row r="116" spans="1:14" x14ac:dyDescent="0.25">
      <c r="A116" s="13" t="s">
        <v>162</v>
      </c>
      <c r="B116" s="40"/>
      <c r="C116" s="231">
        <f t="shared" ref="C116:E116" si="128">C83</f>
        <v>0</v>
      </c>
      <c r="D116" s="231">
        <f t="shared" si="128"/>
        <v>0</v>
      </c>
      <c r="E116" s="231">
        <f t="shared" si="128"/>
        <v>0</v>
      </c>
      <c r="F116" s="9">
        <f t="shared" si="81"/>
        <v>0</v>
      </c>
      <c r="G116" s="36">
        <v>0</v>
      </c>
      <c r="H116" s="9">
        <v>0</v>
      </c>
      <c r="I116" s="25">
        <f t="shared" si="82"/>
        <v>0</v>
      </c>
      <c r="J116" s="9">
        <f t="shared" si="83"/>
        <v>0</v>
      </c>
      <c r="K116" s="9">
        <f t="shared" ref="K116:M116" si="129">($G116-G116)*(C53*$B53)</f>
        <v>0</v>
      </c>
      <c r="L116" s="9">
        <f t="shared" si="129"/>
        <v>0</v>
      </c>
      <c r="M116" s="9">
        <f t="shared" si="129"/>
        <v>0</v>
      </c>
      <c r="N116" s="9">
        <f t="shared" si="85"/>
        <v>0</v>
      </c>
    </row>
    <row r="117" spans="1:14" x14ac:dyDescent="0.25">
      <c r="A117" s="1" t="s">
        <v>163</v>
      </c>
      <c r="B117" s="10">
        <f>SUM(B93:B116)</f>
        <v>0</v>
      </c>
      <c r="C117" s="10">
        <f>IFERROR(SUMPRODUCT($B$93:$B$116,C93:C116)/$B$117,0)</f>
        <v>0</v>
      </c>
      <c r="D117" s="10">
        <f t="shared" ref="D117:E117" si="130">IFERROR(SUMPRODUCT($B$93:$B$116,D93:D116)/$B$117,0)</f>
        <v>0</v>
      </c>
      <c r="E117" s="10">
        <f t="shared" si="130"/>
        <v>0</v>
      </c>
      <c r="F117" s="9">
        <f>SUM(C117:E117)</f>
        <v>0</v>
      </c>
      <c r="G117" s="9">
        <f>IFERROR(SUMPRODUCT($B$93:$B$116,G93:G116)/$B$117,0)</f>
        <v>0</v>
      </c>
      <c r="H117" s="9">
        <f t="shared" ref="H117:I117" si="131">IFERROR(SUMPRODUCT($B$93:$B$116,H93:H116)/$B$117,0)</f>
        <v>0</v>
      </c>
      <c r="I117" s="9">
        <f t="shared" si="131"/>
        <v>0</v>
      </c>
      <c r="J117" s="9">
        <f>IFERROR(SUMPRODUCT($B$93:$B$116,J93:J116)/$B$117,0)</f>
        <v>0</v>
      </c>
      <c r="K117" s="9">
        <f>SUM(K93:K116)</f>
        <v>0</v>
      </c>
      <c r="L117" s="9">
        <f t="shared" ref="L117:N117" si="132">SUM(L93:L116)</f>
        <v>0</v>
      </c>
      <c r="M117" s="9">
        <f t="shared" si="132"/>
        <v>0</v>
      </c>
      <c r="N117" s="9">
        <f t="shared" si="132"/>
        <v>0</v>
      </c>
    </row>
    <row r="123" spans="1:14" x14ac:dyDescent="0.25">
      <c r="A123" s="1" t="s">
        <v>332</v>
      </c>
      <c r="D123" s="2"/>
      <c r="E123" s="2"/>
      <c r="H123" s="20" t="s">
        <v>333</v>
      </c>
    </row>
    <row r="124" spans="1:14" ht="18" x14ac:dyDescent="0.35">
      <c r="A124" s="1"/>
      <c r="B124" s="1" t="s">
        <v>334</v>
      </c>
      <c r="D124" s="124">
        <f>44*F124/12</f>
        <v>187</v>
      </c>
      <c r="E124" s="73" t="s">
        <v>335</v>
      </c>
      <c r="F124" s="62">
        <v>51</v>
      </c>
      <c r="G124" t="s">
        <v>96</v>
      </c>
      <c r="H124" s="20" t="s">
        <v>336</v>
      </c>
    </row>
    <row r="125" spans="1:14" x14ac:dyDescent="0.25">
      <c r="A125" s="1"/>
      <c r="B125" s="1" t="s">
        <v>426</v>
      </c>
      <c r="D125" s="703">
        <v>5.7999999999999996E-3</v>
      </c>
      <c r="E125" s="1"/>
      <c r="F125" s="74" t="s">
        <v>338</v>
      </c>
      <c r="H125" s="20" t="s">
        <v>339</v>
      </c>
    </row>
    <row r="126" spans="1:14" x14ac:dyDescent="0.25">
      <c r="A126" s="1"/>
      <c r="B126" s="1" t="s">
        <v>427</v>
      </c>
      <c r="C126" s="1"/>
      <c r="D126" s="5">
        <v>30</v>
      </c>
      <c r="E126" s="1"/>
      <c r="F126" s="63" t="s">
        <v>758</v>
      </c>
      <c r="G126" s="69">
        <f>10000*(D126/100)*D128</f>
        <v>4500</v>
      </c>
      <c r="H126" s="77"/>
    </row>
    <row r="127" spans="1:14" x14ac:dyDescent="0.25">
      <c r="A127" s="1"/>
      <c r="B127" s="1" t="s">
        <v>428</v>
      </c>
      <c r="C127" s="1"/>
      <c r="D127" s="123" t="e">
        <f>G127/G126</f>
        <v>#DIV/0!</v>
      </c>
      <c r="E127" s="1"/>
      <c r="F127" s="63" t="s">
        <v>429</v>
      </c>
      <c r="G127" s="124" t="e">
        <f>'Soil-errosion2'!AU28</f>
        <v>#DIV/0!</v>
      </c>
      <c r="H127" t="s">
        <v>345</v>
      </c>
      <c r="I127" t="s">
        <v>759</v>
      </c>
    </row>
    <row r="128" spans="1:14" ht="17.25" x14ac:dyDescent="0.25">
      <c r="A128" s="1"/>
      <c r="B128" s="1" t="s">
        <v>430</v>
      </c>
      <c r="C128" s="1"/>
      <c r="D128" s="1">
        <v>1.5</v>
      </c>
      <c r="E128" s="1"/>
      <c r="F128" t="s">
        <v>350</v>
      </c>
      <c r="G128" s="26" t="e">
        <f>D126*G127/G126</f>
        <v>#DIV/0!</v>
      </c>
      <c r="I128" s="20" t="s">
        <v>351</v>
      </c>
    </row>
    <row r="129" spans="1:23" ht="36" customHeight="1" x14ac:dyDescent="0.25">
      <c r="A129" s="838" t="s">
        <v>101</v>
      </c>
      <c r="B129" s="814" t="s">
        <v>760</v>
      </c>
      <c r="C129" s="814"/>
      <c r="D129" s="814"/>
      <c r="E129" s="814"/>
      <c r="F129" s="814"/>
      <c r="H129" s="76"/>
    </row>
    <row r="130" spans="1:23" ht="57.95" customHeight="1" x14ac:dyDescent="0.25">
      <c r="A130" s="838"/>
      <c r="B130" s="11" t="s">
        <v>353</v>
      </c>
      <c r="C130" s="839" t="s">
        <v>761</v>
      </c>
      <c r="D130" s="839"/>
      <c r="E130" s="839"/>
      <c r="F130" s="839" t="s">
        <v>355</v>
      </c>
      <c r="G130" s="839"/>
      <c r="H130" s="839"/>
      <c r="I130" s="839"/>
      <c r="J130" s="839" t="s">
        <v>356</v>
      </c>
      <c r="K130" s="839"/>
      <c r="L130" s="839"/>
      <c r="M130" s="839"/>
      <c r="N130" s="839" t="s">
        <v>357</v>
      </c>
      <c r="O130" s="839"/>
      <c r="P130" s="839"/>
      <c r="Q130" s="839"/>
      <c r="R130" s="839" t="s">
        <v>363</v>
      </c>
      <c r="S130" s="11" t="s">
        <v>364</v>
      </c>
      <c r="T130" s="11" t="s">
        <v>365</v>
      </c>
      <c r="U130" s="839" t="s">
        <v>366</v>
      </c>
      <c r="V130" s="11" t="s">
        <v>367</v>
      </c>
      <c r="W130" s="11" t="s">
        <v>762</v>
      </c>
    </row>
    <row r="131" spans="1:23" x14ac:dyDescent="0.25">
      <c r="A131" s="17"/>
      <c r="B131" s="11"/>
      <c r="C131" s="11" t="s">
        <v>234</v>
      </c>
      <c r="D131" s="11" t="s">
        <v>368</v>
      </c>
      <c r="E131" s="11" t="s">
        <v>238</v>
      </c>
      <c r="F131" s="11" t="s">
        <v>234</v>
      </c>
      <c r="G131" s="11" t="s">
        <v>368</v>
      </c>
      <c r="H131" s="11" t="s">
        <v>238</v>
      </c>
      <c r="I131" s="11" t="s">
        <v>120</v>
      </c>
      <c r="J131" s="11" t="s">
        <v>234</v>
      </c>
      <c r="K131" s="11" t="s">
        <v>368</v>
      </c>
      <c r="L131" s="11" t="s">
        <v>238</v>
      </c>
      <c r="M131" s="11" t="s">
        <v>120</v>
      </c>
      <c r="N131" s="11" t="s">
        <v>234</v>
      </c>
      <c r="O131" s="11" t="s">
        <v>368</v>
      </c>
      <c r="P131" s="11" t="s">
        <v>238</v>
      </c>
      <c r="Q131" s="11" t="s">
        <v>120</v>
      </c>
      <c r="R131" s="839"/>
      <c r="S131" s="11"/>
      <c r="T131" s="11"/>
      <c r="U131" s="839"/>
    </row>
    <row r="132" spans="1:23" x14ac:dyDescent="0.25">
      <c r="A132" s="13" t="s">
        <v>139</v>
      </c>
      <c r="B132" s="4"/>
      <c r="C132" s="64"/>
      <c r="D132" s="64"/>
      <c r="E132" s="64"/>
      <c r="F132" s="185">
        <f>'Percent-Soil-Carbon-Content'!K4*'Soil-errosion2'!K4</f>
        <v>0</v>
      </c>
      <c r="G132" s="185">
        <f>'Percent-Soil-Carbon-Content'!V4*'Soil-errosion2'!W4</f>
        <v>0</v>
      </c>
      <c r="H132" s="185">
        <f>'Percent-Soil-Carbon-Content'!AG4*'Soil-errosion2'!AI4</f>
        <v>0</v>
      </c>
      <c r="I132" s="95">
        <f>SUMPRODUCT(F132:H132,C30:E30)</f>
        <v>0</v>
      </c>
      <c r="J132" s="185">
        <f>F132</f>
        <v>0</v>
      </c>
      <c r="K132" s="185">
        <f t="shared" ref="K132:L132" si="133">G132</f>
        <v>0</v>
      </c>
      <c r="L132" s="185">
        <f t="shared" si="133"/>
        <v>0</v>
      </c>
      <c r="M132" s="185">
        <f>SUMPRODUCT(J132:L132,C85:E85)</f>
        <v>0</v>
      </c>
      <c r="N132" s="67">
        <f>J132*C60*$B60</f>
        <v>0</v>
      </c>
      <c r="O132" s="67">
        <f>K132*D60*$B60</f>
        <v>0</v>
      </c>
      <c r="P132" s="67">
        <f>L132*E60*$B60</f>
        <v>0</v>
      </c>
      <c r="Q132" s="24">
        <f>SUM(N132:P132)</f>
        <v>0</v>
      </c>
      <c r="R132" s="38">
        <f>Q132*$D$124</f>
        <v>0</v>
      </c>
      <c r="S132" s="9">
        <v>0</v>
      </c>
      <c r="T132" s="9">
        <v>0</v>
      </c>
      <c r="U132" s="38">
        <f t="shared" ref="U132:U156" si="134">B132+R132+S132+T132</f>
        <v>0</v>
      </c>
      <c r="W132" s="77" t="e">
        <f>Q132/$Q$156</f>
        <v>#DIV/0!</v>
      </c>
    </row>
    <row r="133" spans="1:23" x14ac:dyDescent="0.25">
      <c r="A133" s="13" t="s">
        <v>140</v>
      </c>
      <c r="B133" s="4"/>
      <c r="C133" s="64"/>
      <c r="D133" s="64"/>
      <c r="E133" s="64"/>
      <c r="F133" s="185">
        <f>'Percent-Soil-Carbon-Content'!K5*'Soil-errosion2'!K5</f>
        <v>0</v>
      </c>
      <c r="G133" s="185">
        <f>'Percent-Soil-Carbon-Content'!V5*'Soil-errosion2'!W5</f>
        <v>0</v>
      </c>
      <c r="H133" s="185">
        <f>'Percent-Soil-Carbon-Content'!AG5*'Soil-errosion2'!AI5</f>
        <v>0</v>
      </c>
      <c r="I133" s="95">
        <f t="shared" ref="I133:I155" si="135">SUMPRODUCT(F133:H133,C31:E31)</f>
        <v>0</v>
      </c>
      <c r="J133" s="185">
        <f t="shared" ref="J133:J155" si="136">F133</f>
        <v>0</v>
      </c>
      <c r="K133" s="185">
        <f t="shared" ref="K133:K155" si="137">G133</f>
        <v>0</v>
      </c>
      <c r="L133" s="185">
        <f t="shared" ref="L133:L155" si="138">H133</f>
        <v>0</v>
      </c>
      <c r="M133" s="185">
        <f t="shared" ref="M133:M155" si="139">SUMPRODUCT(J133:L133,C86:E86)</f>
        <v>0</v>
      </c>
      <c r="N133" s="67">
        <f t="shared" ref="N133:P133" si="140">J133*C61*$B61</f>
        <v>0</v>
      </c>
      <c r="O133" s="67">
        <f t="shared" si="140"/>
        <v>0</v>
      </c>
      <c r="P133" s="67">
        <f t="shared" si="140"/>
        <v>0</v>
      </c>
      <c r="Q133" s="24">
        <f t="shared" ref="Q133:Q155" si="141">SUM(N133:P133)</f>
        <v>0</v>
      </c>
      <c r="R133" s="38">
        <f t="shared" ref="R133:R155" si="142">Q133*$D$124</f>
        <v>0</v>
      </c>
      <c r="S133" s="9">
        <v>0</v>
      </c>
      <c r="T133" s="9">
        <v>0</v>
      </c>
      <c r="U133" s="38">
        <f t="shared" ref="U133:U155" si="143">B133+R133+S133+T133</f>
        <v>0</v>
      </c>
      <c r="W133" s="77" t="e">
        <f t="shared" ref="W133:W145" si="144">Q133/$Q$156</f>
        <v>#DIV/0!</v>
      </c>
    </row>
    <row r="134" spans="1:23" x14ac:dyDescent="0.25">
      <c r="A134" s="13" t="s">
        <v>141</v>
      </c>
      <c r="B134" s="4"/>
      <c r="C134" s="64"/>
      <c r="D134" s="64"/>
      <c r="E134" s="64"/>
      <c r="F134" s="185">
        <f>'Percent-Soil-Carbon-Content'!K6*'Soil-errosion2'!K6</f>
        <v>0</v>
      </c>
      <c r="G134" s="185">
        <f>'Percent-Soil-Carbon-Content'!V6*'Soil-errosion2'!W6</f>
        <v>0</v>
      </c>
      <c r="H134" s="185">
        <f>'Percent-Soil-Carbon-Content'!AG6*'Soil-errosion2'!AI6</f>
        <v>0</v>
      </c>
      <c r="I134" s="95">
        <f t="shared" si="135"/>
        <v>0</v>
      </c>
      <c r="J134" s="185">
        <f t="shared" si="136"/>
        <v>0</v>
      </c>
      <c r="K134" s="185">
        <f t="shared" si="137"/>
        <v>0</v>
      </c>
      <c r="L134" s="185">
        <f t="shared" si="138"/>
        <v>0</v>
      </c>
      <c r="M134" s="185">
        <f t="shared" si="139"/>
        <v>0</v>
      </c>
      <c r="N134" s="67">
        <f t="shared" ref="N134:P134" si="145">J134*C62*$B62</f>
        <v>0</v>
      </c>
      <c r="O134" s="67">
        <f t="shared" si="145"/>
        <v>0</v>
      </c>
      <c r="P134" s="67">
        <f t="shared" si="145"/>
        <v>0</v>
      </c>
      <c r="Q134" s="24">
        <f t="shared" si="141"/>
        <v>0</v>
      </c>
      <c r="R134" s="38">
        <f t="shared" si="142"/>
        <v>0</v>
      </c>
      <c r="S134" s="9">
        <v>0</v>
      </c>
      <c r="T134" s="9">
        <v>0</v>
      </c>
      <c r="U134" s="38">
        <f t="shared" si="143"/>
        <v>0</v>
      </c>
      <c r="W134" s="77" t="e">
        <f t="shared" si="144"/>
        <v>#DIV/0!</v>
      </c>
    </row>
    <row r="135" spans="1:23" x14ac:dyDescent="0.25">
      <c r="A135" s="13" t="s">
        <v>142</v>
      </c>
      <c r="B135" s="4"/>
      <c r="C135" s="64"/>
      <c r="D135" s="64"/>
      <c r="E135" s="64"/>
      <c r="F135" s="185">
        <f>'Percent-Soil-Carbon-Content'!K7*'Soil-errosion2'!K7</f>
        <v>0</v>
      </c>
      <c r="G135" s="185">
        <f>'Percent-Soil-Carbon-Content'!V7*'Soil-errosion2'!W7</f>
        <v>0</v>
      </c>
      <c r="H135" s="185">
        <f>'Percent-Soil-Carbon-Content'!AG7*'Soil-errosion2'!AI7</f>
        <v>0</v>
      </c>
      <c r="I135" s="95">
        <f t="shared" si="135"/>
        <v>0</v>
      </c>
      <c r="J135" s="185">
        <f t="shared" si="136"/>
        <v>0</v>
      </c>
      <c r="K135" s="185">
        <f t="shared" si="137"/>
        <v>0</v>
      </c>
      <c r="L135" s="185">
        <f t="shared" si="138"/>
        <v>0</v>
      </c>
      <c r="M135" s="185">
        <f t="shared" si="139"/>
        <v>0</v>
      </c>
      <c r="N135" s="67">
        <f t="shared" ref="N135:P135" si="146">J135*C63*$B63</f>
        <v>0</v>
      </c>
      <c r="O135" s="67">
        <f t="shared" si="146"/>
        <v>0</v>
      </c>
      <c r="P135" s="67">
        <f t="shared" si="146"/>
        <v>0</v>
      </c>
      <c r="Q135" s="24">
        <f t="shared" si="141"/>
        <v>0</v>
      </c>
      <c r="R135" s="38">
        <f t="shared" si="142"/>
        <v>0</v>
      </c>
      <c r="S135" s="9">
        <v>0</v>
      </c>
      <c r="T135" s="9">
        <v>0</v>
      </c>
      <c r="U135" s="38">
        <f t="shared" si="143"/>
        <v>0</v>
      </c>
      <c r="W135" s="77" t="e">
        <f t="shared" si="144"/>
        <v>#DIV/0!</v>
      </c>
    </row>
    <row r="136" spans="1:23" x14ac:dyDescent="0.25">
      <c r="A136" s="13" t="s">
        <v>143</v>
      </c>
      <c r="B136" s="4"/>
      <c r="C136" s="64"/>
      <c r="D136" s="64"/>
      <c r="E136" s="64"/>
      <c r="F136" s="185">
        <f>'Percent-Soil-Carbon-Content'!K8*'Soil-errosion2'!K8</f>
        <v>0</v>
      </c>
      <c r="G136" s="185">
        <f>'Percent-Soil-Carbon-Content'!V8*'Soil-errosion2'!W8</f>
        <v>0</v>
      </c>
      <c r="H136" s="185">
        <f>'Percent-Soil-Carbon-Content'!AG8*'Soil-errosion2'!AI8</f>
        <v>0</v>
      </c>
      <c r="I136" s="95">
        <f t="shared" si="135"/>
        <v>0</v>
      </c>
      <c r="J136" s="185">
        <f t="shared" si="136"/>
        <v>0</v>
      </c>
      <c r="K136" s="185">
        <f t="shared" si="137"/>
        <v>0</v>
      </c>
      <c r="L136" s="185">
        <f t="shared" si="138"/>
        <v>0</v>
      </c>
      <c r="M136" s="185">
        <f t="shared" si="139"/>
        <v>0</v>
      </c>
      <c r="N136" s="67">
        <f t="shared" ref="N136:P136" si="147">J136*C64*$B64</f>
        <v>0</v>
      </c>
      <c r="O136" s="67">
        <f t="shared" si="147"/>
        <v>0</v>
      </c>
      <c r="P136" s="67">
        <f t="shared" si="147"/>
        <v>0</v>
      </c>
      <c r="Q136" s="24">
        <f t="shared" si="141"/>
        <v>0</v>
      </c>
      <c r="R136" s="38">
        <f t="shared" si="142"/>
        <v>0</v>
      </c>
      <c r="S136" s="9">
        <v>0</v>
      </c>
      <c r="T136" s="9">
        <v>0</v>
      </c>
      <c r="U136" s="38">
        <f t="shared" si="143"/>
        <v>0</v>
      </c>
      <c r="W136" s="77" t="e">
        <f t="shared" si="144"/>
        <v>#DIV/0!</v>
      </c>
    </row>
    <row r="137" spans="1:23" x14ac:dyDescent="0.25">
      <c r="A137" s="13" t="s">
        <v>144</v>
      </c>
      <c r="B137" s="4"/>
      <c r="C137" s="64"/>
      <c r="D137" s="64"/>
      <c r="E137" s="64"/>
      <c r="F137" s="185">
        <f>'Percent-Soil-Carbon-Content'!K9*'Soil-errosion2'!K9</f>
        <v>0</v>
      </c>
      <c r="G137" s="185">
        <f>'Percent-Soil-Carbon-Content'!V9*'Soil-errosion2'!W9</f>
        <v>0</v>
      </c>
      <c r="H137" s="185">
        <f>'Percent-Soil-Carbon-Content'!AG9*'Soil-errosion2'!AI9</f>
        <v>0</v>
      </c>
      <c r="I137" s="95">
        <f t="shared" si="135"/>
        <v>0</v>
      </c>
      <c r="J137" s="185">
        <f t="shared" si="136"/>
        <v>0</v>
      </c>
      <c r="K137" s="185">
        <f t="shared" si="137"/>
        <v>0</v>
      </c>
      <c r="L137" s="185">
        <f t="shared" si="138"/>
        <v>0</v>
      </c>
      <c r="M137" s="185">
        <f t="shared" si="139"/>
        <v>0</v>
      </c>
      <c r="N137" s="67">
        <f>J137*C65*$B65</f>
        <v>0</v>
      </c>
      <c r="O137" s="67">
        <f t="shared" ref="O137:P137" si="148">K137*D65*$B65</f>
        <v>0</v>
      </c>
      <c r="P137" s="67">
        <f t="shared" si="148"/>
        <v>0</v>
      </c>
      <c r="Q137" s="24">
        <f t="shared" si="141"/>
        <v>0</v>
      </c>
      <c r="R137" s="38">
        <f>Q137*$D$124</f>
        <v>0</v>
      </c>
      <c r="S137" s="9">
        <v>0</v>
      </c>
      <c r="T137" s="9">
        <v>0</v>
      </c>
      <c r="U137" s="38">
        <f t="shared" si="143"/>
        <v>0</v>
      </c>
      <c r="W137" s="77" t="e">
        <f t="shared" si="144"/>
        <v>#DIV/0!</v>
      </c>
    </row>
    <row r="138" spans="1:23" x14ac:dyDescent="0.25">
      <c r="A138" s="13" t="s">
        <v>145</v>
      </c>
      <c r="B138" s="4"/>
      <c r="C138" s="64"/>
      <c r="D138" s="64"/>
      <c r="E138" s="64"/>
      <c r="F138" s="185">
        <f>'Percent-Soil-Carbon-Content'!K10*'Soil-errosion2'!K10</f>
        <v>0</v>
      </c>
      <c r="G138" s="185">
        <f>'Percent-Soil-Carbon-Content'!V10*'Soil-errosion2'!W10</f>
        <v>0</v>
      </c>
      <c r="H138" s="185">
        <f>'Percent-Soil-Carbon-Content'!AG10*'Soil-errosion2'!AI10</f>
        <v>0</v>
      </c>
      <c r="I138" s="95">
        <f t="shared" si="135"/>
        <v>0</v>
      </c>
      <c r="J138" s="185">
        <f t="shared" si="136"/>
        <v>0</v>
      </c>
      <c r="K138" s="185">
        <f t="shared" si="137"/>
        <v>0</v>
      </c>
      <c r="L138" s="185">
        <f t="shared" si="138"/>
        <v>0</v>
      </c>
      <c r="M138" s="185">
        <f t="shared" si="139"/>
        <v>0</v>
      </c>
      <c r="N138" s="67">
        <f t="shared" ref="N138:P138" si="149">J138*C66*$B66</f>
        <v>0</v>
      </c>
      <c r="O138" s="67">
        <f t="shared" si="149"/>
        <v>0</v>
      </c>
      <c r="P138" s="67">
        <f t="shared" si="149"/>
        <v>0</v>
      </c>
      <c r="Q138" s="24">
        <f t="shared" si="141"/>
        <v>0</v>
      </c>
      <c r="R138" s="38">
        <f t="shared" si="142"/>
        <v>0</v>
      </c>
      <c r="S138" s="9">
        <v>0</v>
      </c>
      <c r="T138" s="9">
        <v>0</v>
      </c>
      <c r="U138" s="38">
        <f t="shared" si="143"/>
        <v>0</v>
      </c>
      <c r="W138" s="77" t="e">
        <f t="shared" si="144"/>
        <v>#DIV/0!</v>
      </c>
    </row>
    <row r="139" spans="1:23" x14ac:dyDescent="0.25">
      <c r="A139" s="13" t="s">
        <v>146</v>
      </c>
      <c r="B139" s="4"/>
      <c r="C139" s="64"/>
      <c r="D139" s="64"/>
      <c r="E139" s="64"/>
      <c r="F139" s="185">
        <f>'Percent-Soil-Carbon-Content'!K11*'Soil-errosion2'!K11</f>
        <v>0</v>
      </c>
      <c r="G139" s="185">
        <f>'Percent-Soil-Carbon-Content'!V11*'Soil-errosion2'!W11</f>
        <v>0</v>
      </c>
      <c r="H139" s="185">
        <f>'Percent-Soil-Carbon-Content'!AG11*'Soil-errosion2'!AI11</f>
        <v>0</v>
      </c>
      <c r="I139" s="95">
        <f t="shared" si="135"/>
        <v>0</v>
      </c>
      <c r="J139" s="185">
        <f t="shared" si="136"/>
        <v>0</v>
      </c>
      <c r="K139" s="185">
        <f t="shared" si="137"/>
        <v>0</v>
      </c>
      <c r="L139" s="185">
        <f t="shared" si="138"/>
        <v>0</v>
      </c>
      <c r="M139" s="185">
        <f t="shared" si="139"/>
        <v>0</v>
      </c>
      <c r="N139" s="67">
        <f t="shared" ref="N139:P139" si="150">J139*C67*$B67</f>
        <v>0</v>
      </c>
      <c r="O139" s="67">
        <f t="shared" si="150"/>
        <v>0</v>
      </c>
      <c r="P139" s="67">
        <f t="shared" si="150"/>
        <v>0</v>
      </c>
      <c r="Q139" s="24">
        <f t="shared" si="141"/>
        <v>0</v>
      </c>
      <c r="R139" s="38">
        <f t="shared" si="142"/>
        <v>0</v>
      </c>
      <c r="S139" s="9">
        <v>0</v>
      </c>
      <c r="T139" s="9">
        <v>0</v>
      </c>
      <c r="U139" s="38">
        <f t="shared" si="143"/>
        <v>0</v>
      </c>
      <c r="W139" s="77" t="e">
        <f t="shared" si="144"/>
        <v>#DIV/0!</v>
      </c>
    </row>
    <row r="140" spans="1:23" x14ac:dyDescent="0.25">
      <c r="A140" s="13" t="s">
        <v>147</v>
      </c>
      <c r="B140" s="4"/>
      <c r="C140" s="64"/>
      <c r="D140" s="64"/>
      <c r="E140" s="64"/>
      <c r="F140" s="185">
        <f>'Percent-Soil-Carbon-Content'!K12*'Soil-errosion2'!K12</f>
        <v>0</v>
      </c>
      <c r="G140" s="185">
        <f>'Percent-Soil-Carbon-Content'!V12*'Soil-errosion2'!W12</f>
        <v>0</v>
      </c>
      <c r="H140" s="185">
        <f>'Percent-Soil-Carbon-Content'!AG12*'Soil-errosion2'!AI12</f>
        <v>0</v>
      </c>
      <c r="I140" s="95">
        <f t="shared" si="135"/>
        <v>0</v>
      </c>
      <c r="J140" s="185">
        <f t="shared" si="136"/>
        <v>0</v>
      </c>
      <c r="K140" s="185">
        <f t="shared" si="137"/>
        <v>0</v>
      </c>
      <c r="L140" s="185">
        <f t="shared" si="138"/>
        <v>0</v>
      </c>
      <c r="M140" s="185">
        <f t="shared" si="139"/>
        <v>0</v>
      </c>
      <c r="N140" s="67">
        <f t="shared" ref="N140:P140" si="151">J140*C68*$B68</f>
        <v>0</v>
      </c>
      <c r="O140" s="67">
        <f t="shared" si="151"/>
        <v>0</v>
      </c>
      <c r="P140" s="67">
        <f t="shared" si="151"/>
        <v>0</v>
      </c>
      <c r="Q140" s="24">
        <f t="shared" si="141"/>
        <v>0</v>
      </c>
      <c r="R140" s="38">
        <f t="shared" si="142"/>
        <v>0</v>
      </c>
      <c r="S140" s="9">
        <v>0</v>
      </c>
      <c r="T140" s="9">
        <v>0</v>
      </c>
      <c r="U140" s="38">
        <f t="shared" si="143"/>
        <v>0</v>
      </c>
      <c r="W140" s="77" t="e">
        <f t="shared" si="144"/>
        <v>#DIV/0!</v>
      </c>
    </row>
    <row r="141" spans="1:23" x14ac:dyDescent="0.25">
      <c r="A141" s="13" t="s">
        <v>148</v>
      </c>
      <c r="B141" s="4"/>
      <c r="C141" s="64"/>
      <c r="D141" s="64"/>
      <c r="E141" s="64"/>
      <c r="F141" s="185">
        <f>'Percent-Soil-Carbon-Content'!K13*'Soil-errosion2'!K13</f>
        <v>0</v>
      </c>
      <c r="G141" s="185">
        <f>'Percent-Soil-Carbon-Content'!V13*'Soil-errosion2'!W13</f>
        <v>0</v>
      </c>
      <c r="H141" s="185">
        <f>'Percent-Soil-Carbon-Content'!AG13*'Soil-errosion2'!AI13</f>
        <v>0</v>
      </c>
      <c r="I141" s="95">
        <f t="shared" si="135"/>
        <v>0</v>
      </c>
      <c r="J141" s="185">
        <f t="shared" si="136"/>
        <v>0</v>
      </c>
      <c r="K141" s="185">
        <f t="shared" si="137"/>
        <v>0</v>
      </c>
      <c r="L141" s="185">
        <f t="shared" si="138"/>
        <v>0</v>
      </c>
      <c r="M141" s="185">
        <f t="shared" si="139"/>
        <v>0</v>
      </c>
      <c r="N141" s="67">
        <f t="shared" ref="N141:P141" si="152">J141*C69*$B69</f>
        <v>0</v>
      </c>
      <c r="O141" s="67">
        <f t="shared" si="152"/>
        <v>0</v>
      </c>
      <c r="P141" s="67">
        <f t="shared" si="152"/>
        <v>0</v>
      </c>
      <c r="Q141" s="24">
        <f t="shared" si="141"/>
        <v>0</v>
      </c>
      <c r="R141" s="38">
        <f t="shared" si="142"/>
        <v>0</v>
      </c>
      <c r="S141" s="9">
        <v>0</v>
      </c>
      <c r="T141" s="9">
        <v>0</v>
      </c>
      <c r="U141" s="38">
        <f t="shared" si="143"/>
        <v>0</v>
      </c>
      <c r="W141" s="77" t="e">
        <f t="shared" si="144"/>
        <v>#DIV/0!</v>
      </c>
    </row>
    <row r="142" spans="1:23" x14ac:dyDescent="0.25">
      <c r="A142" s="13" t="s">
        <v>149</v>
      </c>
      <c r="B142" s="4"/>
      <c r="C142" s="64"/>
      <c r="D142" s="64"/>
      <c r="E142" s="64"/>
      <c r="F142" s="185">
        <f>'Percent-Soil-Carbon-Content'!K14*'Soil-errosion2'!K14</f>
        <v>0</v>
      </c>
      <c r="G142" s="185">
        <f>'Percent-Soil-Carbon-Content'!V14*'Soil-errosion2'!W14</f>
        <v>0</v>
      </c>
      <c r="H142" s="185">
        <f>'Percent-Soil-Carbon-Content'!AG14*'Soil-errosion2'!AI14</f>
        <v>0</v>
      </c>
      <c r="I142" s="95">
        <f t="shared" si="135"/>
        <v>0</v>
      </c>
      <c r="J142" s="185">
        <f t="shared" si="136"/>
        <v>0</v>
      </c>
      <c r="K142" s="185">
        <f t="shared" si="137"/>
        <v>0</v>
      </c>
      <c r="L142" s="185">
        <f t="shared" si="138"/>
        <v>0</v>
      </c>
      <c r="M142" s="185">
        <f t="shared" si="139"/>
        <v>0</v>
      </c>
      <c r="N142" s="67">
        <f t="shared" ref="N142:P142" si="153">J142*C70*$B70</f>
        <v>0</v>
      </c>
      <c r="O142" s="67">
        <f t="shared" si="153"/>
        <v>0</v>
      </c>
      <c r="P142" s="67">
        <f t="shared" si="153"/>
        <v>0</v>
      </c>
      <c r="Q142" s="24">
        <f t="shared" si="141"/>
        <v>0</v>
      </c>
      <c r="R142" s="38">
        <f t="shared" si="142"/>
        <v>0</v>
      </c>
      <c r="S142" s="9">
        <v>0</v>
      </c>
      <c r="T142" s="9">
        <v>0</v>
      </c>
      <c r="U142" s="38">
        <f t="shared" si="143"/>
        <v>0</v>
      </c>
      <c r="W142" s="77" t="e">
        <f t="shared" si="144"/>
        <v>#DIV/0!</v>
      </c>
    </row>
    <row r="143" spans="1:23" x14ac:dyDescent="0.25">
      <c r="A143" s="13" t="s">
        <v>150</v>
      </c>
      <c r="B143" s="4"/>
      <c r="C143" s="64"/>
      <c r="D143" s="64"/>
      <c r="E143" s="64"/>
      <c r="F143" s="185">
        <f>'Percent-Soil-Carbon-Content'!K15*'Soil-errosion2'!K15</f>
        <v>0</v>
      </c>
      <c r="G143" s="185">
        <f>'Percent-Soil-Carbon-Content'!V15*'Soil-errosion2'!W15</f>
        <v>0</v>
      </c>
      <c r="H143" s="185">
        <f>'Percent-Soil-Carbon-Content'!AG15*'Soil-errosion2'!AI15</f>
        <v>0</v>
      </c>
      <c r="I143" s="95">
        <f t="shared" si="135"/>
        <v>0</v>
      </c>
      <c r="J143" s="185">
        <f t="shared" si="136"/>
        <v>0</v>
      </c>
      <c r="K143" s="185">
        <f t="shared" si="137"/>
        <v>0</v>
      </c>
      <c r="L143" s="185">
        <f t="shared" si="138"/>
        <v>0</v>
      </c>
      <c r="M143" s="185">
        <f t="shared" si="139"/>
        <v>0</v>
      </c>
      <c r="N143" s="67">
        <f t="shared" ref="N143:P143" si="154">J143*C71*$B71</f>
        <v>0</v>
      </c>
      <c r="O143" s="67">
        <f t="shared" si="154"/>
        <v>0</v>
      </c>
      <c r="P143" s="67">
        <f t="shared" si="154"/>
        <v>0</v>
      </c>
      <c r="Q143" s="24">
        <f t="shared" si="141"/>
        <v>0</v>
      </c>
      <c r="R143" s="38">
        <f t="shared" si="142"/>
        <v>0</v>
      </c>
      <c r="S143" s="9">
        <v>0</v>
      </c>
      <c r="T143" s="9">
        <v>0</v>
      </c>
      <c r="U143" s="38">
        <f t="shared" si="143"/>
        <v>0</v>
      </c>
      <c r="W143" s="77" t="e">
        <f t="shared" si="144"/>
        <v>#DIV/0!</v>
      </c>
    </row>
    <row r="144" spans="1:23" x14ac:dyDescent="0.25">
      <c r="A144" s="13" t="s">
        <v>151</v>
      </c>
      <c r="B144" s="4"/>
      <c r="C144" s="64"/>
      <c r="D144" s="64"/>
      <c r="E144" s="64"/>
      <c r="F144" s="185">
        <f>'Percent-Soil-Carbon-Content'!K16*'Soil-errosion2'!K16</f>
        <v>0</v>
      </c>
      <c r="G144" s="185">
        <f>'Percent-Soil-Carbon-Content'!V16*'Soil-errosion2'!W16</f>
        <v>0</v>
      </c>
      <c r="H144" s="185">
        <f>'Percent-Soil-Carbon-Content'!AG16*'Soil-errosion2'!AI16</f>
        <v>0</v>
      </c>
      <c r="I144" s="95">
        <f t="shared" si="135"/>
        <v>0</v>
      </c>
      <c r="J144" s="185">
        <f t="shared" si="136"/>
        <v>0</v>
      </c>
      <c r="K144" s="185">
        <f t="shared" si="137"/>
        <v>0</v>
      </c>
      <c r="L144" s="185">
        <f t="shared" si="138"/>
        <v>0</v>
      </c>
      <c r="M144" s="185">
        <f t="shared" si="139"/>
        <v>0</v>
      </c>
      <c r="N144" s="67">
        <f t="shared" ref="N144:P144" si="155">J144*C72*$B72</f>
        <v>0</v>
      </c>
      <c r="O144" s="67">
        <f t="shared" si="155"/>
        <v>0</v>
      </c>
      <c r="P144" s="67">
        <f t="shared" si="155"/>
        <v>0</v>
      </c>
      <c r="Q144" s="24">
        <f t="shared" si="141"/>
        <v>0</v>
      </c>
      <c r="R144" s="38">
        <f t="shared" si="142"/>
        <v>0</v>
      </c>
      <c r="S144" s="9">
        <v>0</v>
      </c>
      <c r="T144" s="9">
        <v>0</v>
      </c>
      <c r="U144" s="38">
        <f t="shared" si="143"/>
        <v>0</v>
      </c>
      <c r="W144" s="77" t="e">
        <f t="shared" si="144"/>
        <v>#DIV/0!</v>
      </c>
    </row>
    <row r="145" spans="1:23" x14ac:dyDescent="0.25">
      <c r="A145" s="13" t="s">
        <v>152</v>
      </c>
      <c r="B145" s="4"/>
      <c r="C145" s="64"/>
      <c r="D145" s="64"/>
      <c r="E145" s="64"/>
      <c r="F145" s="185">
        <f>'Percent-Soil-Carbon-Content'!K17*'Soil-errosion2'!K17</f>
        <v>0</v>
      </c>
      <c r="G145" s="185">
        <f>'Percent-Soil-Carbon-Content'!V17*'Soil-errosion2'!W17</f>
        <v>0</v>
      </c>
      <c r="H145" s="185">
        <f>'Percent-Soil-Carbon-Content'!AG17*'Soil-errosion2'!AI17</f>
        <v>0</v>
      </c>
      <c r="I145" s="95">
        <f t="shared" si="135"/>
        <v>0</v>
      </c>
      <c r="J145" s="185">
        <f t="shared" si="136"/>
        <v>0</v>
      </c>
      <c r="K145" s="185">
        <f t="shared" si="137"/>
        <v>0</v>
      </c>
      <c r="L145" s="185">
        <f t="shared" si="138"/>
        <v>0</v>
      </c>
      <c r="M145" s="185">
        <f t="shared" si="139"/>
        <v>0</v>
      </c>
      <c r="N145" s="67">
        <f t="shared" ref="N145:P145" si="156">J145*C73*$B73</f>
        <v>0</v>
      </c>
      <c r="O145" s="67">
        <f t="shared" si="156"/>
        <v>0</v>
      </c>
      <c r="P145" s="67">
        <f t="shared" si="156"/>
        <v>0</v>
      </c>
      <c r="Q145" s="24">
        <f t="shared" si="141"/>
        <v>0</v>
      </c>
      <c r="R145" s="38">
        <f t="shared" si="142"/>
        <v>0</v>
      </c>
      <c r="S145" s="9">
        <v>0</v>
      </c>
      <c r="T145" s="9">
        <v>0</v>
      </c>
      <c r="U145" s="38">
        <f t="shared" si="143"/>
        <v>0</v>
      </c>
      <c r="W145" s="77" t="e">
        <f t="shared" si="144"/>
        <v>#DIV/0!</v>
      </c>
    </row>
    <row r="146" spans="1:23" x14ac:dyDescent="0.25">
      <c r="A146" s="13" t="s">
        <v>162</v>
      </c>
      <c r="B146" s="4"/>
      <c r="C146" s="64"/>
      <c r="D146" s="64"/>
      <c r="E146" s="64"/>
      <c r="F146" s="185">
        <f>'Percent-Soil-Carbon-Content'!K18*'Soil-errosion2'!K18</f>
        <v>0</v>
      </c>
      <c r="G146" s="185">
        <f>'Percent-Soil-Carbon-Content'!V18*'Soil-errosion2'!W18</f>
        <v>0</v>
      </c>
      <c r="H146" s="185">
        <f>'Percent-Soil-Carbon-Content'!AG18*'Soil-errosion2'!AI18</f>
        <v>0</v>
      </c>
      <c r="I146" s="95">
        <f t="shared" si="135"/>
        <v>0</v>
      </c>
      <c r="J146" s="185">
        <f t="shared" si="136"/>
        <v>0</v>
      </c>
      <c r="K146" s="185">
        <f t="shared" si="137"/>
        <v>0</v>
      </c>
      <c r="L146" s="185">
        <f t="shared" si="138"/>
        <v>0</v>
      </c>
      <c r="M146" s="185">
        <f t="shared" si="139"/>
        <v>0</v>
      </c>
      <c r="N146" s="67">
        <f t="shared" ref="N146:P146" si="157">J146*C74*$B74</f>
        <v>0</v>
      </c>
      <c r="O146" s="67">
        <f t="shared" si="157"/>
        <v>0</v>
      </c>
      <c r="P146" s="67">
        <f t="shared" si="157"/>
        <v>0</v>
      </c>
      <c r="Q146" s="24">
        <f t="shared" si="141"/>
        <v>0</v>
      </c>
      <c r="R146" s="38">
        <f t="shared" si="142"/>
        <v>0</v>
      </c>
      <c r="S146" s="9">
        <v>0</v>
      </c>
      <c r="T146" s="9">
        <v>0</v>
      </c>
      <c r="U146" s="38">
        <f t="shared" si="143"/>
        <v>0</v>
      </c>
      <c r="W146" s="77" t="e">
        <f t="shared" ref="W146:W157" si="158">Q146/$Q$156</f>
        <v>#DIV/0!</v>
      </c>
    </row>
    <row r="147" spans="1:23" x14ac:dyDescent="0.25">
      <c r="A147" s="13" t="s">
        <v>154</v>
      </c>
      <c r="B147" s="4"/>
      <c r="C147" s="64"/>
      <c r="D147" s="64"/>
      <c r="E147" s="64"/>
      <c r="F147" s="185">
        <f>'Percent-Soil-Carbon-Content'!K19*'Soil-errosion2'!K19</f>
        <v>0</v>
      </c>
      <c r="G147" s="185">
        <f>'Percent-Soil-Carbon-Content'!V19*'Soil-errosion2'!W19</f>
        <v>0</v>
      </c>
      <c r="H147" s="185">
        <f>'Percent-Soil-Carbon-Content'!AG19*'Soil-errosion2'!AI19</f>
        <v>0</v>
      </c>
      <c r="I147" s="95">
        <f t="shared" si="135"/>
        <v>0</v>
      </c>
      <c r="J147" s="185">
        <f t="shared" si="136"/>
        <v>0</v>
      </c>
      <c r="K147" s="185">
        <f t="shared" si="137"/>
        <v>0</v>
      </c>
      <c r="L147" s="185">
        <f t="shared" si="138"/>
        <v>0</v>
      </c>
      <c r="M147" s="185">
        <f t="shared" si="139"/>
        <v>0</v>
      </c>
      <c r="N147" s="67">
        <f t="shared" ref="N147:P147" si="159">J147*C75*$B75</f>
        <v>0</v>
      </c>
      <c r="O147" s="67">
        <f t="shared" si="159"/>
        <v>0</v>
      </c>
      <c r="P147" s="67">
        <f t="shared" si="159"/>
        <v>0</v>
      </c>
      <c r="Q147" s="24">
        <f t="shared" si="141"/>
        <v>0</v>
      </c>
      <c r="R147" s="38">
        <f t="shared" si="142"/>
        <v>0</v>
      </c>
      <c r="S147" s="9">
        <v>0</v>
      </c>
      <c r="T147" s="9">
        <v>0</v>
      </c>
      <c r="U147" s="38">
        <f t="shared" si="143"/>
        <v>0</v>
      </c>
      <c r="W147" s="77" t="e">
        <f t="shared" si="158"/>
        <v>#DIV/0!</v>
      </c>
    </row>
    <row r="148" spans="1:23" x14ac:dyDescent="0.25">
      <c r="A148" s="13" t="s">
        <v>155</v>
      </c>
      <c r="B148" s="4"/>
      <c r="C148" s="64"/>
      <c r="D148" s="64"/>
      <c r="E148" s="64"/>
      <c r="F148" s="185">
        <f>'Percent-Soil-Carbon-Content'!K20*'Soil-errosion2'!K20</f>
        <v>0</v>
      </c>
      <c r="G148" s="185">
        <f>'Percent-Soil-Carbon-Content'!V20*'Soil-errosion2'!W20</f>
        <v>0</v>
      </c>
      <c r="H148" s="185">
        <f>'Percent-Soil-Carbon-Content'!AG20*'Soil-errosion2'!AI20</f>
        <v>0</v>
      </c>
      <c r="I148" s="95">
        <f t="shared" si="135"/>
        <v>0</v>
      </c>
      <c r="J148" s="185">
        <f t="shared" si="136"/>
        <v>0</v>
      </c>
      <c r="K148" s="185">
        <f t="shared" si="137"/>
        <v>0</v>
      </c>
      <c r="L148" s="185">
        <f t="shared" si="138"/>
        <v>0</v>
      </c>
      <c r="M148" s="185">
        <f t="shared" si="139"/>
        <v>0</v>
      </c>
      <c r="N148" s="67">
        <f t="shared" ref="N148:P148" si="160">J148*C76*$B76</f>
        <v>0</v>
      </c>
      <c r="O148" s="67">
        <f t="shared" si="160"/>
        <v>0</v>
      </c>
      <c r="P148" s="67">
        <f t="shared" si="160"/>
        <v>0</v>
      </c>
      <c r="Q148" s="24">
        <f t="shared" si="141"/>
        <v>0</v>
      </c>
      <c r="R148" s="38">
        <f t="shared" si="142"/>
        <v>0</v>
      </c>
      <c r="S148" s="9">
        <v>0</v>
      </c>
      <c r="T148" s="9">
        <v>0</v>
      </c>
      <c r="U148" s="38">
        <f t="shared" si="143"/>
        <v>0</v>
      </c>
      <c r="W148" s="77" t="e">
        <f t="shared" si="158"/>
        <v>#DIV/0!</v>
      </c>
    </row>
    <row r="149" spans="1:23" x14ac:dyDescent="0.25">
      <c r="A149" s="13" t="s">
        <v>156</v>
      </c>
      <c r="B149" s="4"/>
      <c r="C149" s="64"/>
      <c r="D149" s="64"/>
      <c r="E149" s="64"/>
      <c r="F149" s="185">
        <f>'Percent-Soil-Carbon-Content'!K21*'Soil-errosion2'!K21</f>
        <v>0</v>
      </c>
      <c r="G149" s="185">
        <f>'Percent-Soil-Carbon-Content'!V21*'Soil-errosion2'!W21</f>
        <v>0</v>
      </c>
      <c r="H149" s="185">
        <f>'Percent-Soil-Carbon-Content'!AG21*'Soil-errosion2'!AI21</f>
        <v>0</v>
      </c>
      <c r="I149" s="95">
        <f t="shared" si="135"/>
        <v>0</v>
      </c>
      <c r="J149" s="185">
        <f t="shared" si="136"/>
        <v>0</v>
      </c>
      <c r="K149" s="185">
        <f t="shared" si="137"/>
        <v>0</v>
      </c>
      <c r="L149" s="185">
        <f t="shared" si="138"/>
        <v>0</v>
      </c>
      <c r="M149" s="185">
        <f t="shared" si="139"/>
        <v>0</v>
      </c>
      <c r="N149" s="67">
        <f t="shared" ref="N149:P149" si="161">J149*C77*$B77</f>
        <v>0</v>
      </c>
      <c r="O149" s="67">
        <f t="shared" si="161"/>
        <v>0</v>
      </c>
      <c r="P149" s="67">
        <f t="shared" si="161"/>
        <v>0</v>
      </c>
      <c r="Q149" s="24">
        <f t="shared" si="141"/>
        <v>0</v>
      </c>
      <c r="R149" s="38">
        <f t="shared" si="142"/>
        <v>0</v>
      </c>
      <c r="S149" s="9">
        <v>0</v>
      </c>
      <c r="T149" s="9">
        <v>0</v>
      </c>
      <c r="U149" s="38">
        <f t="shared" si="143"/>
        <v>0</v>
      </c>
      <c r="W149" s="77" t="e">
        <f t="shared" si="158"/>
        <v>#DIV/0!</v>
      </c>
    </row>
    <row r="150" spans="1:23" x14ac:dyDescent="0.25">
      <c r="A150" s="13" t="s">
        <v>157</v>
      </c>
      <c r="B150" s="4"/>
      <c r="C150" s="64"/>
      <c r="D150" s="64"/>
      <c r="E150" s="64"/>
      <c r="F150" s="185">
        <f>'Percent-Soil-Carbon-Content'!K22*'Soil-errosion2'!K22</f>
        <v>0</v>
      </c>
      <c r="G150" s="185">
        <f>'Percent-Soil-Carbon-Content'!V22*'Soil-errosion2'!W22</f>
        <v>0</v>
      </c>
      <c r="H150" s="185">
        <f>'Percent-Soil-Carbon-Content'!AG22*'Soil-errosion2'!AI22</f>
        <v>0</v>
      </c>
      <c r="I150" s="95">
        <f t="shared" si="135"/>
        <v>0</v>
      </c>
      <c r="J150" s="185">
        <f t="shared" si="136"/>
        <v>0</v>
      </c>
      <c r="K150" s="185">
        <f t="shared" si="137"/>
        <v>0</v>
      </c>
      <c r="L150" s="185">
        <f t="shared" si="138"/>
        <v>0</v>
      </c>
      <c r="M150" s="185">
        <f t="shared" si="139"/>
        <v>0</v>
      </c>
      <c r="N150" s="67">
        <f t="shared" ref="N150:P150" si="162">J150*C78*$B78</f>
        <v>0</v>
      </c>
      <c r="O150" s="67">
        <f t="shared" si="162"/>
        <v>0</v>
      </c>
      <c r="P150" s="67">
        <f t="shared" si="162"/>
        <v>0</v>
      </c>
      <c r="Q150" s="24">
        <f t="shared" si="141"/>
        <v>0</v>
      </c>
      <c r="R150" s="38">
        <f t="shared" si="142"/>
        <v>0</v>
      </c>
      <c r="S150" s="9">
        <v>0</v>
      </c>
      <c r="T150" s="9">
        <v>0</v>
      </c>
      <c r="U150" s="38">
        <f t="shared" si="143"/>
        <v>0</v>
      </c>
      <c r="W150" s="77" t="e">
        <f t="shared" si="158"/>
        <v>#DIV/0!</v>
      </c>
    </row>
    <row r="151" spans="1:23" x14ac:dyDescent="0.25">
      <c r="A151" s="13" t="s">
        <v>158</v>
      </c>
      <c r="B151" s="4"/>
      <c r="C151" s="64"/>
      <c r="D151" s="64"/>
      <c r="E151" s="64"/>
      <c r="F151" s="185">
        <f>'Percent-Soil-Carbon-Content'!K23*'Soil-errosion2'!K23</f>
        <v>0</v>
      </c>
      <c r="G151" s="185">
        <f>'Percent-Soil-Carbon-Content'!V23*'Soil-errosion2'!W23</f>
        <v>0</v>
      </c>
      <c r="H151" s="185">
        <f>'Percent-Soil-Carbon-Content'!AG23*'Soil-errosion2'!AI23</f>
        <v>0</v>
      </c>
      <c r="I151" s="95">
        <f t="shared" si="135"/>
        <v>0</v>
      </c>
      <c r="J151" s="185">
        <f t="shared" si="136"/>
        <v>0</v>
      </c>
      <c r="K151" s="185">
        <f t="shared" si="137"/>
        <v>0</v>
      </c>
      <c r="L151" s="185">
        <f t="shared" si="138"/>
        <v>0</v>
      </c>
      <c r="M151" s="185">
        <f t="shared" si="139"/>
        <v>0</v>
      </c>
      <c r="N151" s="67">
        <f t="shared" ref="N151:P151" si="163">J151*C79*$B79</f>
        <v>0</v>
      </c>
      <c r="O151" s="67">
        <f t="shared" si="163"/>
        <v>0</v>
      </c>
      <c r="P151" s="67">
        <f t="shared" si="163"/>
        <v>0</v>
      </c>
      <c r="Q151" s="24">
        <f t="shared" si="141"/>
        <v>0</v>
      </c>
      <c r="R151" s="38">
        <f t="shared" si="142"/>
        <v>0</v>
      </c>
      <c r="S151" s="9">
        <v>0</v>
      </c>
      <c r="T151" s="9">
        <v>0</v>
      </c>
      <c r="U151" s="38">
        <f t="shared" si="143"/>
        <v>0</v>
      </c>
      <c r="W151" s="77" t="e">
        <f t="shared" si="158"/>
        <v>#DIV/0!</v>
      </c>
    </row>
    <row r="152" spans="1:23" x14ac:dyDescent="0.25">
      <c r="A152" s="13" t="s">
        <v>159</v>
      </c>
      <c r="B152" s="4"/>
      <c r="C152" s="64"/>
      <c r="D152" s="64"/>
      <c r="E152" s="64"/>
      <c r="F152" s="185">
        <f>'Percent-Soil-Carbon-Content'!K24*'Soil-errosion2'!K24</f>
        <v>0</v>
      </c>
      <c r="G152" s="185">
        <f>'Percent-Soil-Carbon-Content'!V24*'Soil-errosion2'!W24</f>
        <v>0</v>
      </c>
      <c r="H152" s="185">
        <f>'Percent-Soil-Carbon-Content'!AG24*'Soil-errosion2'!AI24</f>
        <v>0</v>
      </c>
      <c r="I152" s="95">
        <f t="shared" si="135"/>
        <v>0</v>
      </c>
      <c r="J152" s="185">
        <f t="shared" si="136"/>
        <v>0</v>
      </c>
      <c r="K152" s="185">
        <f t="shared" si="137"/>
        <v>0</v>
      </c>
      <c r="L152" s="185">
        <f t="shared" si="138"/>
        <v>0</v>
      </c>
      <c r="M152" s="185">
        <f t="shared" si="139"/>
        <v>0</v>
      </c>
      <c r="N152" s="67">
        <f t="shared" ref="N152:P152" si="164">J152*C80*$B80</f>
        <v>0</v>
      </c>
      <c r="O152" s="67">
        <f t="shared" si="164"/>
        <v>0</v>
      </c>
      <c r="P152" s="67">
        <f t="shared" si="164"/>
        <v>0</v>
      </c>
      <c r="Q152" s="24">
        <f t="shared" si="141"/>
        <v>0</v>
      </c>
      <c r="R152" s="38">
        <f t="shared" si="142"/>
        <v>0</v>
      </c>
      <c r="S152" s="9">
        <v>0</v>
      </c>
      <c r="T152" s="9">
        <v>0</v>
      </c>
      <c r="U152" s="38">
        <f t="shared" si="143"/>
        <v>0</v>
      </c>
      <c r="W152" s="77" t="e">
        <f t="shared" si="158"/>
        <v>#DIV/0!</v>
      </c>
    </row>
    <row r="153" spans="1:23" x14ac:dyDescent="0.25">
      <c r="A153" s="13" t="s">
        <v>160</v>
      </c>
      <c r="B153" s="4"/>
      <c r="C153" s="64"/>
      <c r="D153" s="64"/>
      <c r="E153" s="64"/>
      <c r="F153" s="185">
        <f>'Percent-Soil-Carbon-Content'!K25*'Soil-errosion2'!K25</f>
        <v>0</v>
      </c>
      <c r="G153" s="185">
        <f>'Percent-Soil-Carbon-Content'!V25*'Soil-errosion2'!W25</f>
        <v>0</v>
      </c>
      <c r="H153" s="185">
        <f>'Percent-Soil-Carbon-Content'!AG25*'Soil-errosion2'!AI25</f>
        <v>0</v>
      </c>
      <c r="I153" s="95">
        <f t="shared" si="135"/>
        <v>0</v>
      </c>
      <c r="J153" s="185">
        <f t="shared" si="136"/>
        <v>0</v>
      </c>
      <c r="K153" s="185">
        <f t="shared" si="137"/>
        <v>0</v>
      </c>
      <c r="L153" s="185">
        <f t="shared" si="138"/>
        <v>0</v>
      </c>
      <c r="M153" s="185">
        <f t="shared" si="139"/>
        <v>0</v>
      </c>
      <c r="N153" s="67">
        <f t="shared" ref="N153:P153" si="165">J153*C81*$B81</f>
        <v>0</v>
      </c>
      <c r="O153" s="67">
        <f t="shared" si="165"/>
        <v>0</v>
      </c>
      <c r="P153" s="67">
        <f t="shared" si="165"/>
        <v>0</v>
      </c>
      <c r="Q153" s="24">
        <f t="shared" si="141"/>
        <v>0</v>
      </c>
      <c r="R153" s="38">
        <f t="shared" si="142"/>
        <v>0</v>
      </c>
      <c r="S153" s="9">
        <v>0</v>
      </c>
      <c r="T153" s="9">
        <v>0</v>
      </c>
      <c r="U153" s="38">
        <f t="shared" si="143"/>
        <v>0</v>
      </c>
      <c r="W153" s="77" t="e">
        <f t="shared" si="158"/>
        <v>#DIV/0!</v>
      </c>
    </row>
    <row r="154" spans="1:23" x14ac:dyDescent="0.25">
      <c r="A154" s="13" t="s">
        <v>161</v>
      </c>
      <c r="B154" s="4"/>
      <c r="C154" s="64"/>
      <c r="D154" s="64"/>
      <c r="E154" s="64"/>
      <c r="F154" s="185">
        <f>'Percent-Soil-Carbon-Content'!K26*'Soil-errosion2'!K26</f>
        <v>0</v>
      </c>
      <c r="G154" s="185">
        <f>'Percent-Soil-Carbon-Content'!V26*'Soil-errosion2'!W26</f>
        <v>0</v>
      </c>
      <c r="H154" s="185">
        <f>'Percent-Soil-Carbon-Content'!AG26*'Soil-errosion2'!AI26</f>
        <v>0</v>
      </c>
      <c r="I154" s="95">
        <f t="shared" si="135"/>
        <v>0</v>
      </c>
      <c r="J154" s="185">
        <f t="shared" si="136"/>
        <v>0</v>
      </c>
      <c r="K154" s="185">
        <f t="shared" si="137"/>
        <v>0</v>
      </c>
      <c r="L154" s="185">
        <f t="shared" si="138"/>
        <v>0</v>
      </c>
      <c r="M154" s="185">
        <f t="shared" si="139"/>
        <v>0</v>
      </c>
      <c r="N154" s="67">
        <f t="shared" ref="N154:P154" si="166">J154*C82*$B82</f>
        <v>0</v>
      </c>
      <c r="O154" s="67">
        <f t="shared" si="166"/>
        <v>0</v>
      </c>
      <c r="P154" s="67">
        <f t="shared" si="166"/>
        <v>0</v>
      </c>
      <c r="Q154" s="24">
        <f t="shared" si="141"/>
        <v>0</v>
      </c>
      <c r="R154" s="38">
        <f t="shared" si="142"/>
        <v>0</v>
      </c>
      <c r="S154" s="9">
        <v>0</v>
      </c>
      <c r="T154" s="9">
        <v>0</v>
      </c>
      <c r="U154" s="38">
        <f t="shared" si="143"/>
        <v>0</v>
      </c>
      <c r="W154" s="77" t="e">
        <f t="shared" si="158"/>
        <v>#DIV/0!</v>
      </c>
    </row>
    <row r="155" spans="1:23" x14ac:dyDescent="0.25">
      <c r="A155" s="13" t="s">
        <v>162</v>
      </c>
      <c r="B155" s="4"/>
      <c r="C155" s="64"/>
      <c r="D155" s="64"/>
      <c r="E155" s="64"/>
      <c r="F155" s="185">
        <f>'Percent-Soil-Carbon-Content'!K27*'Soil-errosion2'!K27</f>
        <v>0</v>
      </c>
      <c r="G155" s="185">
        <f>'Percent-Soil-Carbon-Content'!V27*'Soil-errosion2'!W27</f>
        <v>0</v>
      </c>
      <c r="H155" s="185">
        <f>'Percent-Soil-Carbon-Content'!AG27*'Soil-errosion2'!AI27</f>
        <v>0</v>
      </c>
      <c r="I155" s="95">
        <f t="shared" si="135"/>
        <v>0</v>
      </c>
      <c r="J155" s="185">
        <f t="shared" si="136"/>
        <v>0</v>
      </c>
      <c r="K155" s="185">
        <f t="shared" si="137"/>
        <v>0</v>
      </c>
      <c r="L155" s="185">
        <f t="shared" si="138"/>
        <v>0</v>
      </c>
      <c r="M155" s="185">
        <f t="shared" si="139"/>
        <v>0</v>
      </c>
      <c r="N155" s="67">
        <f t="shared" ref="N155:P155" si="167">J155*C83*$B83</f>
        <v>0</v>
      </c>
      <c r="O155" s="67">
        <f t="shared" si="167"/>
        <v>0</v>
      </c>
      <c r="P155" s="67">
        <f t="shared" si="167"/>
        <v>0</v>
      </c>
      <c r="Q155" s="24">
        <f t="shared" si="141"/>
        <v>0</v>
      </c>
      <c r="R155" s="38">
        <f t="shared" si="142"/>
        <v>0</v>
      </c>
      <c r="S155" s="9">
        <v>0</v>
      </c>
      <c r="T155" s="9">
        <v>0</v>
      </c>
      <c r="U155" s="38">
        <f t="shared" si="143"/>
        <v>0</v>
      </c>
      <c r="W155" s="77" t="e">
        <f t="shared" si="158"/>
        <v>#DIV/0!</v>
      </c>
    </row>
    <row r="156" spans="1:23" s="1" customFormat="1" x14ac:dyDescent="0.25">
      <c r="A156" s="1" t="s">
        <v>163</v>
      </c>
      <c r="B156" s="10">
        <f>SUM(B132:B155)</f>
        <v>0</v>
      </c>
      <c r="C156" s="71" t="e">
        <f t="shared" ref="C156:M156" si="168">SUMPRODUCT(C132:C155,$B$30:$B$53)/$B$54</f>
        <v>#DIV/0!</v>
      </c>
      <c r="D156" s="71" t="e">
        <f t="shared" si="168"/>
        <v>#DIV/0!</v>
      </c>
      <c r="E156" s="71" t="e">
        <f t="shared" si="168"/>
        <v>#DIV/0!</v>
      </c>
      <c r="F156" s="590" t="e">
        <f t="shared" si="168"/>
        <v>#DIV/0!</v>
      </c>
      <c r="G156" s="590" t="e">
        <f t="shared" si="168"/>
        <v>#DIV/0!</v>
      </c>
      <c r="H156" s="590" t="e">
        <f t="shared" si="168"/>
        <v>#DIV/0!</v>
      </c>
      <c r="I156" s="590" t="e">
        <f t="shared" si="168"/>
        <v>#DIV/0!</v>
      </c>
      <c r="J156" s="590" t="e">
        <f t="shared" si="168"/>
        <v>#DIV/0!</v>
      </c>
      <c r="K156" s="590" t="e">
        <f t="shared" si="168"/>
        <v>#DIV/0!</v>
      </c>
      <c r="L156" s="590" t="e">
        <f t="shared" si="168"/>
        <v>#DIV/0!</v>
      </c>
      <c r="M156" s="590" t="e">
        <f t="shared" si="168"/>
        <v>#DIV/0!</v>
      </c>
      <c r="N156" s="23">
        <f>SUM(N132:N155)</f>
        <v>0</v>
      </c>
      <c r="O156" s="24">
        <f>SUM(O132:O155)</f>
        <v>0</v>
      </c>
      <c r="P156" s="24">
        <f>SUM(P132:P155)</f>
        <v>0</v>
      </c>
      <c r="Q156" s="24">
        <f>SUM(N156:P156)</f>
        <v>0</v>
      </c>
      <c r="R156" s="24">
        <f>Q156*$D$124</f>
        <v>0</v>
      </c>
      <c r="S156" s="10">
        <f t="shared" ref="S156:T156" si="169">SUM(S132:S155)</f>
        <v>0</v>
      </c>
      <c r="T156" s="10">
        <f t="shared" si="169"/>
        <v>0</v>
      </c>
      <c r="U156" s="38">
        <f t="shared" si="134"/>
        <v>0</v>
      </c>
      <c r="V156" s="68">
        <f>U156/'Summary-all-crops'!C3</f>
        <v>0</v>
      </c>
      <c r="W156" s="591" t="e">
        <f t="shared" si="158"/>
        <v>#DIV/0!</v>
      </c>
    </row>
    <row r="157" spans="1:23" x14ac:dyDescent="0.25">
      <c r="A157" s="1"/>
      <c r="Q157" s="23" t="e">
        <f>Q156/B54</f>
        <v>#DIV/0!</v>
      </c>
      <c r="R157" s="70" t="e">
        <f>Q157*$D$124</f>
        <v>#DIV/0!</v>
      </c>
      <c r="W157" s="77" t="e">
        <f t="shared" si="158"/>
        <v>#DIV/0!</v>
      </c>
    </row>
    <row r="158" spans="1:23" x14ac:dyDescent="0.25">
      <c r="A158" s="1"/>
      <c r="F158" s="2"/>
      <c r="N158" s="5" t="s">
        <v>763</v>
      </c>
      <c r="O158" s="4"/>
      <c r="P158" s="4"/>
      <c r="Q158" s="337" t="e">
        <f>Q156/'Summary-all-crops'!#REF!/159</f>
        <v>#REF!</v>
      </c>
    </row>
    <row r="159" spans="1:23" x14ac:dyDescent="0.25">
      <c r="A159" s="1" t="s">
        <v>369</v>
      </c>
      <c r="N159" s="1" t="s">
        <v>764</v>
      </c>
      <c r="Q159" s="324" t="e">
        <f>Q158/Q156</f>
        <v>#REF!</v>
      </c>
    </row>
    <row r="161" spans="1:6" ht="42.6" customHeight="1" x14ac:dyDescent="0.25">
      <c r="A161" s="838" t="s">
        <v>101</v>
      </c>
      <c r="B161" s="839" t="s">
        <v>765</v>
      </c>
      <c r="C161" s="839"/>
      <c r="D161" s="839"/>
      <c r="E161" s="839"/>
    </row>
    <row r="162" spans="1:6" x14ac:dyDescent="0.25">
      <c r="A162" s="838"/>
      <c r="F162" s="11"/>
    </row>
    <row r="163" spans="1:6" x14ac:dyDescent="0.25">
      <c r="A163" s="838"/>
      <c r="B163" s="1" t="s">
        <v>136</v>
      </c>
      <c r="C163" s="1" t="s">
        <v>137</v>
      </c>
      <c r="D163" s="1" t="s">
        <v>289</v>
      </c>
      <c r="E163" s="1" t="s">
        <v>120</v>
      </c>
      <c r="F163" s="11"/>
    </row>
    <row r="164" spans="1:6" x14ac:dyDescent="0.25">
      <c r="A164" s="13" t="s">
        <v>139</v>
      </c>
      <c r="B164" s="45" t="e">
        <f>$D$19*(K30)+$E$19*(K60)</f>
        <v>#DIV/0!</v>
      </c>
      <c r="C164" s="45" t="e">
        <f>$D$19*(L30)+$E$19*(L60)</f>
        <v>#DIV/0!</v>
      </c>
      <c r="D164" s="45" t="e">
        <f>$D$19*(M30)+$E$19*(M60)</f>
        <v>#DIV/0!</v>
      </c>
      <c r="E164" s="23" t="e">
        <f>SUM(B164:D164)</f>
        <v>#DIV/0!</v>
      </c>
    </row>
    <row r="165" spans="1:6" x14ac:dyDescent="0.25">
      <c r="A165" s="13" t="s">
        <v>140</v>
      </c>
      <c r="B165" s="45" t="e">
        <f t="shared" ref="B165:D165" si="170">$D$19*(K31)+$E$19*(K61)</f>
        <v>#DIV/0!</v>
      </c>
      <c r="C165" s="45" t="e">
        <f t="shared" si="170"/>
        <v>#DIV/0!</v>
      </c>
      <c r="D165" s="45" t="e">
        <f t="shared" si="170"/>
        <v>#DIV/0!</v>
      </c>
      <c r="E165" s="23" t="e">
        <f t="shared" ref="E165:E187" si="171">SUM(B165:D165)</f>
        <v>#DIV/0!</v>
      </c>
    </row>
    <row r="166" spans="1:6" x14ac:dyDescent="0.25">
      <c r="A166" s="13" t="s">
        <v>141</v>
      </c>
      <c r="B166" s="45" t="e">
        <f t="shared" ref="B166:D166" si="172">$D$19*(K32)+$E$19*(K62)</f>
        <v>#DIV/0!</v>
      </c>
      <c r="C166" s="45" t="e">
        <f t="shared" si="172"/>
        <v>#DIV/0!</v>
      </c>
      <c r="D166" s="45" t="e">
        <f t="shared" si="172"/>
        <v>#DIV/0!</v>
      </c>
      <c r="E166" s="23" t="e">
        <f t="shared" si="171"/>
        <v>#DIV/0!</v>
      </c>
    </row>
    <row r="167" spans="1:6" x14ac:dyDescent="0.25">
      <c r="A167" s="13" t="s">
        <v>142</v>
      </c>
      <c r="B167" s="45" t="e">
        <f t="shared" ref="B167:D167" si="173">$D$19*(K33)+$E$19*(K63)</f>
        <v>#DIV/0!</v>
      </c>
      <c r="C167" s="45" t="e">
        <f t="shared" si="173"/>
        <v>#DIV/0!</v>
      </c>
      <c r="D167" s="45" t="e">
        <f t="shared" si="173"/>
        <v>#DIV/0!</v>
      </c>
      <c r="E167" s="23" t="e">
        <f t="shared" si="171"/>
        <v>#DIV/0!</v>
      </c>
    </row>
    <row r="168" spans="1:6" x14ac:dyDescent="0.25">
      <c r="A168" s="13" t="s">
        <v>143</v>
      </c>
      <c r="B168" s="45" t="e">
        <f t="shared" ref="B168:D168" si="174">$D$19*(K34)+$E$19*(K64)</f>
        <v>#DIV/0!</v>
      </c>
      <c r="C168" s="45" t="e">
        <f t="shared" si="174"/>
        <v>#DIV/0!</v>
      </c>
      <c r="D168" s="45" t="e">
        <f t="shared" si="174"/>
        <v>#DIV/0!</v>
      </c>
      <c r="E168" s="23" t="e">
        <f t="shared" si="171"/>
        <v>#DIV/0!</v>
      </c>
    </row>
    <row r="169" spans="1:6" x14ac:dyDescent="0.25">
      <c r="A169" s="13" t="s">
        <v>144</v>
      </c>
      <c r="B169" s="45" t="e">
        <f t="shared" ref="B169:D169" si="175">$D$19*(K35)+$E$19*(K65)</f>
        <v>#DIV/0!</v>
      </c>
      <c r="C169" s="45" t="e">
        <f t="shared" si="175"/>
        <v>#DIV/0!</v>
      </c>
      <c r="D169" s="45" t="e">
        <f t="shared" si="175"/>
        <v>#DIV/0!</v>
      </c>
      <c r="E169" s="23" t="e">
        <f t="shared" si="171"/>
        <v>#DIV/0!</v>
      </c>
    </row>
    <row r="170" spans="1:6" x14ac:dyDescent="0.25">
      <c r="A170" s="13" t="s">
        <v>145</v>
      </c>
      <c r="B170" s="45" t="e">
        <f t="shared" ref="B170:D170" si="176">$D$19*(K36)+$E$19*(K66)</f>
        <v>#DIV/0!</v>
      </c>
      <c r="C170" s="45" t="e">
        <f t="shared" si="176"/>
        <v>#DIV/0!</v>
      </c>
      <c r="D170" s="45" t="e">
        <f t="shared" si="176"/>
        <v>#DIV/0!</v>
      </c>
      <c r="E170" s="23" t="e">
        <f t="shared" si="171"/>
        <v>#DIV/0!</v>
      </c>
    </row>
    <row r="171" spans="1:6" x14ac:dyDescent="0.25">
      <c r="A171" s="13" t="s">
        <v>146</v>
      </c>
      <c r="B171" s="45" t="e">
        <f t="shared" ref="B171:D171" si="177">$D$19*(K37)+$E$19*(K67)</f>
        <v>#DIV/0!</v>
      </c>
      <c r="C171" s="45" t="e">
        <f t="shared" si="177"/>
        <v>#DIV/0!</v>
      </c>
      <c r="D171" s="45" t="e">
        <f t="shared" si="177"/>
        <v>#DIV/0!</v>
      </c>
      <c r="E171" s="23" t="e">
        <f t="shared" si="171"/>
        <v>#DIV/0!</v>
      </c>
    </row>
    <row r="172" spans="1:6" x14ac:dyDescent="0.25">
      <c r="A172" s="13" t="s">
        <v>147</v>
      </c>
      <c r="B172" s="45" t="e">
        <f t="shared" ref="B172:D172" si="178">$D$19*(K38)+$E$19*(K68)</f>
        <v>#DIV/0!</v>
      </c>
      <c r="C172" s="45" t="e">
        <f t="shared" si="178"/>
        <v>#DIV/0!</v>
      </c>
      <c r="D172" s="45" t="e">
        <f t="shared" si="178"/>
        <v>#DIV/0!</v>
      </c>
      <c r="E172" s="23" t="e">
        <f t="shared" si="171"/>
        <v>#DIV/0!</v>
      </c>
    </row>
    <row r="173" spans="1:6" x14ac:dyDescent="0.25">
      <c r="A173" s="13" t="s">
        <v>148</v>
      </c>
      <c r="B173" s="45" t="e">
        <f t="shared" ref="B173:D173" si="179">$D$19*(K39)+$E$19*(K69)</f>
        <v>#DIV/0!</v>
      </c>
      <c r="C173" s="45" t="e">
        <f t="shared" si="179"/>
        <v>#DIV/0!</v>
      </c>
      <c r="D173" s="45" t="e">
        <f t="shared" si="179"/>
        <v>#DIV/0!</v>
      </c>
      <c r="E173" s="23" t="e">
        <f t="shared" si="171"/>
        <v>#DIV/0!</v>
      </c>
    </row>
    <row r="174" spans="1:6" x14ac:dyDescent="0.25">
      <c r="A174" s="13" t="s">
        <v>149</v>
      </c>
      <c r="B174" s="45" t="e">
        <f t="shared" ref="B174:D174" si="180">$D$19*(K40)+$E$19*(K70)</f>
        <v>#DIV/0!</v>
      </c>
      <c r="C174" s="45" t="e">
        <f t="shared" si="180"/>
        <v>#DIV/0!</v>
      </c>
      <c r="D174" s="45" t="e">
        <f t="shared" si="180"/>
        <v>#DIV/0!</v>
      </c>
      <c r="E174" s="23" t="e">
        <f t="shared" si="171"/>
        <v>#DIV/0!</v>
      </c>
    </row>
    <row r="175" spans="1:6" x14ac:dyDescent="0.25">
      <c r="A175" s="13" t="s">
        <v>150</v>
      </c>
      <c r="B175" s="45" t="e">
        <f t="shared" ref="B175:D175" si="181">$D$19*(K41)+$E$19*(K71)</f>
        <v>#DIV/0!</v>
      </c>
      <c r="C175" s="45" t="e">
        <f t="shared" si="181"/>
        <v>#DIV/0!</v>
      </c>
      <c r="D175" s="45" t="e">
        <f t="shared" si="181"/>
        <v>#DIV/0!</v>
      </c>
      <c r="E175" s="23" t="e">
        <f t="shared" si="171"/>
        <v>#DIV/0!</v>
      </c>
    </row>
    <row r="176" spans="1:6" x14ac:dyDescent="0.25">
      <c r="A176" s="13" t="s">
        <v>151</v>
      </c>
      <c r="B176" s="45" t="e">
        <f t="shared" ref="B176:D176" si="182">$D$19*(K42)+$E$19*(K72)</f>
        <v>#DIV/0!</v>
      </c>
      <c r="C176" s="45" t="e">
        <f t="shared" si="182"/>
        <v>#DIV/0!</v>
      </c>
      <c r="D176" s="45" t="e">
        <f t="shared" si="182"/>
        <v>#DIV/0!</v>
      </c>
      <c r="E176" s="23" t="e">
        <f t="shared" si="171"/>
        <v>#DIV/0!</v>
      </c>
    </row>
    <row r="177" spans="1:25" x14ac:dyDescent="0.25">
      <c r="A177" s="13" t="s">
        <v>152</v>
      </c>
      <c r="B177" s="45" t="e">
        <f t="shared" ref="B177:D177" si="183">$D$19*(K43)+$E$19*(K73)</f>
        <v>#DIV/0!</v>
      </c>
      <c r="C177" s="45" t="e">
        <f t="shared" si="183"/>
        <v>#DIV/0!</v>
      </c>
      <c r="D177" s="45" t="e">
        <f t="shared" si="183"/>
        <v>#DIV/0!</v>
      </c>
      <c r="E177" s="23" t="e">
        <f t="shared" si="171"/>
        <v>#DIV/0!</v>
      </c>
    </row>
    <row r="178" spans="1:25" x14ac:dyDescent="0.25">
      <c r="A178" s="13" t="s">
        <v>162</v>
      </c>
      <c r="B178" s="45" t="e">
        <f t="shared" ref="B178:D178" si="184">$D$19*(K44)+$E$19*(K74)</f>
        <v>#DIV/0!</v>
      </c>
      <c r="C178" s="45" t="e">
        <f t="shared" si="184"/>
        <v>#DIV/0!</v>
      </c>
      <c r="D178" s="45" t="e">
        <f t="shared" si="184"/>
        <v>#DIV/0!</v>
      </c>
      <c r="E178" s="23" t="e">
        <f t="shared" si="171"/>
        <v>#DIV/0!</v>
      </c>
    </row>
    <row r="179" spans="1:25" x14ac:dyDescent="0.25">
      <c r="A179" s="13" t="s">
        <v>154</v>
      </c>
      <c r="B179" s="45" t="e">
        <f t="shared" ref="B179:D179" si="185">$D$19*(K45)+$E$19*(K75)</f>
        <v>#DIV/0!</v>
      </c>
      <c r="C179" s="45" t="e">
        <f t="shared" si="185"/>
        <v>#DIV/0!</v>
      </c>
      <c r="D179" s="45" t="e">
        <f t="shared" si="185"/>
        <v>#DIV/0!</v>
      </c>
      <c r="E179" s="23" t="e">
        <f t="shared" si="171"/>
        <v>#DIV/0!</v>
      </c>
    </row>
    <row r="180" spans="1:25" x14ac:dyDescent="0.25">
      <c r="A180" s="13" t="s">
        <v>155</v>
      </c>
      <c r="B180" s="45" t="e">
        <f t="shared" ref="B180:D180" si="186">$D$19*(K46)+$E$19*(K76)</f>
        <v>#DIV/0!</v>
      </c>
      <c r="C180" s="45" t="e">
        <f t="shared" si="186"/>
        <v>#DIV/0!</v>
      </c>
      <c r="D180" s="45" t="e">
        <f t="shared" si="186"/>
        <v>#DIV/0!</v>
      </c>
      <c r="E180" s="23" t="e">
        <f t="shared" si="171"/>
        <v>#DIV/0!</v>
      </c>
    </row>
    <row r="181" spans="1:25" x14ac:dyDescent="0.25">
      <c r="A181" s="13" t="s">
        <v>156</v>
      </c>
      <c r="B181" s="45" t="e">
        <f t="shared" ref="B181:D181" si="187">$D$19*(K47)+$E$19*(K77)</f>
        <v>#DIV/0!</v>
      </c>
      <c r="C181" s="45" t="e">
        <f t="shared" si="187"/>
        <v>#DIV/0!</v>
      </c>
      <c r="D181" s="45" t="e">
        <f t="shared" si="187"/>
        <v>#DIV/0!</v>
      </c>
      <c r="E181" s="23" t="e">
        <f t="shared" si="171"/>
        <v>#DIV/0!</v>
      </c>
    </row>
    <row r="182" spans="1:25" x14ac:dyDescent="0.25">
      <c r="A182" s="13" t="s">
        <v>157</v>
      </c>
      <c r="B182" s="45" t="e">
        <f t="shared" ref="B182:D182" si="188">$D$19*(K48)+$E$19*(K78)</f>
        <v>#DIV/0!</v>
      </c>
      <c r="C182" s="45" t="e">
        <f t="shared" si="188"/>
        <v>#DIV/0!</v>
      </c>
      <c r="D182" s="45" t="e">
        <f t="shared" si="188"/>
        <v>#DIV/0!</v>
      </c>
      <c r="E182" s="23" t="e">
        <f t="shared" si="171"/>
        <v>#DIV/0!</v>
      </c>
    </row>
    <row r="183" spans="1:25" x14ac:dyDescent="0.25">
      <c r="A183" s="13" t="s">
        <v>158</v>
      </c>
      <c r="B183" s="45" t="e">
        <f t="shared" ref="B183:D183" si="189">$D$19*(K49)+$E$19*(K79)</f>
        <v>#DIV/0!</v>
      </c>
      <c r="C183" s="45" t="e">
        <f t="shared" si="189"/>
        <v>#DIV/0!</v>
      </c>
      <c r="D183" s="45" t="e">
        <f t="shared" si="189"/>
        <v>#DIV/0!</v>
      </c>
      <c r="E183" s="23" t="e">
        <f t="shared" si="171"/>
        <v>#DIV/0!</v>
      </c>
    </row>
    <row r="184" spans="1:25" x14ac:dyDescent="0.25">
      <c r="A184" s="13" t="s">
        <v>159</v>
      </c>
      <c r="B184" s="45" t="e">
        <f t="shared" ref="B184:D184" si="190">$D$19*(K50)+$E$19*(K80)</f>
        <v>#DIV/0!</v>
      </c>
      <c r="C184" s="45" t="e">
        <f t="shared" si="190"/>
        <v>#DIV/0!</v>
      </c>
      <c r="D184" s="45" t="e">
        <f t="shared" si="190"/>
        <v>#DIV/0!</v>
      </c>
      <c r="E184" s="23" t="e">
        <f t="shared" si="171"/>
        <v>#DIV/0!</v>
      </c>
    </row>
    <row r="185" spans="1:25" x14ac:dyDescent="0.25">
      <c r="A185" s="13" t="s">
        <v>160</v>
      </c>
      <c r="B185" s="45" t="e">
        <f t="shared" ref="B185:D185" si="191">$D$19*(K51)+$E$19*(K81)</f>
        <v>#DIV/0!</v>
      </c>
      <c r="C185" s="45" t="e">
        <f t="shared" si="191"/>
        <v>#DIV/0!</v>
      </c>
      <c r="D185" s="45" t="e">
        <f t="shared" si="191"/>
        <v>#DIV/0!</v>
      </c>
      <c r="E185" s="23" t="e">
        <f t="shared" si="171"/>
        <v>#DIV/0!</v>
      </c>
    </row>
    <row r="186" spans="1:25" x14ac:dyDescent="0.25">
      <c r="A186" s="13" t="s">
        <v>161</v>
      </c>
      <c r="B186" s="45" t="e">
        <f t="shared" ref="B186:D186" si="192">$D$19*(K52)+$E$19*(K82)</f>
        <v>#DIV/0!</v>
      </c>
      <c r="C186" s="45" t="e">
        <f t="shared" si="192"/>
        <v>#DIV/0!</v>
      </c>
      <c r="D186" s="45" t="e">
        <f t="shared" si="192"/>
        <v>#DIV/0!</v>
      </c>
      <c r="E186" s="23" t="e">
        <f t="shared" si="171"/>
        <v>#DIV/0!</v>
      </c>
    </row>
    <row r="187" spans="1:25" x14ac:dyDescent="0.25">
      <c r="A187" s="13" t="s">
        <v>162</v>
      </c>
      <c r="B187" s="45" t="e">
        <f t="shared" ref="B187:D187" si="193">$D$19*(K53)+$E$19*(K83)</f>
        <v>#DIV/0!</v>
      </c>
      <c r="C187" s="45" t="e">
        <f t="shared" si="193"/>
        <v>#DIV/0!</v>
      </c>
      <c r="D187" s="45" t="e">
        <f t="shared" si="193"/>
        <v>#DIV/0!</v>
      </c>
      <c r="E187" s="23" t="e">
        <f t="shared" si="171"/>
        <v>#DIV/0!</v>
      </c>
    </row>
    <row r="188" spans="1:25" x14ac:dyDescent="0.25">
      <c r="A188" s="1" t="s">
        <v>163</v>
      </c>
      <c r="B188" s="23" t="e">
        <f>SUM(B164:B187)</f>
        <v>#DIV/0!</v>
      </c>
      <c r="C188" s="23" t="e">
        <f>SUM(C164:C187)</f>
        <v>#DIV/0!</v>
      </c>
      <c r="D188" s="23" t="e">
        <f t="shared" ref="D188:E188" si="194">SUM(D164:D187)</f>
        <v>#DIV/0!</v>
      </c>
      <c r="E188" s="23" t="e">
        <f t="shared" si="194"/>
        <v>#DIV/0!</v>
      </c>
      <c r="G188" s="1"/>
      <c r="H188" s="1"/>
    </row>
    <row r="191" spans="1:25" x14ac:dyDescent="0.25">
      <c r="A191" s="1" t="s">
        <v>766</v>
      </c>
      <c r="N191" t="s">
        <v>767</v>
      </c>
      <c r="R191" s="1">
        <v>1.1000000000000001</v>
      </c>
    </row>
    <row r="192" spans="1:25" x14ac:dyDescent="0.25">
      <c r="A192" s="1" t="s">
        <v>101</v>
      </c>
      <c r="B192" s="814" t="s">
        <v>741</v>
      </c>
      <c r="C192" s="814" t="s">
        <v>768</v>
      </c>
      <c r="D192" s="814" t="s">
        <v>769</v>
      </c>
      <c r="E192" s="814" t="s">
        <v>770</v>
      </c>
      <c r="F192" s="814"/>
      <c r="G192" s="814"/>
      <c r="H192" s="814" t="s">
        <v>771</v>
      </c>
      <c r="I192" s="814" t="s">
        <v>772</v>
      </c>
      <c r="J192" s="814" t="s">
        <v>773</v>
      </c>
      <c r="K192" s="814"/>
      <c r="L192" s="814"/>
      <c r="M192" s="814"/>
      <c r="N192" s="868" t="s">
        <v>774</v>
      </c>
      <c r="O192" s="868"/>
      <c r="P192" s="868"/>
      <c r="Q192" s="868"/>
      <c r="R192" s="868" t="s">
        <v>775</v>
      </c>
      <c r="S192" s="868"/>
      <c r="T192" s="868"/>
      <c r="U192" s="868"/>
      <c r="V192" s="868" t="s">
        <v>103</v>
      </c>
      <c r="W192" s="868"/>
      <c r="X192" s="868"/>
      <c r="Y192" s="868"/>
    </row>
    <row r="193" spans="1:25" x14ac:dyDescent="0.25">
      <c r="A193" s="1"/>
      <c r="B193" s="814"/>
      <c r="C193" s="814"/>
      <c r="D193" s="814"/>
      <c r="E193" s="17" t="s">
        <v>136</v>
      </c>
      <c r="F193" s="17" t="s">
        <v>776</v>
      </c>
      <c r="G193" s="17" t="s">
        <v>138</v>
      </c>
      <c r="H193" s="814"/>
      <c r="I193" s="814"/>
      <c r="J193" s="17" t="s">
        <v>136</v>
      </c>
      <c r="K193" s="17" t="s">
        <v>776</v>
      </c>
      <c r="L193" s="17" t="s">
        <v>138</v>
      </c>
      <c r="M193" s="17" t="s">
        <v>120</v>
      </c>
      <c r="N193" s="17" t="s">
        <v>136</v>
      </c>
      <c r="O193" s="17" t="s">
        <v>776</v>
      </c>
      <c r="P193" s="17" t="s">
        <v>138</v>
      </c>
      <c r="Q193" s="17" t="s">
        <v>120</v>
      </c>
      <c r="R193" s="17" t="s">
        <v>136</v>
      </c>
      <c r="S193" s="17" t="s">
        <v>776</v>
      </c>
      <c r="T193" s="17" t="s">
        <v>138</v>
      </c>
      <c r="U193" s="17" t="s">
        <v>120</v>
      </c>
      <c r="V193" s="17" t="s">
        <v>136</v>
      </c>
      <c r="W193" s="17" t="s">
        <v>776</v>
      </c>
      <c r="X193" s="17" t="s">
        <v>138</v>
      </c>
      <c r="Y193" s="17" t="s">
        <v>120</v>
      </c>
    </row>
    <row r="194" spans="1:25" x14ac:dyDescent="0.25">
      <c r="A194" s="13" t="s">
        <v>139</v>
      </c>
      <c r="B194" s="67">
        <f>B30</f>
        <v>0</v>
      </c>
      <c r="C194" s="67">
        <f t="shared" ref="C194:C217" si="195">AA22</f>
        <v>0</v>
      </c>
      <c r="D194" s="69">
        <f>IFERROR(C194/B194,0)</f>
        <v>0</v>
      </c>
      <c r="E194" s="721"/>
      <c r="F194" s="721"/>
      <c r="G194" s="721"/>
      <c r="H194" s="233">
        <f>SUMPRODUCT(E194:G194,C93:E93)</f>
        <v>0</v>
      </c>
      <c r="I194" s="67">
        <f>H194*C194</f>
        <v>0</v>
      </c>
      <c r="J194" s="25" t="e">
        <f>E194/$H194</f>
        <v>#DIV/0!</v>
      </c>
      <c r="K194" s="25" t="e">
        <f t="shared" ref="K194" si="196">F194/$H194</f>
        <v>#DIV/0!</v>
      </c>
      <c r="L194" s="25" t="e">
        <f t="shared" ref="L194" si="197">G194/$H194</f>
        <v>#DIV/0!</v>
      </c>
      <c r="M194" s="25" t="e">
        <f>SUM(J194:L194)</f>
        <v>#DIV/0!</v>
      </c>
      <c r="N194" s="25">
        <f>IFERROR(J194*$D194/($J194*$D194),0)</f>
        <v>0</v>
      </c>
      <c r="O194" s="25">
        <f t="shared" ref="O194:P194" si="198">IFERROR(K194*$D194/($J194*$D194),0)</f>
        <v>0</v>
      </c>
      <c r="P194" s="25">
        <f t="shared" si="198"/>
        <v>0</v>
      </c>
      <c r="Q194" s="25" t="e">
        <f>SUMPRODUCT(N194:P194,J194:L194)</f>
        <v>#DIV/0!</v>
      </c>
      <c r="R194" s="65">
        <f>S194*(N194+(N194-O194))</f>
        <v>0</v>
      </c>
      <c r="S194" s="65">
        <f>D194</f>
        <v>0</v>
      </c>
      <c r="T194" s="65">
        <f>S194*(N194-(O194-P194))</f>
        <v>0</v>
      </c>
      <c r="U194" s="65" t="e">
        <f>SUMPRODUCT(R194:T194,J194:L194)</f>
        <v>#DIV/0!</v>
      </c>
      <c r="V194" s="234" t="e">
        <f t="shared" ref="V194:V218" si="199">J194*$C194/R194</f>
        <v>#DIV/0!</v>
      </c>
      <c r="W194" s="65" t="e">
        <f t="shared" ref="W194:W218" si="200">K194*$C194/S194</f>
        <v>#DIV/0!</v>
      </c>
      <c r="X194" s="65" t="e">
        <f t="shared" ref="X194:X218" si="201">L194*$C194/T194</f>
        <v>#DIV/0!</v>
      </c>
      <c r="Y194" s="69" t="e">
        <f>SUM(V194:X194)</f>
        <v>#DIV/0!</v>
      </c>
    </row>
    <row r="195" spans="1:25" x14ac:dyDescent="0.25">
      <c r="A195" s="13" t="s">
        <v>140</v>
      </c>
      <c r="B195" s="67">
        <f t="shared" ref="B195:B217" si="202">B31</f>
        <v>0</v>
      </c>
      <c r="C195" s="67">
        <f t="shared" si="195"/>
        <v>0</v>
      </c>
      <c r="D195" s="69">
        <f t="shared" ref="D195:D217" si="203">IFERROR(C195/B195,0)</f>
        <v>0</v>
      </c>
      <c r="E195" s="721"/>
      <c r="F195" s="721"/>
      <c r="G195" s="721"/>
      <c r="H195" s="233">
        <f t="shared" ref="H195:H217" si="204">SUMPRODUCT(E195:G195,C94:E94)</f>
        <v>0</v>
      </c>
      <c r="I195" s="67">
        <f t="shared" ref="I195:I217" si="205">H195*C195</f>
        <v>0</v>
      </c>
      <c r="J195" s="25" t="e">
        <f t="shared" ref="J195:J217" si="206">E195/$H195</f>
        <v>#DIV/0!</v>
      </c>
      <c r="K195" s="25" t="e">
        <f t="shared" ref="K195:K217" si="207">F195/$H195</f>
        <v>#DIV/0!</v>
      </c>
      <c r="L195" s="25" t="e">
        <f t="shared" ref="L195:L217" si="208">G195/$H195</f>
        <v>#DIV/0!</v>
      </c>
      <c r="M195" s="25" t="e">
        <f t="shared" ref="M195:M217" si="209">SUM(J195:L195)</f>
        <v>#DIV/0!</v>
      </c>
      <c r="N195" s="25">
        <f t="shared" ref="N195:N217" si="210">IFERROR(J195*$D195/($J195*$D195),0)</f>
        <v>0</v>
      </c>
      <c r="O195" s="25">
        <f t="shared" ref="O195:O217" si="211">IFERROR(K195*$D195/($J195*$D195),0)</f>
        <v>0</v>
      </c>
      <c r="P195" s="25">
        <f t="shared" ref="P195:P217" si="212">IFERROR(L195*$D195/($J195*$D195),0)</f>
        <v>0</v>
      </c>
      <c r="Q195" s="25" t="e">
        <f t="shared" ref="Q195:Q217" si="213">SUMPRODUCT(N195:P195,J195:L195)</f>
        <v>#DIV/0!</v>
      </c>
      <c r="R195" s="65">
        <f t="shared" ref="R195:R217" si="214">S195*(N195+(N195-O195))</f>
        <v>0</v>
      </c>
      <c r="S195" s="65">
        <f t="shared" ref="S195:S217" si="215">D195</f>
        <v>0</v>
      </c>
      <c r="T195" s="65">
        <f t="shared" ref="T195:T217" si="216">S195*(N195-(O195-P195))</f>
        <v>0</v>
      </c>
      <c r="U195" s="65" t="e">
        <f t="shared" ref="U195:U217" si="217">SUMPRODUCT(R195:T195,J195:L195)</f>
        <v>#DIV/0!</v>
      </c>
      <c r="V195" s="234" t="e">
        <f t="shared" ref="V195:V217" si="218">J195*$C195/R195</f>
        <v>#DIV/0!</v>
      </c>
      <c r="W195" s="65" t="e">
        <f t="shared" ref="W195:W217" si="219">K195*$C195/S195</f>
        <v>#DIV/0!</v>
      </c>
      <c r="X195" s="65" t="e">
        <f t="shared" ref="X195:X217" si="220">L195*$C195/T195</f>
        <v>#DIV/0!</v>
      </c>
      <c r="Y195" s="69" t="e">
        <f t="shared" ref="Y195:Y217" si="221">SUM(V195:X195)</f>
        <v>#DIV/0!</v>
      </c>
    </row>
    <row r="196" spans="1:25" x14ac:dyDescent="0.25">
      <c r="A196" s="13" t="s">
        <v>141</v>
      </c>
      <c r="B196" s="67">
        <f t="shared" si="202"/>
        <v>0</v>
      </c>
      <c r="C196" s="67">
        <f t="shared" si="195"/>
        <v>0</v>
      </c>
      <c r="D196" s="69">
        <f t="shared" si="203"/>
        <v>0</v>
      </c>
      <c r="E196" s="721"/>
      <c r="F196" s="721"/>
      <c r="G196" s="721"/>
      <c r="H196" s="233">
        <f t="shared" si="204"/>
        <v>0</v>
      </c>
      <c r="I196" s="67">
        <f t="shared" si="205"/>
        <v>0</v>
      </c>
      <c r="J196" s="25" t="e">
        <f t="shared" si="206"/>
        <v>#DIV/0!</v>
      </c>
      <c r="K196" s="25" t="e">
        <f t="shared" si="207"/>
        <v>#DIV/0!</v>
      </c>
      <c r="L196" s="25" t="e">
        <f t="shared" si="208"/>
        <v>#DIV/0!</v>
      </c>
      <c r="M196" s="25" t="e">
        <f t="shared" si="209"/>
        <v>#DIV/0!</v>
      </c>
      <c r="N196" s="25">
        <f t="shared" si="210"/>
        <v>0</v>
      </c>
      <c r="O196" s="25">
        <f t="shared" si="211"/>
        <v>0</v>
      </c>
      <c r="P196" s="25">
        <f t="shared" si="212"/>
        <v>0</v>
      </c>
      <c r="Q196" s="25" t="e">
        <f t="shared" si="213"/>
        <v>#DIV/0!</v>
      </c>
      <c r="R196" s="65">
        <f t="shared" si="214"/>
        <v>0</v>
      </c>
      <c r="S196" s="65">
        <f t="shared" si="215"/>
        <v>0</v>
      </c>
      <c r="T196" s="65">
        <f t="shared" si="216"/>
        <v>0</v>
      </c>
      <c r="U196" s="65" t="e">
        <f t="shared" si="217"/>
        <v>#DIV/0!</v>
      </c>
      <c r="V196" s="234" t="e">
        <f t="shared" si="218"/>
        <v>#DIV/0!</v>
      </c>
      <c r="W196" s="65" t="e">
        <f t="shared" si="219"/>
        <v>#DIV/0!</v>
      </c>
      <c r="X196" s="65" t="e">
        <f t="shared" si="220"/>
        <v>#DIV/0!</v>
      </c>
      <c r="Y196" s="69" t="e">
        <f t="shared" si="221"/>
        <v>#DIV/0!</v>
      </c>
    </row>
    <row r="197" spans="1:25" x14ac:dyDescent="0.25">
      <c r="A197" s="13" t="s">
        <v>142</v>
      </c>
      <c r="B197" s="67">
        <f t="shared" si="202"/>
        <v>0</v>
      </c>
      <c r="C197" s="67">
        <f t="shared" si="195"/>
        <v>0</v>
      </c>
      <c r="D197" s="69">
        <f t="shared" si="203"/>
        <v>0</v>
      </c>
      <c r="E197" s="721"/>
      <c r="F197" s="721"/>
      <c r="G197" s="721"/>
      <c r="H197" s="233">
        <f t="shared" si="204"/>
        <v>0</v>
      </c>
      <c r="I197" s="67">
        <f t="shared" si="205"/>
        <v>0</v>
      </c>
      <c r="J197" s="25" t="e">
        <f t="shared" si="206"/>
        <v>#DIV/0!</v>
      </c>
      <c r="K197" s="25" t="e">
        <f t="shared" si="207"/>
        <v>#DIV/0!</v>
      </c>
      <c r="L197" s="25" t="e">
        <f t="shared" si="208"/>
        <v>#DIV/0!</v>
      </c>
      <c r="M197" s="25" t="e">
        <f t="shared" si="209"/>
        <v>#DIV/0!</v>
      </c>
      <c r="N197" s="25">
        <f t="shared" si="210"/>
        <v>0</v>
      </c>
      <c r="O197" s="25">
        <f t="shared" si="211"/>
        <v>0</v>
      </c>
      <c r="P197" s="25">
        <f t="shared" si="212"/>
        <v>0</v>
      </c>
      <c r="Q197" s="25" t="e">
        <f t="shared" si="213"/>
        <v>#DIV/0!</v>
      </c>
      <c r="R197" s="65">
        <f t="shared" si="214"/>
        <v>0</v>
      </c>
      <c r="S197" s="65">
        <f t="shared" si="215"/>
        <v>0</v>
      </c>
      <c r="T197" s="65">
        <f t="shared" si="216"/>
        <v>0</v>
      </c>
      <c r="U197" s="65" t="e">
        <f t="shared" si="217"/>
        <v>#DIV/0!</v>
      </c>
      <c r="V197" s="234" t="e">
        <f t="shared" si="218"/>
        <v>#DIV/0!</v>
      </c>
      <c r="W197" s="65" t="e">
        <f t="shared" si="219"/>
        <v>#DIV/0!</v>
      </c>
      <c r="X197" s="65" t="e">
        <f t="shared" si="220"/>
        <v>#DIV/0!</v>
      </c>
      <c r="Y197" s="69" t="e">
        <f t="shared" si="221"/>
        <v>#DIV/0!</v>
      </c>
    </row>
    <row r="198" spans="1:25" x14ac:dyDescent="0.25">
      <c r="A198" s="13" t="s">
        <v>143</v>
      </c>
      <c r="B198" s="67">
        <f t="shared" si="202"/>
        <v>0</v>
      </c>
      <c r="C198" s="67">
        <f t="shared" si="195"/>
        <v>0</v>
      </c>
      <c r="D198" s="69">
        <f t="shared" si="203"/>
        <v>0</v>
      </c>
      <c r="E198" s="721"/>
      <c r="F198" s="721"/>
      <c r="G198" s="721"/>
      <c r="H198" s="233">
        <f t="shared" si="204"/>
        <v>0</v>
      </c>
      <c r="I198" s="67">
        <f t="shared" si="205"/>
        <v>0</v>
      </c>
      <c r="J198" s="25" t="e">
        <f t="shared" si="206"/>
        <v>#DIV/0!</v>
      </c>
      <c r="K198" s="25" t="e">
        <f t="shared" si="207"/>
        <v>#DIV/0!</v>
      </c>
      <c r="L198" s="25" t="e">
        <f t="shared" si="208"/>
        <v>#DIV/0!</v>
      </c>
      <c r="M198" s="25" t="e">
        <f t="shared" si="209"/>
        <v>#DIV/0!</v>
      </c>
      <c r="N198" s="25">
        <f t="shared" si="210"/>
        <v>0</v>
      </c>
      <c r="O198" s="25">
        <f t="shared" si="211"/>
        <v>0</v>
      </c>
      <c r="P198" s="25">
        <f t="shared" si="212"/>
        <v>0</v>
      </c>
      <c r="Q198" s="25" t="e">
        <f t="shared" si="213"/>
        <v>#DIV/0!</v>
      </c>
      <c r="R198" s="65">
        <f t="shared" si="214"/>
        <v>0</v>
      </c>
      <c r="S198" s="65">
        <f t="shared" si="215"/>
        <v>0</v>
      </c>
      <c r="T198" s="65">
        <f t="shared" si="216"/>
        <v>0</v>
      </c>
      <c r="U198" s="65" t="e">
        <f t="shared" si="217"/>
        <v>#DIV/0!</v>
      </c>
      <c r="V198" s="234" t="e">
        <f t="shared" si="218"/>
        <v>#DIV/0!</v>
      </c>
      <c r="W198" s="65" t="e">
        <f t="shared" si="219"/>
        <v>#DIV/0!</v>
      </c>
      <c r="X198" s="65" t="e">
        <f t="shared" si="220"/>
        <v>#DIV/0!</v>
      </c>
      <c r="Y198" s="69" t="e">
        <f t="shared" si="221"/>
        <v>#DIV/0!</v>
      </c>
    </row>
    <row r="199" spans="1:25" x14ac:dyDescent="0.25">
      <c r="A199" s="13" t="s">
        <v>144</v>
      </c>
      <c r="B199" s="67">
        <f t="shared" si="202"/>
        <v>0</v>
      </c>
      <c r="C199" s="67">
        <f t="shared" si="195"/>
        <v>0</v>
      </c>
      <c r="D199" s="69">
        <f t="shared" si="203"/>
        <v>0</v>
      </c>
      <c r="E199" s="721"/>
      <c r="F199" s="721"/>
      <c r="G199" s="721"/>
      <c r="H199" s="233">
        <f t="shared" si="204"/>
        <v>0</v>
      </c>
      <c r="I199" s="67">
        <f t="shared" si="205"/>
        <v>0</v>
      </c>
      <c r="J199" s="25" t="e">
        <f t="shared" si="206"/>
        <v>#DIV/0!</v>
      </c>
      <c r="K199" s="25" t="e">
        <f t="shared" si="207"/>
        <v>#DIV/0!</v>
      </c>
      <c r="L199" s="25" t="e">
        <f t="shared" si="208"/>
        <v>#DIV/0!</v>
      </c>
      <c r="M199" s="25" t="e">
        <f t="shared" si="209"/>
        <v>#DIV/0!</v>
      </c>
      <c r="N199" s="25">
        <f t="shared" si="210"/>
        <v>0</v>
      </c>
      <c r="O199" s="25">
        <f t="shared" si="211"/>
        <v>0</v>
      </c>
      <c r="P199" s="25">
        <f t="shared" si="212"/>
        <v>0</v>
      </c>
      <c r="Q199" s="25" t="e">
        <f t="shared" si="213"/>
        <v>#DIV/0!</v>
      </c>
      <c r="R199" s="65">
        <f t="shared" si="214"/>
        <v>0</v>
      </c>
      <c r="S199" s="65">
        <f t="shared" si="215"/>
        <v>0</v>
      </c>
      <c r="T199" s="65">
        <f t="shared" si="216"/>
        <v>0</v>
      </c>
      <c r="U199" s="65" t="e">
        <f t="shared" si="217"/>
        <v>#DIV/0!</v>
      </c>
      <c r="V199" s="234" t="e">
        <f t="shared" si="218"/>
        <v>#DIV/0!</v>
      </c>
      <c r="W199" s="65" t="e">
        <f t="shared" si="219"/>
        <v>#DIV/0!</v>
      </c>
      <c r="X199" s="65" t="e">
        <f t="shared" si="220"/>
        <v>#DIV/0!</v>
      </c>
      <c r="Y199" s="69" t="e">
        <f t="shared" si="221"/>
        <v>#DIV/0!</v>
      </c>
    </row>
    <row r="200" spans="1:25" x14ac:dyDescent="0.25">
      <c r="A200" s="13" t="s">
        <v>145</v>
      </c>
      <c r="B200" s="67">
        <f t="shared" si="202"/>
        <v>0</v>
      </c>
      <c r="C200" s="67">
        <f t="shared" si="195"/>
        <v>0</v>
      </c>
      <c r="D200" s="69">
        <f t="shared" si="203"/>
        <v>0</v>
      </c>
      <c r="E200" s="721"/>
      <c r="F200" s="721"/>
      <c r="G200" s="721"/>
      <c r="H200" s="233">
        <f t="shared" si="204"/>
        <v>0</v>
      </c>
      <c r="I200" s="67">
        <f t="shared" si="205"/>
        <v>0</v>
      </c>
      <c r="J200" s="25" t="e">
        <f t="shared" si="206"/>
        <v>#DIV/0!</v>
      </c>
      <c r="K200" s="25" t="e">
        <f t="shared" si="207"/>
        <v>#DIV/0!</v>
      </c>
      <c r="L200" s="25" t="e">
        <f t="shared" si="208"/>
        <v>#DIV/0!</v>
      </c>
      <c r="M200" s="25" t="e">
        <f t="shared" si="209"/>
        <v>#DIV/0!</v>
      </c>
      <c r="N200" s="25">
        <f t="shared" si="210"/>
        <v>0</v>
      </c>
      <c r="O200" s="25">
        <f t="shared" si="211"/>
        <v>0</v>
      </c>
      <c r="P200" s="25">
        <f t="shared" si="212"/>
        <v>0</v>
      </c>
      <c r="Q200" s="25" t="e">
        <f t="shared" si="213"/>
        <v>#DIV/0!</v>
      </c>
      <c r="R200" s="65">
        <f t="shared" si="214"/>
        <v>0</v>
      </c>
      <c r="S200" s="65">
        <f t="shared" si="215"/>
        <v>0</v>
      </c>
      <c r="T200" s="65">
        <f t="shared" si="216"/>
        <v>0</v>
      </c>
      <c r="U200" s="65" t="e">
        <f t="shared" si="217"/>
        <v>#DIV/0!</v>
      </c>
      <c r="V200" s="234" t="e">
        <f t="shared" si="218"/>
        <v>#DIV/0!</v>
      </c>
      <c r="W200" s="65" t="e">
        <f t="shared" si="219"/>
        <v>#DIV/0!</v>
      </c>
      <c r="X200" s="65" t="e">
        <f t="shared" si="220"/>
        <v>#DIV/0!</v>
      </c>
      <c r="Y200" s="69" t="e">
        <f t="shared" si="221"/>
        <v>#DIV/0!</v>
      </c>
    </row>
    <row r="201" spans="1:25" x14ac:dyDescent="0.25">
      <c r="A201" s="13" t="s">
        <v>146</v>
      </c>
      <c r="B201" s="67">
        <f t="shared" si="202"/>
        <v>0</v>
      </c>
      <c r="C201" s="67">
        <f t="shared" si="195"/>
        <v>0</v>
      </c>
      <c r="D201" s="69">
        <f t="shared" si="203"/>
        <v>0</v>
      </c>
      <c r="E201" s="721"/>
      <c r="F201" s="721"/>
      <c r="G201" s="721"/>
      <c r="H201" s="233">
        <f t="shared" si="204"/>
        <v>0</v>
      </c>
      <c r="I201" s="67">
        <f t="shared" si="205"/>
        <v>0</v>
      </c>
      <c r="J201" s="25" t="e">
        <f t="shared" si="206"/>
        <v>#DIV/0!</v>
      </c>
      <c r="K201" s="25" t="e">
        <f t="shared" si="207"/>
        <v>#DIV/0!</v>
      </c>
      <c r="L201" s="25" t="e">
        <f t="shared" si="208"/>
        <v>#DIV/0!</v>
      </c>
      <c r="M201" s="25" t="e">
        <f t="shared" si="209"/>
        <v>#DIV/0!</v>
      </c>
      <c r="N201" s="25">
        <f t="shared" si="210"/>
        <v>0</v>
      </c>
      <c r="O201" s="25">
        <f t="shared" si="211"/>
        <v>0</v>
      </c>
      <c r="P201" s="25">
        <f t="shared" si="212"/>
        <v>0</v>
      </c>
      <c r="Q201" s="25" t="e">
        <f t="shared" si="213"/>
        <v>#DIV/0!</v>
      </c>
      <c r="R201" s="65">
        <f t="shared" si="214"/>
        <v>0</v>
      </c>
      <c r="S201" s="65">
        <f t="shared" si="215"/>
        <v>0</v>
      </c>
      <c r="T201" s="65">
        <f t="shared" si="216"/>
        <v>0</v>
      </c>
      <c r="U201" s="65" t="e">
        <f t="shared" si="217"/>
        <v>#DIV/0!</v>
      </c>
      <c r="V201" s="234" t="e">
        <f t="shared" si="218"/>
        <v>#DIV/0!</v>
      </c>
      <c r="W201" s="65" t="e">
        <f t="shared" si="219"/>
        <v>#DIV/0!</v>
      </c>
      <c r="X201" s="65" t="e">
        <f t="shared" si="220"/>
        <v>#DIV/0!</v>
      </c>
      <c r="Y201" s="69" t="e">
        <f t="shared" si="221"/>
        <v>#DIV/0!</v>
      </c>
    </row>
    <row r="202" spans="1:25" x14ac:dyDescent="0.25">
      <c r="A202" s="13" t="s">
        <v>147</v>
      </c>
      <c r="B202" s="67">
        <f t="shared" si="202"/>
        <v>0</v>
      </c>
      <c r="C202" s="67">
        <f t="shared" si="195"/>
        <v>0</v>
      </c>
      <c r="D202" s="69">
        <f t="shared" si="203"/>
        <v>0</v>
      </c>
      <c r="E202" s="721"/>
      <c r="F202" s="721"/>
      <c r="G202" s="721"/>
      <c r="H202" s="233">
        <f t="shared" si="204"/>
        <v>0</v>
      </c>
      <c r="I202" s="67">
        <f t="shared" si="205"/>
        <v>0</v>
      </c>
      <c r="J202" s="25" t="e">
        <f t="shared" si="206"/>
        <v>#DIV/0!</v>
      </c>
      <c r="K202" s="25" t="e">
        <f t="shared" si="207"/>
        <v>#DIV/0!</v>
      </c>
      <c r="L202" s="25" t="e">
        <f t="shared" si="208"/>
        <v>#DIV/0!</v>
      </c>
      <c r="M202" s="25" t="e">
        <f t="shared" si="209"/>
        <v>#DIV/0!</v>
      </c>
      <c r="N202" s="25">
        <f t="shared" si="210"/>
        <v>0</v>
      </c>
      <c r="O202" s="25">
        <f t="shared" si="211"/>
        <v>0</v>
      </c>
      <c r="P202" s="25">
        <f t="shared" si="212"/>
        <v>0</v>
      </c>
      <c r="Q202" s="25" t="e">
        <f t="shared" si="213"/>
        <v>#DIV/0!</v>
      </c>
      <c r="R202" s="65">
        <f t="shared" si="214"/>
        <v>0</v>
      </c>
      <c r="S202" s="65">
        <f t="shared" si="215"/>
        <v>0</v>
      </c>
      <c r="T202" s="65">
        <f t="shared" si="216"/>
        <v>0</v>
      </c>
      <c r="U202" s="65" t="e">
        <f t="shared" si="217"/>
        <v>#DIV/0!</v>
      </c>
      <c r="V202" s="234" t="e">
        <f t="shared" si="218"/>
        <v>#DIV/0!</v>
      </c>
      <c r="W202" s="65" t="e">
        <f t="shared" si="219"/>
        <v>#DIV/0!</v>
      </c>
      <c r="X202" s="65" t="e">
        <f t="shared" si="220"/>
        <v>#DIV/0!</v>
      </c>
      <c r="Y202" s="69" t="e">
        <f t="shared" si="221"/>
        <v>#DIV/0!</v>
      </c>
    </row>
    <row r="203" spans="1:25" x14ac:dyDescent="0.25">
      <c r="A203" s="13" t="s">
        <v>148</v>
      </c>
      <c r="B203" s="67">
        <f t="shared" si="202"/>
        <v>0</v>
      </c>
      <c r="C203" s="67">
        <f t="shared" si="195"/>
        <v>0</v>
      </c>
      <c r="D203" s="69">
        <f t="shared" si="203"/>
        <v>0</v>
      </c>
      <c r="E203" s="721"/>
      <c r="F203" s="721"/>
      <c r="G203" s="721"/>
      <c r="H203" s="233">
        <f t="shared" si="204"/>
        <v>0</v>
      </c>
      <c r="I203" s="67">
        <f t="shared" si="205"/>
        <v>0</v>
      </c>
      <c r="J203" s="25" t="e">
        <f t="shared" si="206"/>
        <v>#DIV/0!</v>
      </c>
      <c r="K203" s="25" t="e">
        <f t="shared" si="207"/>
        <v>#DIV/0!</v>
      </c>
      <c r="L203" s="25" t="e">
        <f t="shared" si="208"/>
        <v>#DIV/0!</v>
      </c>
      <c r="M203" s="25" t="e">
        <f t="shared" si="209"/>
        <v>#DIV/0!</v>
      </c>
      <c r="N203" s="25">
        <f t="shared" si="210"/>
        <v>0</v>
      </c>
      <c r="O203" s="25">
        <f t="shared" si="211"/>
        <v>0</v>
      </c>
      <c r="P203" s="25">
        <f t="shared" si="212"/>
        <v>0</v>
      </c>
      <c r="Q203" s="25" t="e">
        <f t="shared" si="213"/>
        <v>#DIV/0!</v>
      </c>
      <c r="R203" s="65">
        <f t="shared" si="214"/>
        <v>0</v>
      </c>
      <c r="S203" s="65">
        <f t="shared" si="215"/>
        <v>0</v>
      </c>
      <c r="T203" s="65">
        <f t="shared" si="216"/>
        <v>0</v>
      </c>
      <c r="U203" s="65" t="e">
        <f t="shared" si="217"/>
        <v>#DIV/0!</v>
      </c>
      <c r="V203" s="234" t="e">
        <f t="shared" si="218"/>
        <v>#DIV/0!</v>
      </c>
      <c r="W203" s="65" t="e">
        <f t="shared" si="219"/>
        <v>#DIV/0!</v>
      </c>
      <c r="X203" s="65" t="e">
        <f t="shared" si="220"/>
        <v>#DIV/0!</v>
      </c>
      <c r="Y203" s="69" t="e">
        <f t="shared" si="221"/>
        <v>#DIV/0!</v>
      </c>
    </row>
    <row r="204" spans="1:25" x14ac:dyDescent="0.25">
      <c r="A204" s="13" t="s">
        <v>149</v>
      </c>
      <c r="B204" s="67">
        <f t="shared" si="202"/>
        <v>0</v>
      </c>
      <c r="C204" s="67">
        <f t="shared" si="195"/>
        <v>0</v>
      </c>
      <c r="D204" s="69">
        <f t="shared" si="203"/>
        <v>0</v>
      </c>
      <c r="E204" s="721"/>
      <c r="F204" s="721"/>
      <c r="G204" s="721"/>
      <c r="H204" s="233">
        <f t="shared" si="204"/>
        <v>0</v>
      </c>
      <c r="I204" s="67">
        <f t="shared" si="205"/>
        <v>0</v>
      </c>
      <c r="J204" s="25" t="e">
        <f t="shared" si="206"/>
        <v>#DIV/0!</v>
      </c>
      <c r="K204" s="25" t="e">
        <f t="shared" si="207"/>
        <v>#DIV/0!</v>
      </c>
      <c r="L204" s="25" t="e">
        <f t="shared" si="208"/>
        <v>#DIV/0!</v>
      </c>
      <c r="M204" s="25" t="e">
        <f t="shared" si="209"/>
        <v>#DIV/0!</v>
      </c>
      <c r="N204" s="25">
        <f t="shared" si="210"/>
        <v>0</v>
      </c>
      <c r="O204" s="25">
        <f t="shared" si="211"/>
        <v>0</v>
      </c>
      <c r="P204" s="25">
        <f t="shared" si="212"/>
        <v>0</v>
      </c>
      <c r="Q204" s="25" t="e">
        <f t="shared" si="213"/>
        <v>#DIV/0!</v>
      </c>
      <c r="R204" s="65">
        <f t="shared" si="214"/>
        <v>0</v>
      </c>
      <c r="S204" s="65">
        <f t="shared" si="215"/>
        <v>0</v>
      </c>
      <c r="T204" s="65">
        <f t="shared" si="216"/>
        <v>0</v>
      </c>
      <c r="U204" s="65" t="e">
        <f t="shared" si="217"/>
        <v>#DIV/0!</v>
      </c>
      <c r="V204" s="234" t="e">
        <f t="shared" si="218"/>
        <v>#DIV/0!</v>
      </c>
      <c r="W204" s="65" t="e">
        <f t="shared" si="219"/>
        <v>#DIV/0!</v>
      </c>
      <c r="X204" s="65" t="e">
        <f t="shared" si="220"/>
        <v>#DIV/0!</v>
      </c>
      <c r="Y204" s="69" t="e">
        <f t="shared" si="221"/>
        <v>#DIV/0!</v>
      </c>
    </row>
    <row r="205" spans="1:25" x14ac:dyDescent="0.25">
      <c r="A205" s="13" t="s">
        <v>150</v>
      </c>
      <c r="B205" s="67">
        <f t="shared" si="202"/>
        <v>0</v>
      </c>
      <c r="C205" s="67">
        <f t="shared" si="195"/>
        <v>0</v>
      </c>
      <c r="D205" s="69">
        <f t="shared" si="203"/>
        <v>0</v>
      </c>
      <c r="E205" s="721"/>
      <c r="F205" s="721"/>
      <c r="G205" s="721"/>
      <c r="H205" s="233">
        <f t="shared" si="204"/>
        <v>0</v>
      </c>
      <c r="I205" s="67">
        <f t="shared" si="205"/>
        <v>0</v>
      </c>
      <c r="J205" s="25" t="e">
        <f t="shared" si="206"/>
        <v>#DIV/0!</v>
      </c>
      <c r="K205" s="25" t="e">
        <f t="shared" si="207"/>
        <v>#DIV/0!</v>
      </c>
      <c r="L205" s="25" t="e">
        <f t="shared" si="208"/>
        <v>#DIV/0!</v>
      </c>
      <c r="M205" s="25" t="e">
        <f t="shared" si="209"/>
        <v>#DIV/0!</v>
      </c>
      <c r="N205" s="25">
        <f t="shared" si="210"/>
        <v>0</v>
      </c>
      <c r="O205" s="25">
        <f t="shared" si="211"/>
        <v>0</v>
      </c>
      <c r="P205" s="25">
        <f t="shared" si="212"/>
        <v>0</v>
      </c>
      <c r="Q205" s="25" t="e">
        <f t="shared" si="213"/>
        <v>#DIV/0!</v>
      </c>
      <c r="R205" s="65">
        <f t="shared" si="214"/>
        <v>0</v>
      </c>
      <c r="S205" s="65">
        <f t="shared" si="215"/>
        <v>0</v>
      </c>
      <c r="T205" s="65">
        <f t="shared" si="216"/>
        <v>0</v>
      </c>
      <c r="U205" s="65" t="e">
        <f t="shared" si="217"/>
        <v>#DIV/0!</v>
      </c>
      <c r="V205" s="234" t="e">
        <f t="shared" si="218"/>
        <v>#DIV/0!</v>
      </c>
      <c r="W205" s="65" t="e">
        <f t="shared" si="219"/>
        <v>#DIV/0!</v>
      </c>
      <c r="X205" s="65" t="e">
        <f t="shared" si="220"/>
        <v>#DIV/0!</v>
      </c>
      <c r="Y205" s="69" t="e">
        <f t="shared" si="221"/>
        <v>#DIV/0!</v>
      </c>
    </row>
    <row r="206" spans="1:25" x14ac:dyDescent="0.25">
      <c r="A206" s="13" t="s">
        <v>151</v>
      </c>
      <c r="B206" s="67">
        <f t="shared" si="202"/>
        <v>0</v>
      </c>
      <c r="C206" s="67">
        <f t="shared" si="195"/>
        <v>0</v>
      </c>
      <c r="D206" s="69">
        <f t="shared" si="203"/>
        <v>0</v>
      </c>
      <c r="E206" s="721"/>
      <c r="F206" s="721"/>
      <c r="G206" s="721"/>
      <c r="H206" s="233">
        <f t="shared" si="204"/>
        <v>0</v>
      </c>
      <c r="I206" s="67">
        <f t="shared" si="205"/>
        <v>0</v>
      </c>
      <c r="J206" s="25" t="e">
        <f t="shared" si="206"/>
        <v>#DIV/0!</v>
      </c>
      <c r="K206" s="25" t="e">
        <f t="shared" si="207"/>
        <v>#DIV/0!</v>
      </c>
      <c r="L206" s="25" t="e">
        <f t="shared" si="208"/>
        <v>#DIV/0!</v>
      </c>
      <c r="M206" s="25" t="e">
        <f t="shared" si="209"/>
        <v>#DIV/0!</v>
      </c>
      <c r="N206" s="25">
        <f t="shared" si="210"/>
        <v>0</v>
      </c>
      <c r="O206" s="25">
        <f t="shared" si="211"/>
        <v>0</v>
      </c>
      <c r="P206" s="25">
        <f t="shared" si="212"/>
        <v>0</v>
      </c>
      <c r="Q206" s="25" t="e">
        <f t="shared" si="213"/>
        <v>#DIV/0!</v>
      </c>
      <c r="R206" s="65">
        <f t="shared" si="214"/>
        <v>0</v>
      </c>
      <c r="S206" s="65">
        <f t="shared" si="215"/>
        <v>0</v>
      </c>
      <c r="T206" s="65">
        <f t="shared" si="216"/>
        <v>0</v>
      </c>
      <c r="U206" s="65" t="e">
        <f t="shared" si="217"/>
        <v>#DIV/0!</v>
      </c>
      <c r="V206" s="234" t="e">
        <f t="shared" si="218"/>
        <v>#DIV/0!</v>
      </c>
      <c r="W206" s="65" t="e">
        <f t="shared" si="219"/>
        <v>#DIV/0!</v>
      </c>
      <c r="X206" s="65" t="e">
        <f t="shared" si="220"/>
        <v>#DIV/0!</v>
      </c>
      <c r="Y206" s="69" t="e">
        <f t="shared" si="221"/>
        <v>#DIV/0!</v>
      </c>
    </row>
    <row r="207" spans="1:25" x14ac:dyDescent="0.25">
      <c r="A207" s="13" t="s">
        <v>152</v>
      </c>
      <c r="B207" s="67">
        <f t="shared" si="202"/>
        <v>0</v>
      </c>
      <c r="C207" s="67">
        <f t="shared" si="195"/>
        <v>0</v>
      </c>
      <c r="D207" s="69">
        <f t="shared" si="203"/>
        <v>0</v>
      </c>
      <c r="E207" s="721"/>
      <c r="F207" s="721"/>
      <c r="G207" s="721"/>
      <c r="H207" s="233">
        <f t="shared" si="204"/>
        <v>0</v>
      </c>
      <c r="I207" s="67">
        <f t="shared" si="205"/>
        <v>0</v>
      </c>
      <c r="J207" s="25" t="e">
        <f t="shared" si="206"/>
        <v>#DIV/0!</v>
      </c>
      <c r="K207" s="25" t="e">
        <f t="shared" si="207"/>
        <v>#DIV/0!</v>
      </c>
      <c r="L207" s="25" t="e">
        <f t="shared" si="208"/>
        <v>#DIV/0!</v>
      </c>
      <c r="M207" s="25" t="e">
        <f t="shared" si="209"/>
        <v>#DIV/0!</v>
      </c>
      <c r="N207" s="25">
        <f t="shared" si="210"/>
        <v>0</v>
      </c>
      <c r="O207" s="25">
        <f t="shared" si="211"/>
        <v>0</v>
      </c>
      <c r="P207" s="25">
        <f t="shared" si="212"/>
        <v>0</v>
      </c>
      <c r="Q207" s="25" t="e">
        <f t="shared" si="213"/>
        <v>#DIV/0!</v>
      </c>
      <c r="R207" s="65">
        <f t="shared" si="214"/>
        <v>0</v>
      </c>
      <c r="S207" s="65">
        <f t="shared" si="215"/>
        <v>0</v>
      </c>
      <c r="T207" s="65">
        <f t="shared" si="216"/>
        <v>0</v>
      </c>
      <c r="U207" s="65" t="e">
        <f t="shared" si="217"/>
        <v>#DIV/0!</v>
      </c>
      <c r="V207" s="234" t="e">
        <f t="shared" si="218"/>
        <v>#DIV/0!</v>
      </c>
      <c r="W207" s="65" t="e">
        <f t="shared" si="219"/>
        <v>#DIV/0!</v>
      </c>
      <c r="X207" s="65" t="e">
        <f t="shared" si="220"/>
        <v>#DIV/0!</v>
      </c>
      <c r="Y207" s="69" t="e">
        <f t="shared" si="221"/>
        <v>#DIV/0!</v>
      </c>
    </row>
    <row r="208" spans="1:25" x14ac:dyDescent="0.25">
      <c r="A208" s="13" t="s">
        <v>162</v>
      </c>
      <c r="B208" s="67">
        <f t="shared" si="202"/>
        <v>0</v>
      </c>
      <c r="C208" s="67">
        <f t="shared" si="195"/>
        <v>0</v>
      </c>
      <c r="D208" s="69">
        <f t="shared" si="203"/>
        <v>0</v>
      </c>
      <c r="E208" s="721"/>
      <c r="F208" s="721"/>
      <c r="G208" s="721"/>
      <c r="H208" s="233">
        <f t="shared" si="204"/>
        <v>0</v>
      </c>
      <c r="I208" s="67">
        <f t="shared" si="205"/>
        <v>0</v>
      </c>
      <c r="J208" s="25" t="e">
        <f t="shared" si="206"/>
        <v>#DIV/0!</v>
      </c>
      <c r="K208" s="25" t="e">
        <f t="shared" si="207"/>
        <v>#DIV/0!</v>
      </c>
      <c r="L208" s="25" t="e">
        <f t="shared" si="208"/>
        <v>#DIV/0!</v>
      </c>
      <c r="M208" s="25" t="e">
        <f t="shared" si="209"/>
        <v>#DIV/0!</v>
      </c>
      <c r="N208" s="25">
        <f t="shared" si="210"/>
        <v>0</v>
      </c>
      <c r="O208" s="25">
        <f t="shared" si="211"/>
        <v>0</v>
      </c>
      <c r="P208" s="25">
        <f t="shared" si="212"/>
        <v>0</v>
      </c>
      <c r="Q208" s="25" t="e">
        <f t="shared" si="213"/>
        <v>#DIV/0!</v>
      </c>
      <c r="R208" s="65">
        <f t="shared" si="214"/>
        <v>0</v>
      </c>
      <c r="S208" s="65">
        <f t="shared" si="215"/>
        <v>0</v>
      </c>
      <c r="T208" s="65">
        <f t="shared" si="216"/>
        <v>0</v>
      </c>
      <c r="U208" s="65" t="e">
        <f t="shared" si="217"/>
        <v>#DIV/0!</v>
      </c>
      <c r="V208" s="234" t="e">
        <f t="shared" si="218"/>
        <v>#DIV/0!</v>
      </c>
      <c r="W208" s="65" t="e">
        <f t="shared" si="219"/>
        <v>#DIV/0!</v>
      </c>
      <c r="X208" s="65" t="e">
        <f t="shared" si="220"/>
        <v>#DIV/0!</v>
      </c>
      <c r="Y208" s="69" t="e">
        <f t="shared" si="221"/>
        <v>#DIV/0!</v>
      </c>
    </row>
    <row r="209" spans="1:25" x14ac:dyDescent="0.25">
      <c r="A209" s="13" t="s">
        <v>154</v>
      </c>
      <c r="B209" s="67">
        <f t="shared" si="202"/>
        <v>0</v>
      </c>
      <c r="C209" s="67">
        <f t="shared" si="195"/>
        <v>0</v>
      </c>
      <c r="D209" s="69">
        <f t="shared" si="203"/>
        <v>0</v>
      </c>
      <c r="E209" s="721"/>
      <c r="F209" s="721"/>
      <c r="G209" s="721"/>
      <c r="H209" s="233">
        <f t="shared" si="204"/>
        <v>0</v>
      </c>
      <c r="I209" s="67">
        <f t="shared" si="205"/>
        <v>0</v>
      </c>
      <c r="J209" s="25" t="e">
        <f t="shared" si="206"/>
        <v>#DIV/0!</v>
      </c>
      <c r="K209" s="25" t="e">
        <f t="shared" si="207"/>
        <v>#DIV/0!</v>
      </c>
      <c r="L209" s="25" t="e">
        <f t="shared" si="208"/>
        <v>#DIV/0!</v>
      </c>
      <c r="M209" s="25" t="e">
        <f t="shared" si="209"/>
        <v>#DIV/0!</v>
      </c>
      <c r="N209" s="25">
        <f t="shared" si="210"/>
        <v>0</v>
      </c>
      <c r="O209" s="25">
        <f t="shared" si="211"/>
        <v>0</v>
      </c>
      <c r="P209" s="25">
        <f t="shared" si="212"/>
        <v>0</v>
      </c>
      <c r="Q209" s="25" t="e">
        <f t="shared" si="213"/>
        <v>#DIV/0!</v>
      </c>
      <c r="R209" s="65">
        <f t="shared" si="214"/>
        <v>0</v>
      </c>
      <c r="S209" s="65">
        <f t="shared" si="215"/>
        <v>0</v>
      </c>
      <c r="T209" s="65">
        <f t="shared" si="216"/>
        <v>0</v>
      </c>
      <c r="U209" s="65" t="e">
        <f t="shared" si="217"/>
        <v>#DIV/0!</v>
      </c>
      <c r="V209" s="234" t="e">
        <f t="shared" si="218"/>
        <v>#DIV/0!</v>
      </c>
      <c r="W209" s="65" t="e">
        <f t="shared" si="219"/>
        <v>#DIV/0!</v>
      </c>
      <c r="X209" s="65" t="e">
        <f t="shared" si="220"/>
        <v>#DIV/0!</v>
      </c>
      <c r="Y209" s="69" t="e">
        <f t="shared" si="221"/>
        <v>#DIV/0!</v>
      </c>
    </row>
    <row r="210" spans="1:25" x14ac:dyDescent="0.25">
      <c r="A210" s="13" t="s">
        <v>155</v>
      </c>
      <c r="B210" s="67">
        <f t="shared" si="202"/>
        <v>0</v>
      </c>
      <c r="C210" s="67">
        <f t="shared" si="195"/>
        <v>0</v>
      </c>
      <c r="D210" s="69">
        <f t="shared" si="203"/>
        <v>0</v>
      </c>
      <c r="E210" s="721"/>
      <c r="F210" s="721"/>
      <c r="G210" s="721"/>
      <c r="H210" s="233">
        <f t="shared" si="204"/>
        <v>0</v>
      </c>
      <c r="I210" s="67">
        <f t="shared" si="205"/>
        <v>0</v>
      </c>
      <c r="J210" s="25" t="e">
        <f t="shared" si="206"/>
        <v>#DIV/0!</v>
      </c>
      <c r="K210" s="25" t="e">
        <f t="shared" si="207"/>
        <v>#DIV/0!</v>
      </c>
      <c r="L210" s="25" t="e">
        <f t="shared" si="208"/>
        <v>#DIV/0!</v>
      </c>
      <c r="M210" s="25" t="e">
        <f t="shared" si="209"/>
        <v>#DIV/0!</v>
      </c>
      <c r="N210" s="25">
        <f t="shared" si="210"/>
        <v>0</v>
      </c>
      <c r="O210" s="25">
        <f t="shared" si="211"/>
        <v>0</v>
      </c>
      <c r="P210" s="25">
        <f t="shared" si="212"/>
        <v>0</v>
      </c>
      <c r="Q210" s="25" t="e">
        <f t="shared" si="213"/>
        <v>#DIV/0!</v>
      </c>
      <c r="R210" s="65">
        <f t="shared" si="214"/>
        <v>0</v>
      </c>
      <c r="S210" s="65">
        <f t="shared" si="215"/>
        <v>0</v>
      </c>
      <c r="T210" s="65">
        <f t="shared" si="216"/>
        <v>0</v>
      </c>
      <c r="U210" s="65" t="e">
        <f t="shared" si="217"/>
        <v>#DIV/0!</v>
      </c>
      <c r="V210" s="234" t="e">
        <f t="shared" si="218"/>
        <v>#DIV/0!</v>
      </c>
      <c r="W210" s="65" t="e">
        <f t="shared" si="219"/>
        <v>#DIV/0!</v>
      </c>
      <c r="X210" s="65" t="e">
        <f t="shared" si="220"/>
        <v>#DIV/0!</v>
      </c>
      <c r="Y210" s="69" t="e">
        <f t="shared" si="221"/>
        <v>#DIV/0!</v>
      </c>
    </row>
    <row r="211" spans="1:25" x14ac:dyDescent="0.25">
      <c r="A211" s="13" t="s">
        <v>156</v>
      </c>
      <c r="B211" s="67">
        <f t="shared" si="202"/>
        <v>0</v>
      </c>
      <c r="C211" s="67">
        <f t="shared" si="195"/>
        <v>0</v>
      </c>
      <c r="D211" s="69">
        <f t="shared" si="203"/>
        <v>0</v>
      </c>
      <c r="E211" s="721"/>
      <c r="F211" s="721"/>
      <c r="G211" s="721"/>
      <c r="H211" s="233">
        <f t="shared" si="204"/>
        <v>0</v>
      </c>
      <c r="I211" s="67">
        <f t="shared" si="205"/>
        <v>0</v>
      </c>
      <c r="J211" s="25" t="e">
        <f t="shared" si="206"/>
        <v>#DIV/0!</v>
      </c>
      <c r="K211" s="25" t="e">
        <f t="shared" si="207"/>
        <v>#DIV/0!</v>
      </c>
      <c r="L211" s="25" t="e">
        <f t="shared" si="208"/>
        <v>#DIV/0!</v>
      </c>
      <c r="M211" s="25" t="e">
        <f t="shared" si="209"/>
        <v>#DIV/0!</v>
      </c>
      <c r="N211" s="25">
        <f t="shared" si="210"/>
        <v>0</v>
      </c>
      <c r="O211" s="25">
        <f t="shared" si="211"/>
        <v>0</v>
      </c>
      <c r="P211" s="25">
        <f t="shared" si="212"/>
        <v>0</v>
      </c>
      <c r="Q211" s="25" t="e">
        <f t="shared" si="213"/>
        <v>#DIV/0!</v>
      </c>
      <c r="R211" s="65">
        <f t="shared" si="214"/>
        <v>0</v>
      </c>
      <c r="S211" s="65">
        <f t="shared" si="215"/>
        <v>0</v>
      </c>
      <c r="T211" s="65">
        <f t="shared" si="216"/>
        <v>0</v>
      </c>
      <c r="U211" s="65" t="e">
        <f t="shared" si="217"/>
        <v>#DIV/0!</v>
      </c>
      <c r="V211" s="234" t="e">
        <f t="shared" si="218"/>
        <v>#DIV/0!</v>
      </c>
      <c r="W211" s="65" t="e">
        <f t="shared" si="219"/>
        <v>#DIV/0!</v>
      </c>
      <c r="X211" s="65" t="e">
        <f t="shared" si="220"/>
        <v>#DIV/0!</v>
      </c>
      <c r="Y211" s="69" t="e">
        <f t="shared" si="221"/>
        <v>#DIV/0!</v>
      </c>
    </row>
    <row r="212" spans="1:25" x14ac:dyDescent="0.25">
      <c r="A212" s="13" t="s">
        <v>157</v>
      </c>
      <c r="B212" s="67">
        <f t="shared" si="202"/>
        <v>0</v>
      </c>
      <c r="C212" s="67">
        <f t="shared" si="195"/>
        <v>0</v>
      </c>
      <c r="D212" s="69">
        <f t="shared" si="203"/>
        <v>0</v>
      </c>
      <c r="E212" s="721"/>
      <c r="F212" s="721"/>
      <c r="G212" s="721"/>
      <c r="H212" s="233">
        <f t="shared" si="204"/>
        <v>0</v>
      </c>
      <c r="I212" s="67">
        <f t="shared" si="205"/>
        <v>0</v>
      </c>
      <c r="J212" s="25" t="e">
        <f t="shared" si="206"/>
        <v>#DIV/0!</v>
      </c>
      <c r="K212" s="25" t="e">
        <f t="shared" si="207"/>
        <v>#DIV/0!</v>
      </c>
      <c r="L212" s="25" t="e">
        <f t="shared" si="208"/>
        <v>#DIV/0!</v>
      </c>
      <c r="M212" s="25" t="e">
        <f t="shared" si="209"/>
        <v>#DIV/0!</v>
      </c>
      <c r="N212" s="25">
        <f t="shared" si="210"/>
        <v>0</v>
      </c>
      <c r="O212" s="25">
        <f t="shared" si="211"/>
        <v>0</v>
      </c>
      <c r="P212" s="25">
        <f t="shared" si="212"/>
        <v>0</v>
      </c>
      <c r="Q212" s="25" t="e">
        <f t="shared" si="213"/>
        <v>#DIV/0!</v>
      </c>
      <c r="R212" s="65">
        <f t="shared" si="214"/>
        <v>0</v>
      </c>
      <c r="S212" s="65">
        <f t="shared" si="215"/>
        <v>0</v>
      </c>
      <c r="T212" s="65">
        <f t="shared" si="216"/>
        <v>0</v>
      </c>
      <c r="U212" s="65" t="e">
        <f t="shared" si="217"/>
        <v>#DIV/0!</v>
      </c>
      <c r="V212" s="234" t="e">
        <f t="shared" si="218"/>
        <v>#DIV/0!</v>
      </c>
      <c r="W212" s="65" t="e">
        <f t="shared" si="219"/>
        <v>#DIV/0!</v>
      </c>
      <c r="X212" s="65" t="e">
        <f t="shared" si="220"/>
        <v>#DIV/0!</v>
      </c>
      <c r="Y212" s="69" t="e">
        <f t="shared" si="221"/>
        <v>#DIV/0!</v>
      </c>
    </row>
    <row r="213" spans="1:25" x14ac:dyDescent="0.25">
      <c r="A213" s="13" t="s">
        <v>158</v>
      </c>
      <c r="B213" s="67">
        <f t="shared" si="202"/>
        <v>0</v>
      </c>
      <c r="C213" s="67">
        <f t="shared" si="195"/>
        <v>0</v>
      </c>
      <c r="D213" s="69">
        <f t="shared" si="203"/>
        <v>0</v>
      </c>
      <c r="E213" s="721"/>
      <c r="F213" s="721"/>
      <c r="G213" s="721"/>
      <c r="H213" s="233">
        <f t="shared" si="204"/>
        <v>0</v>
      </c>
      <c r="I213" s="67">
        <f t="shared" si="205"/>
        <v>0</v>
      </c>
      <c r="J213" s="25" t="e">
        <f t="shared" si="206"/>
        <v>#DIV/0!</v>
      </c>
      <c r="K213" s="25" t="e">
        <f t="shared" si="207"/>
        <v>#DIV/0!</v>
      </c>
      <c r="L213" s="25" t="e">
        <f t="shared" si="208"/>
        <v>#DIV/0!</v>
      </c>
      <c r="M213" s="25" t="e">
        <f t="shared" si="209"/>
        <v>#DIV/0!</v>
      </c>
      <c r="N213" s="25">
        <f t="shared" si="210"/>
        <v>0</v>
      </c>
      <c r="O213" s="25">
        <f t="shared" si="211"/>
        <v>0</v>
      </c>
      <c r="P213" s="25">
        <f t="shared" si="212"/>
        <v>0</v>
      </c>
      <c r="Q213" s="25" t="e">
        <f t="shared" si="213"/>
        <v>#DIV/0!</v>
      </c>
      <c r="R213" s="65">
        <f t="shared" si="214"/>
        <v>0</v>
      </c>
      <c r="S213" s="65">
        <f t="shared" si="215"/>
        <v>0</v>
      </c>
      <c r="T213" s="65">
        <f t="shared" si="216"/>
        <v>0</v>
      </c>
      <c r="U213" s="65" t="e">
        <f t="shared" si="217"/>
        <v>#DIV/0!</v>
      </c>
      <c r="V213" s="234" t="e">
        <f t="shared" si="218"/>
        <v>#DIV/0!</v>
      </c>
      <c r="W213" s="65" t="e">
        <f t="shared" si="219"/>
        <v>#DIV/0!</v>
      </c>
      <c r="X213" s="65" t="e">
        <f t="shared" si="220"/>
        <v>#DIV/0!</v>
      </c>
      <c r="Y213" s="69" t="e">
        <f t="shared" si="221"/>
        <v>#DIV/0!</v>
      </c>
    </row>
    <row r="214" spans="1:25" x14ac:dyDescent="0.25">
      <c r="A214" s="13" t="s">
        <v>159</v>
      </c>
      <c r="B214" s="67">
        <f t="shared" si="202"/>
        <v>0</v>
      </c>
      <c r="C214" s="67">
        <f t="shared" si="195"/>
        <v>0</v>
      </c>
      <c r="D214" s="69">
        <f t="shared" si="203"/>
        <v>0</v>
      </c>
      <c r="E214" s="721"/>
      <c r="F214" s="721"/>
      <c r="G214" s="721"/>
      <c r="H214" s="233">
        <f t="shared" si="204"/>
        <v>0</v>
      </c>
      <c r="I214" s="67">
        <f t="shared" si="205"/>
        <v>0</v>
      </c>
      <c r="J214" s="25" t="e">
        <f t="shared" si="206"/>
        <v>#DIV/0!</v>
      </c>
      <c r="K214" s="25" t="e">
        <f t="shared" si="207"/>
        <v>#DIV/0!</v>
      </c>
      <c r="L214" s="25" t="e">
        <f t="shared" si="208"/>
        <v>#DIV/0!</v>
      </c>
      <c r="M214" s="25" t="e">
        <f t="shared" si="209"/>
        <v>#DIV/0!</v>
      </c>
      <c r="N214" s="25">
        <f t="shared" si="210"/>
        <v>0</v>
      </c>
      <c r="O214" s="25">
        <f t="shared" si="211"/>
        <v>0</v>
      </c>
      <c r="P214" s="25">
        <f t="shared" si="212"/>
        <v>0</v>
      </c>
      <c r="Q214" s="25" t="e">
        <f t="shared" si="213"/>
        <v>#DIV/0!</v>
      </c>
      <c r="R214" s="65">
        <f t="shared" si="214"/>
        <v>0</v>
      </c>
      <c r="S214" s="65">
        <f t="shared" si="215"/>
        <v>0</v>
      </c>
      <c r="T214" s="65">
        <f t="shared" si="216"/>
        <v>0</v>
      </c>
      <c r="U214" s="65" t="e">
        <f t="shared" si="217"/>
        <v>#DIV/0!</v>
      </c>
      <c r="V214" s="234" t="e">
        <f t="shared" si="218"/>
        <v>#DIV/0!</v>
      </c>
      <c r="W214" s="65" t="e">
        <f t="shared" si="219"/>
        <v>#DIV/0!</v>
      </c>
      <c r="X214" s="65" t="e">
        <f t="shared" si="220"/>
        <v>#DIV/0!</v>
      </c>
      <c r="Y214" s="69" t="e">
        <f t="shared" si="221"/>
        <v>#DIV/0!</v>
      </c>
    </row>
    <row r="215" spans="1:25" x14ac:dyDescent="0.25">
      <c r="A215" s="13" t="s">
        <v>160</v>
      </c>
      <c r="B215" s="67">
        <f t="shared" si="202"/>
        <v>0</v>
      </c>
      <c r="C215" s="67">
        <f t="shared" si="195"/>
        <v>0</v>
      </c>
      <c r="D215" s="69">
        <f t="shared" si="203"/>
        <v>0</v>
      </c>
      <c r="E215" s="721"/>
      <c r="F215" s="721"/>
      <c r="G215" s="721"/>
      <c r="H215" s="233">
        <f t="shared" si="204"/>
        <v>0</v>
      </c>
      <c r="I215" s="67">
        <f t="shared" si="205"/>
        <v>0</v>
      </c>
      <c r="J215" s="25" t="e">
        <f t="shared" si="206"/>
        <v>#DIV/0!</v>
      </c>
      <c r="K215" s="25" t="e">
        <f t="shared" si="207"/>
        <v>#DIV/0!</v>
      </c>
      <c r="L215" s="25" t="e">
        <f t="shared" si="208"/>
        <v>#DIV/0!</v>
      </c>
      <c r="M215" s="25" t="e">
        <f t="shared" si="209"/>
        <v>#DIV/0!</v>
      </c>
      <c r="N215" s="25">
        <f t="shared" si="210"/>
        <v>0</v>
      </c>
      <c r="O215" s="25">
        <f t="shared" si="211"/>
        <v>0</v>
      </c>
      <c r="P215" s="25">
        <f t="shared" si="212"/>
        <v>0</v>
      </c>
      <c r="Q215" s="25" t="e">
        <f t="shared" si="213"/>
        <v>#DIV/0!</v>
      </c>
      <c r="R215" s="65">
        <f t="shared" si="214"/>
        <v>0</v>
      </c>
      <c r="S215" s="65">
        <f t="shared" si="215"/>
        <v>0</v>
      </c>
      <c r="T215" s="65">
        <f t="shared" si="216"/>
        <v>0</v>
      </c>
      <c r="U215" s="65" t="e">
        <f t="shared" si="217"/>
        <v>#DIV/0!</v>
      </c>
      <c r="V215" s="234" t="e">
        <f t="shared" si="218"/>
        <v>#DIV/0!</v>
      </c>
      <c r="W215" s="65" t="e">
        <f t="shared" si="219"/>
        <v>#DIV/0!</v>
      </c>
      <c r="X215" s="65" t="e">
        <f t="shared" si="220"/>
        <v>#DIV/0!</v>
      </c>
      <c r="Y215" s="69" t="e">
        <f t="shared" si="221"/>
        <v>#DIV/0!</v>
      </c>
    </row>
    <row r="216" spans="1:25" x14ac:dyDescent="0.25">
      <c r="A216" s="13" t="s">
        <v>161</v>
      </c>
      <c r="B216" s="67">
        <f t="shared" si="202"/>
        <v>0</v>
      </c>
      <c r="C216" s="67">
        <f t="shared" si="195"/>
        <v>0</v>
      </c>
      <c r="D216" s="69">
        <f t="shared" si="203"/>
        <v>0</v>
      </c>
      <c r="E216" s="721"/>
      <c r="F216" s="721"/>
      <c r="G216" s="721"/>
      <c r="H216" s="233">
        <f t="shared" si="204"/>
        <v>0</v>
      </c>
      <c r="I216" s="67">
        <f t="shared" si="205"/>
        <v>0</v>
      </c>
      <c r="J216" s="25" t="e">
        <f t="shared" si="206"/>
        <v>#DIV/0!</v>
      </c>
      <c r="K216" s="25" t="e">
        <f t="shared" si="207"/>
        <v>#DIV/0!</v>
      </c>
      <c r="L216" s="25" t="e">
        <f t="shared" si="208"/>
        <v>#DIV/0!</v>
      </c>
      <c r="M216" s="25" t="e">
        <f t="shared" si="209"/>
        <v>#DIV/0!</v>
      </c>
      <c r="N216" s="25">
        <f t="shared" si="210"/>
        <v>0</v>
      </c>
      <c r="O216" s="25">
        <f t="shared" si="211"/>
        <v>0</v>
      </c>
      <c r="P216" s="25">
        <f t="shared" si="212"/>
        <v>0</v>
      </c>
      <c r="Q216" s="25" t="e">
        <f t="shared" si="213"/>
        <v>#DIV/0!</v>
      </c>
      <c r="R216" s="65">
        <f t="shared" si="214"/>
        <v>0</v>
      </c>
      <c r="S216" s="65">
        <f t="shared" si="215"/>
        <v>0</v>
      </c>
      <c r="T216" s="65">
        <f t="shared" si="216"/>
        <v>0</v>
      </c>
      <c r="U216" s="65" t="e">
        <f t="shared" si="217"/>
        <v>#DIV/0!</v>
      </c>
      <c r="V216" s="234" t="e">
        <f t="shared" si="218"/>
        <v>#DIV/0!</v>
      </c>
      <c r="W216" s="65" t="e">
        <f t="shared" si="219"/>
        <v>#DIV/0!</v>
      </c>
      <c r="X216" s="65" t="e">
        <f t="shared" si="220"/>
        <v>#DIV/0!</v>
      </c>
      <c r="Y216" s="69" t="e">
        <f t="shared" si="221"/>
        <v>#DIV/0!</v>
      </c>
    </row>
    <row r="217" spans="1:25" x14ac:dyDescent="0.25">
      <c r="A217" s="13" t="s">
        <v>162</v>
      </c>
      <c r="B217" s="67">
        <f t="shared" si="202"/>
        <v>0</v>
      </c>
      <c r="C217" s="67">
        <f t="shared" si="195"/>
        <v>0</v>
      </c>
      <c r="D217" s="69">
        <f t="shared" si="203"/>
        <v>0</v>
      </c>
      <c r="E217" s="721"/>
      <c r="F217" s="721"/>
      <c r="G217" s="721"/>
      <c r="H217" s="233">
        <f t="shared" si="204"/>
        <v>0</v>
      </c>
      <c r="I217" s="67">
        <f t="shared" si="205"/>
        <v>0</v>
      </c>
      <c r="J217" s="25" t="e">
        <f t="shared" si="206"/>
        <v>#DIV/0!</v>
      </c>
      <c r="K217" s="25" t="e">
        <f t="shared" si="207"/>
        <v>#DIV/0!</v>
      </c>
      <c r="L217" s="25" t="e">
        <f t="shared" si="208"/>
        <v>#DIV/0!</v>
      </c>
      <c r="M217" s="25" t="e">
        <f t="shared" si="209"/>
        <v>#DIV/0!</v>
      </c>
      <c r="N217" s="25">
        <f t="shared" si="210"/>
        <v>0</v>
      </c>
      <c r="O217" s="25">
        <f t="shared" si="211"/>
        <v>0</v>
      </c>
      <c r="P217" s="25">
        <f t="shared" si="212"/>
        <v>0</v>
      </c>
      <c r="Q217" s="25" t="e">
        <f t="shared" si="213"/>
        <v>#DIV/0!</v>
      </c>
      <c r="R217" s="65">
        <f t="shared" si="214"/>
        <v>0</v>
      </c>
      <c r="S217" s="65">
        <f t="shared" si="215"/>
        <v>0</v>
      </c>
      <c r="T217" s="65">
        <f t="shared" si="216"/>
        <v>0</v>
      </c>
      <c r="U217" s="65" t="e">
        <f t="shared" si="217"/>
        <v>#DIV/0!</v>
      </c>
      <c r="V217" s="234" t="e">
        <f t="shared" si="218"/>
        <v>#DIV/0!</v>
      </c>
      <c r="W217" s="65" t="e">
        <f t="shared" si="219"/>
        <v>#DIV/0!</v>
      </c>
      <c r="X217" s="65" t="e">
        <f t="shared" si="220"/>
        <v>#DIV/0!</v>
      </c>
      <c r="Y217" s="69" t="e">
        <f t="shared" si="221"/>
        <v>#DIV/0!</v>
      </c>
    </row>
    <row r="218" spans="1:25" x14ac:dyDescent="0.25">
      <c r="A218" s="1" t="s">
        <v>163</v>
      </c>
      <c r="B218" s="24">
        <f>SUM(B194:B217)</f>
        <v>0</v>
      </c>
      <c r="C218" s="24">
        <f>SUM(C194:C217)</f>
        <v>0</v>
      </c>
      <c r="D218" s="23" t="e">
        <f>SUMPRODUCT(D194:D217,B194:B217)/B218</f>
        <v>#DIV/0!</v>
      </c>
      <c r="E218" s="37" t="e">
        <f>SUMPRODUCT(E194:E217,$B$194:$B$217)/$B$218</f>
        <v>#DIV/0!</v>
      </c>
      <c r="F218" s="37" t="e">
        <f>SUMPRODUCT(F194:F217,$B$194:$B$217)/$B$218</f>
        <v>#DIV/0!</v>
      </c>
      <c r="G218" s="37" t="e">
        <f>SUMPRODUCT(G194:G217,$B$194:$B$217)/$B$218</f>
        <v>#DIV/0!</v>
      </c>
      <c r="H218" s="51" t="e">
        <f>I218/C218</f>
        <v>#DIV/0!</v>
      </c>
      <c r="I218" s="24">
        <f>SUM(I194:I217)</f>
        <v>0</v>
      </c>
      <c r="J218" s="37" t="e">
        <f t="shared" ref="J218:P218" si="222">SUMPRODUCT(J194:J217,$B$194:$B$217)/$B$218</f>
        <v>#DIV/0!</v>
      </c>
      <c r="K218" s="37" t="e">
        <f t="shared" si="222"/>
        <v>#DIV/0!</v>
      </c>
      <c r="L218" s="37" t="e">
        <f t="shared" si="222"/>
        <v>#DIV/0!</v>
      </c>
      <c r="M218" s="37" t="e">
        <f t="shared" si="222"/>
        <v>#DIV/0!</v>
      </c>
      <c r="N218" s="37" t="e">
        <f t="shared" si="222"/>
        <v>#DIV/0!</v>
      </c>
      <c r="O218" s="37" t="e">
        <f t="shared" si="222"/>
        <v>#DIV/0!</v>
      </c>
      <c r="P218" s="37" t="e">
        <f t="shared" si="222"/>
        <v>#DIV/0!</v>
      </c>
      <c r="Q218" s="37" t="e">
        <f>SUMPRODUCT(N218:P218,J218:L218)</f>
        <v>#DIV/0!</v>
      </c>
      <c r="R218" s="71" t="e">
        <f>S218*(N218+(N218-O218))</f>
        <v>#DIV/0!</v>
      </c>
      <c r="S218" s="71" t="e">
        <f>D218</f>
        <v>#DIV/0!</v>
      </c>
      <c r="T218" s="71" t="e">
        <f>S218*(N218-(O218-P218))</f>
        <v>#DIV/0!</v>
      </c>
      <c r="U218" s="71" t="e">
        <f>SUMPRODUCT(R218:T218,J218:L218)</f>
        <v>#DIV/0!</v>
      </c>
      <c r="V218" s="71" t="e">
        <f t="shared" si="199"/>
        <v>#DIV/0!</v>
      </c>
      <c r="W218" s="71" t="e">
        <f t="shared" si="200"/>
        <v>#DIV/0!</v>
      </c>
      <c r="X218" s="71" t="e">
        <f t="shared" si="201"/>
        <v>#DIV/0!</v>
      </c>
      <c r="Y218" s="23" t="e">
        <f>SUM(V218:X218)</f>
        <v>#DIV/0!</v>
      </c>
    </row>
    <row r="219" spans="1:25" x14ac:dyDescent="0.25">
      <c r="R219" s="1"/>
    </row>
    <row r="220" spans="1:25" x14ac:dyDescent="0.25">
      <c r="R220" s="1"/>
    </row>
    <row r="222" spans="1:25" x14ac:dyDescent="0.25">
      <c r="A222" s="1" t="s">
        <v>101</v>
      </c>
      <c r="B222" s="814" t="s">
        <v>741</v>
      </c>
      <c r="C222" s="814" t="s">
        <v>768</v>
      </c>
      <c r="D222" s="814" t="s">
        <v>777</v>
      </c>
      <c r="E222" s="814" t="s">
        <v>773</v>
      </c>
      <c r="F222" s="814"/>
      <c r="G222" s="814"/>
      <c r="H222" s="814"/>
      <c r="I222" s="868" t="s">
        <v>103</v>
      </c>
      <c r="J222" s="868"/>
      <c r="K222" s="868"/>
      <c r="L222" s="868"/>
      <c r="M222" s="868" t="s">
        <v>778</v>
      </c>
      <c r="N222" s="868"/>
      <c r="O222" s="868"/>
      <c r="P222" s="868"/>
      <c r="Q222" s="868" t="s">
        <v>779</v>
      </c>
      <c r="R222" s="868"/>
      <c r="S222" s="868"/>
      <c r="T222" s="868"/>
      <c r="U222" s="868" t="s">
        <v>780</v>
      </c>
      <c r="V222" s="868"/>
      <c r="W222" s="868"/>
      <c r="X222" s="868"/>
    </row>
    <row r="223" spans="1:25" x14ac:dyDescent="0.25">
      <c r="A223" s="1"/>
      <c r="B223" s="814"/>
      <c r="C223" s="814"/>
      <c r="D223" s="814"/>
      <c r="E223" s="17" t="s">
        <v>136</v>
      </c>
      <c r="F223" s="17" t="s">
        <v>776</v>
      </c>
      <c r="G223" s="17" t="s">
        <v>138</v>
      </c>
      <c r="H223" s="17" t="s">
        <v>120</v>
      </c>
      <c r="I223" s="17" t="s">
        <v>136</v>
      </c>
      <c r="J223" s="17" t="s">
        <v>776</v>
      </c>
      <c r="K223" s="17" t="s">
        <v>138</v>
      </c>
      <c r="L223" s="17" t="s">
        <v>120</v>
      </c>
      <c r="M223" s="17" t="s">
        <v>136</v>
      </c>
      <c r="N223" s="17" t="s">
        <v>776</v>
      </c>
      <c r="O223" s="17" t="s">
        <v>138</v>
      </c>
      <c r="P223" s="17" t="s">
        <v>120</v>
      </c>
      <c r="Q223" s="17" t="s">
        <v>136</v>
      </c>
      <c r="R223" s="17" t="s">
        <v>776</v>
      </c>
      <c r="S223" s="17" t="s">
        <v>138</v>
      </c>
      <c r="T223" s="17" t="s">
        <v>120</v>
      </c>
      <c r="U223" s="17" t="s">
        <v>136</v>
      </c>
      <c r="V223" s="17" t="s">
        <v>776</v>
      </c>
      <c r="W223" s="17" t="s">
        <v>138</v>
      </c>
      <c r="X223" s="17" t="s">
        <v>120</v>
      </c>
    </row>
    <row r="224" spans="1:25" x14ac:dyDescent="0.25">
      <c r="A224" s="13" t="s">
        <v>139</v>
      </c>
      <c r="B224" s="36">
        <f>B194</f>
        <v>0</v>
      </c>
      <c r="C224" s="36">
        <f>C194</f>
        <v>0</v>
      </c>
      <c r="D224" s="120">
        <f>IFERROR(C224/B224,0)</f>
        <v>0</v>
      </c>
      <c r="E224" s="25" t="e">
        <f>J194</f>
        <v>#DIV/0!</v>
      </c>
      <c r="F224" s="25" t="e">
        <f>K194</f>
        <v>#DIV/0!</v>
      </c>
      <c r="G224" s="25" t="e">
        <f>L194</f>
        <v>#DIV/0!</v>
      </c>
      <c r="H224" s="25" t="e">
        <f>M194</f>
        <v>#DIV/0!</v>
      </c>
      <c r="I224" s="121" t="e">
        <f>V194</f>
        <v>#DIV/0!</v>
      </c>
      <c r="J224" s="121" t="e">
        <f>W194</f>
        <v>#DIV/0!</v>
      </c>
      <c r="K224" s="121" t="e">
        <f>X194</f>
        <v>#DIV/0!</v>
      </c>
      <c r="L224" s="121" t="e">
        <f>Y194</f>
        <v>#DIV/0!</v>
      </c>
      <c r="M224" s="95">
        <f>R194</f>
        <v>0</v>
      </c>
      <c r="N224" s="95">
        <f>S194</f>
        <v>0</v>
      </c>
      <c r="O224" s="95">
        <f>T194</f>
        <v>0</v>
      </c>
      <c r="P224" s="95" t="e">
        <f>U194</f>
        <v>#DIV/0!</v>
      </c>
      <c r="Q224" s="121" t="e">
        <f t="shared" ref="Q224:S248" si="223">M224*I224</f>
        <v>#DIV/0!</v>
      </c>
      <c r="R224" s="121" t="e">
        <f t="shared" si="223"/>
        <v>#DIV/0!</v>
      </c>
      <c r="S224" s="121" t="e">
        <f t="shared" si="223"/>
        <v>#DIV/0!</v>
      </c>
      <c r="T224" s="69" t="e">
        <f>SUM(Q224:S224)</f>
        <v>#DIV/0!</v>
      </c>
      <c r="U224" s="95">
        <f>$R$191-M224</f>
        <v>1.1000000000000001</v>
      </c>
      <c r="V224" s="95">
        <f t="shared" ref="V224:W224" si="224">$R$191-N224</f>
        <v>1.1000000000000001</v>
      </c>
      <c r="W224" s="95">
        <f t="shared" si="224"/>
        <v>1.1000000000000001</v>
      </c>
      <c r="X224" s="69" t="e">
        <f>SUMPRODUCT(U224:W224,E224:G224)</f>
        <v>#DIV/0!</v>
      </c>
    </row>
    <row r="225" spans="1:24" x14ac:dyDescent="0.25">
      <c r="A225" s="13" t="s">
        <v>140</v>
      </c>
      <c r="B225" s="36">
        <f t="shared" ref="B225:C225" si="225">B195</f>
        <v>0</v>
      </c>
      <c r="C225" s="36">
        <f t="shared" si="225"/>
        <v>0</v>
      </c>
      <c r="D225" s="120">
        <f t="shared" ref="D225:D247" si="226">IFERROR(C225/B225,0)</f>
        <v>0</v>
      </c>
      <c r="E225" s="25" t="e">
        <f t="shared" ref="E225:H225" si="227">J195</f>
        <v>#DIV/0!</v>
      </c>
      <c r="F225" s="25" t="e">
        <f t="shared" si="227"/>
        <v>#DIV/0!</v>
      </c>
      <c r="G225" s="25" t="e">
        <f t="shared" si="227"/>
        <v>#DIV/0!</v>
      </c>
      <c r="H225" s="25" t="e">
        <f t="shared" si="227"/>
        <v>#DIV/0!</v>
      </c>
      <c r="I225" s="121" t="e">
        <f t="shared" ref="I225:L225" si="228">V195</f>
        <v>#DIV/0!</v>
      </c>
      <c r="J225" s="121" t="e">
        <f t="shared" si="228"/>
        <v>#DIV/0!</v>
      </c>
      <c r="K225" s="121" t="e">
        <f t="shared" si="228"/>
        <v>#DIV/0!</v>
      </c>
      <c r="L225" s="121" t="e">
        <f t="shared" si="228"/>
        <v>#DIV/0!</v>
      </c>
      <c r="M225" s="95">
        <f t="shared" ref="M225:P225" si="229">R195</f>
        <v>0</v>
      </c>
      <c r="N225" s="95">
        <f t="shared" si="229"/>
        <v>0</v>
      </c>
      <c r="O225" s="95">
        <f t="shared" si="229"/>
        <v>0</v>
      </c>
      <c r="P225" s="95" t="e">
        <f t="shared" si="229"/>
        <v>#DIV/0!</v>
      </c>
      <c r="Q225" s="121" t="e">
        <f t="shared" ref="Q225:Q247" si="230">M225*I225</f>
        <v>#DIV/0!</v>
      </c>
      <c r="R225" s="121" t="e">
        <f t="shared" ref="R225:R247" si="231">N225*J225</f>
        <v>#DIV/0!</v>
      </c>
      <c r="S225" s="121" t="e">
        <f t="shared" ref="S225:S247" si="232">O225*K225</f>
        <v>#DIV/0!</v>
      </c>
      <c r="T225" s="69" t="e">
        <f t="shared" ref="T225:T247" si="233">SUM(Q225:S225)</f>
        <v>#DIV/0!</v>
      </c>
      <c r="U225" s="95">
        <f t="shared" ref="U225:U247" si="234">$R$191-M225</f>
        <v>1.1000000000000001</v>
      </c>
      <c r="V225" s="95">
        <f t="shared" ref="V225:V247" si="235">$R$191-N225</f>
        <v>1.1000000000000001</v>
      </c>
      <c r="W225" s="95">
        <f t="shared" ref="W225:W247" si="236">$R$191-O225</f>
        <v>1.1000000000000001</v>
      </c>
      <c r="X225" s="69" t="e">
        <f t="shared" ref="X225:X247" si="237">SUMPRODUCT(U225:W225,E225:G225)</f>
        <v>#DIV/0!</v>
      </c>
    </row>
    <row r="226" spans="1:24" x14ac:dyDescent="0.25">
      <c r="A226" s="13" t="s">
        <v>141</v>
      </c>
      <c r="B226" s="36">
        <f t="shared" ref="B226:C226" si="238">B196</f>
        <v>0</v>
      </c>
      <c r="C226" s="36">
        <f t="shared" si="238"/>
        <v>0</v>
      </c>
      <c r="D226" s="120">
        <f t="shared" si="226"/>
        <v>0</v>
      </c>
      <c r="E226" s="25" t="e">
        <f t="shared" ref="E226:H226" si="239">J196</f>
        <v>#DIV/0!</v>
      </c>
      <c r="F226" s="25" t="e">
        <f t="shared" si="239"/>
        <v>#DIV/0!</v>
      </c>
      <c r="G226" s="25" t="e">
        <f t="shared" si="239"/>
        <v>#DIV/0!</v>
      </c>
      <c r="H226" s="25" t="e">
        <f t="shared" si="239"/>
        <v>#DIV/0!</v>
      </c>
      <c r="I226" s="121" t="e">
        <f t="shared" ref="I226:L226" si="240">V196</f>
        <v>#DIV/0!</v>
      </c>
      <c r="J226" s="121" t="e">
        <f t="shared" si="240"/>
        <v>#DIV/0!</v>
      </c>
      <c r="K226" s="121" t="e">
        <f t="shared" si="240"/>
        <v>#DIV/0!</v>
      </c>
      <c r="L226" s="121" t="e">
        <f t="shared" si="240"/>
        <v>#DIV/0!</v>
      </c>
      <c r="M226" s="95">
        <f t="shared" ref="M226:P226" si="241">R196</f>
        <v>0</v>
      </c>
      <c r="N226" s="95">
        <f t="shared" si="241"/>
        <v>0</v>
      </c>
      <c r="O226" s="95">
        <f t="shared" si="241"/>
        <v>0</v>
      </c>
      <c r="P226" s="95" t="e">
        <f t="shared" si="241"/>
        <v>#DIV/0!</v>
      </c>
      <c r="Q226" s="121" t="e">
        <f t="shared" si="230"/>
        <v>#DIV/0!</v>
      </c>
      <c r="R226" s="121" t="e">
        <f t="shared" si="231"/>
        <v>#DIV/0!</v>
      </c>
      <c r="S226" s="121" t="e">
        <f t="shared" si="232"/>
        <v>#DIV/0!</v>
      </c>
      <c r="T226" s="69" t="e">
        <f t="shared" si="233"/>
        <v>#DIV/0!</v>
      </c>
      <c r="U226" s="95">
        <f t="shared" si="234"/>
        <v>1.1000000000000001</v>
      </c>
      <c r="V226" s="95">
        <f t="shared" si="235"/>
        <v>1.1000000000000001</v>
      </c>
      <c r="W226" s="95">
        <f t="shared" si="236"/>
        <v>1.1000000000000001</v>
      </c>
      <c r="X226" s="69" t="e">
        <f t="shared" si="237"/>
        <v>#DIV/0!</v>
      </c>
    </row>
    <row r="227" spans="1:24" x14ac:dyDescent="0.25">
      <c r="A227" s="13" t="s">
        <v>142</v>
      </c>
      <c r="B227" s="36">
        <f t="shared" ref="B227:C227" si="242">B197</f>
        <v>0</v>
      </c>
      <c r="C227" s="36">
        <f t="shared" si="242"/>
        <v>0</v>
      </c>
      <c r="D227" s="120">
        <f t="shared" si="226"/>
        <v>0</v>
      </c>
      <c r="E227" s="25" t="e">
        <f t="shared" ref="E227:H227" si="243">J197</f>
        <v>#DIV/0!</v>
      </c>
      <c r="F227" s="25" t="e">
        <f t="shared" si="243"/>
        <v>#DIV/0!</v>
      </c>
      <c r="G227" s="25" t="e">
        <f t="shared" si="243"/>
        <v>#DIV/0!</v>
      </c>
      <c r="H227" s="25" t="e">
        <f t="shared" si="243"/>
        <v>#DIV/0!</v>
      </c>
      <c r="I227" s="121" t="e">
        <f t="shared" ref="I227:L227" si="244">V197</f>
        <v>#DIV/0!</v>
      </c>
      <c r="J227" s="121" t="e">
        <f t="shared" si="244"/>
        <v>#DIV/0!</v>
      </c>
      <c r="K227" s="121" t="e">
        <f t="shared" si="244"/>
        <v>#DIV/0!</v>
      </c>
      <c r="L227" s="121" t="e">
        <f t="shared" si="244"/>
        <v>#DIV/0!</v>
      </c>
      <c r="M227" s="95">
        <f t="shared" ref="M227:P227" si="245">R197</f>
        <v>0</v>
      </c>
      <c r="N227" s="95">
        <f t="shared" si="245"/>
        <v>0</v>
      </c>
      <c r="O227" s="95">
        <f t="shared" si="245"/>
        <v>0</v>
      </c>
      <c r="P227" s="95" t="e">
        <f t="shared" si="245"/>
        <v>#DIV/0!</v>
      </c>
      <c r="Q227" s="121" t="e">
        <f t="shared" si="230"/>
        <v>#DIV/0!</v>
      </c>
      <c r="R227" s="121" t="e">
        <f t="shared" si="231"/>
        <v>#DIV/0!</v>
      </c>
      <c r="S227" s="121" t="e">
        <f t="shared" si="232"/>
        <v>#DIV/0!</v>
      </c>
      <c r="T227" s="69" t="e">
        <f t="shared" si="233"/>
        <v>#DIV/0!</v>
      </c>
      <c r="U227" s="95">
        <f t="shared" si="234"/>
        <v>1.1000000000000001</v>
      </c>
      <c r="V227" s="95">
        <f t="shared" si="235"/>
        <v>1.1000000000000001</v>
      </c>
      <c r="W227" s="95">
        <f t="shared" si="236"/>
        <v>1.1000000000000001</v>
      </c>
      <c r="X227" s="69" t="e">
        <f t="shared" si="237"/>
        <v>#DIV/0!</v>
      </c>
    </row>
    <row r="228" spans="1:24" x14ac:dyDescent="0.25">
      <c r="A228" s="13" t="s">
        <v>143</v>
      </c>
      <c r="B228" s="36">
        <f t="shared" ref="B228:C228" si="246">B198</f>
        <v>0</v>
      </c>
      <c r="C228" s="36">
        <f t="shared" si="246"/>
        <v>0</v>
      </c>
      <c r="D228" s="120">
        <f t="shared" si="226"/>
        <v>0</v>
      </c>
      <c r="E228" s="25" t="e">
        <f t="shared" ref="E228:H228" si="247">J198</f>
        <v>#DIV/0!</v>
      </c>
      <c r="F228" s="25" t="e">
        <f t="shared" si="247"/>
        <v>#DIV/0!</v>
      </c>
      <c r="G228" s="25" t="e">
        <f t="shared" si="247"/>
        <v>#DIV/0!</v>
      </c>
      <c r="H228" s="25" t="e">
        <f t="shared" si="247"/>
        <v>#DIV/0!</v>
      </c>
      <c r="I228" s="121" t="e">
        <f t="shared" ref="I228:L228" si="248">V198</f>
        <v>#DIV/0!</v>
      </c>
      <c r="J228" s="121" t="e">
        <f t="shared" si="248"/>
        <v>#DIV/0!</v>
      </c>
      <c r="K228" s="121" t="e">
        <f t="shared" si="248"/>
        <v>#DIV/0!</v>
      </c>
      <c r="L228" s="121" t="e">
        <f t="shared" si="248"/>
        <v>#DIV/0!</v>
      </c>
      <c r="M228" s="95">
        <f t="shared" ref="M228:P228" si="249">R198</f>
        <v>0</v>
      </c>
      <c r="N228" s="95">
        <f t="shared" si="249"/>
        <v>0</v>
      </c>
      <c r="O228" s="95">
        <f t="shared" si="249"/>
        <v>0</v>
      </c>
      <c r="P228" s="95" t="e">
        <f t="shared" si="249"/>
        <v>#DIV/0!</v>
      </c>
      <c r="Q228" s="121" t="e">
        <f t="shared" si="230"/>
        <v>#DIV/0!</v>
      </c>
      <c r="R228" s="121" t="e">
        <f t="shared" si="231"/>
        <v>#DIV/0!</v>
      </c>
      <c r="S228" s="121" t="e">
        <f t="shared" si="232"/>
        <v>#DIV/0!</v>
      </c>
      <c r="T228" s="69" t="e">
        <f t="shared" si="233"/>
        <v>#DIV/0!</v>
      </c>
      <c r="U228" s="95">
        <f t="shared" si="234"/>
        <v>1.1000000000000001</v>
      </c>
      <c r="V228" s="95">
        <f t="shared" si="235"/>
        <v>1.1000000000000001</v>
      </c>
      <c r="W228" s="95">
        <f t="shared" si="236"/>
        <v>1.1000000000000001</v>
      </c>
      <c r="X228" s="69" t="e">
        <f t="shared" si="237"/>
        <v>#DIV/0!</v>
      </c>
    </row>
    <row r="229" spans="1:24" x14ac:dyDescent="0.25">
      <c r="A229" s="13" t="s">
        <v>144</v>
      </c>
      <c r="B229" s="36">
        <f t="shared" ref="B229:C229" si="250">B199</f>
        <v>0</v>
      </c>
      <c r="C229" s="36">
        <f t="shared" si="250"/>
        <v>0</v>
      </c>
      <c r="D229" s="120">
        <f t="shared" si="226"/>
        <v>0</v>
      </c>
      <c r="E229" s="25" t="e">
        <f t="shared" ref="E229:H229" si="251">J199</f>
        <v>#DIV/0!</v>
      </c>
      <c r="F229" s="25" t="e">
        <f t="shared" si="251"/>
        <v>#DIV/0!</v>
      </c>
      <c r="G229" s="25" t="e">
        <f t="shared" si="251"/>
        <v>#DIV/0!</v>
      </c>
      <c r="H229" s="25" t="e">
        <f t="shared" si="251"/>
        <v>#DIV/0!</v>
      </c>
      <c r="I229" s="121" t="e">
        <f t="shared" ref="I229:L229" si="252">V199</f>
        <v>#DIV/0!</v>
      </c>
      <c r="J229" s="121" t="e">
        <f t="shared" si="252"/>
        <v>#DIV/0!</v>
      </c>
      <c r="K229" s="121" t="e">
        <f t="shared" si="252"/>
        <v>#DIV/0!</v>
      </c>
      <c r="L229" s="121" t="e">
        <f t="shared" si="252"/>
        <v>#DIV/0!</v>
      </c>
      <c r="M229" s="95">
        <f t="shared" ref="M229:P229" si="253">R199</f>
        <v>0</v>
      </c>
      <c r="N229" s="95">
        <f t="shared" si="253"/>
        <v>0</v>
      </c>
      <c r="O229" s="95">
        <f t="shared" si="253"/>
        <v>0</v>
      </c>
      <c r="P229" s="95" t="e">
        <f t="shared" si="253"/>
        <v>#DIV/0!</v>
      </c>
      <c r="Q229" s="121" t="e">
        <f t="shared" si="230"/>
        <v>#DIV/0!</v>
      </c>
      <c r="R229" s="121" t="e">
        <f t="shared" si="231"/>
        <v>#DIV/0!</v>
      </c>
      <c r="S229" s="121" t="e">
        <f t="shared" si="232"/>
        <v>#DIV/0!</v>
      </c>
      <c r="T229" s="69" t="e">
        <f t="shared" si="233"/>
        <v>#DIV/0!</v>
      </c>
      <c r="U229" s="95">
        <f t="shared" si="234"/>
        <v>1.1000000000000001</v>
      </c>
      <c r="V229" s="95">
        <f t="shared" si="235"/>
        <v>1.1000000000000001</v>
      </c>
      <c r="W229" s="95">
        <f t="shared" si="236"/>
        <v>1.1000000000000001</v>
      </c>
      <c r="X229" s="69" t="e">
        <f t="shared" si="237"/>
        <v>#DIV/0!</v>
      </c>
    </row>
    <row r="230" spans="1:24" x14ac:dyDescent="0.25">
      <c r="A230" s="13" t="s">
        <v>145</v>
      </c>
      <c r="B230" s="36">
        <f t="shared" ref="B230:C230" si="254">B200</f>
        <v>0</v>
      </c>
      <c r="C230" s="36">
        <f t="shared" si="254"/>
        <v>0</v>
      </c>
      <c r="D230" s="120">
        <f t="shared" si="226"/>
        <v>0</v>
      </c>
      <c r="E230" s="25" t="e">
        <f t="shared" ref="E230:H230" si="255">J200</f>
        <v>#DIV/0!</v>
      </c>
      <c r="F230" s="25" t="e">
        <f t="shared" si="255"/>
        <v>#DIV/0!</v>
      </c>
      <c r="G230" s="25" t="e">
        <f t="shared" si="255"/>
        <v>#DIV/0!</v>
      </c>
      <c r="H230" s="25" t="e">
        <f t="shared" si="255"/>
        <v>#DIV/0!</v>
      </c>
      <c r="I230" s="121" t="e">
        <f t="shared" ref="I230:L230" si="256">V200</f>
        <v>#DIV/0!</v>
      </c>
      <c r="J230" s="121" t="e">
        <f t="shared" si="256"/>
        <v>#DIV/0!</v>
      </c>
      <c r="K230" s="121" t="e">
        <f t="shared" si="256"/>
        <v>#DIV/0!</v>
      </c>
      <c r="L230" s="121" t="e">
        <f t="shared" si="256"/>
        <v>#DIV/0!</v>
      </c>
      <c r="M230" s="95">
        <f t="shared" ref="M230:P230" si="257">R200</f>
        <v>0</v>
      </c>
      <c r="N230" s="95">
        <f t="shared" si="257"/>
        <v>0</v>
      </c>
      <c r="O230" s="95">
        <f t="shared" si="257"/>
        <v>0</v>
      </c>
      <c r="P230" s="95" t="e">
        <f t="shared" si="257"/>
        <v>#DIV/0!</v>
      </c>
      <c r="Q230" s="121" t="e">
        <f t="shared" si="230"/>
        <v>#DIV/0!</v>
      </c>
      <c r="R230" s="121" t="e">
        <f t="shared" si="231"/>
        <v>#DIV/0!</v>
      </c>
      <c r="S230" s="121" t="e">
        <f t="shared" si="232"/>
        <v>#DIV/0!</v>
      </c>
      <c r="T230" s="69" t="e">
        <f t="shared" si="233"/>
        <v>#DIV/0!</v>
      </c>
      <c r="U230" s="95">
        <f t="shared" si="234"/>
        <v>1.1000000000000001</v>
      </c>
      <c r="V230" s="95">
        <f t="shared" si="235"/>
        <v>1.1000000000000001</v>
      </c>
      <c r="W230" s="95">
        <f t="shared" si="236"/>
        <v>1.1000000000000001</v>
      </c>
      <c r="X230" s="69" t="e">
        <f t="shared" si="237"/>
        <v>#DIV/0!</v>
      </c>
    </row>
    <row r="231" spans="1:24" x14ac:dyDescent="0.25">
      <c r="A231" s="13" t="s">
        <v>146</v>
      </c>
      <c r="B231" s="36">
        <f t="shared" ref="B231:C231" si="258">B201</f>
        <v>0</v>
      </c>
      <c r="C231" s="36">
        <f t="shared" si="258"/>
        <v>0</v>
      </c>
      <c r="D231" s="120">
        <f t="shared" si="226"/>
        <v>0</v>
      </c>
      <c r="E231" s="25" t="e">
        <f t="shared" ref="E231:H231" si="259">J201</f>
        <v>#DIV/0!</v>
      </c>
      <c r="F231" s="25" t="e">
        <f t="shared" si="259"/>
        <v>#DIV/0!</v>
      </c>
      <c r="G231" s="25" t="e">
        <f t="shared" si="259"/>
        <v>#DIV/0!</v>
      </c>
      <c r="H231" s="25" t="e">
        <f t="shared" si="259"/>
        <v>#DIV/0!</v>
      </c>
      <c r="I231" s="121" t="e">
        <f t="shared" ref="I231:L231" si="260">V201</f>
        <v>#DIV/0!</v>
      </c>
      <c r="J231" s="121" t="e">
        <f t="shared" si="260"/>
        <v>#DIV/0!</v>
      </c>
      <c r="K231" s="121" t="e">
        <f t="shared" si="260"/>
        <v>#DIV/0!</v>
      </c>
      <c r="L231" s="121" t="e">
        <f t="shared" si="260"/>
        <v>#DIV/0!</v>
      </c>
      <c r="M231" s="95">
        <f t="shared" ref="M231:P231" si="261">R201</f>
        <v>0</v>
      </c>
      <c r="N231" s="95">
        <f t="shared" si="261"/>
        <v>0</v>
      </c>
      <c r="O231" s="95">
        <f t="shared" si="261"/>
        <v>0</v>
      </c>
      <c r="P231" s="95" t="e">
        <f t="shared" si="261"/>
        <v>#DIV/0!</v>
      </c>
      <c r="Q231" s="121" t="e">
        <f t="shared" si="230"/>
        <v>#DIV/0!</v>
      </c>
      <c r="R231" s="121" t="e">
        <f t="shared" si="231"/>
        <v>#DIV/0!</v>
      </c>
      <c r="S231" s="121" t="e">
        <f t="shared" si="232"/>
        <v>#DIV/0!</v>
      </c>
      <c r="T231" s="69" t="e">
        <f t="shared" si="233"/>
        <v>#DIV/0!</v>
      </c>
      <c r="U231" s="95">
        <f t="shared" si="234"/>
        <v>1.1000000000000001</v>
      </c>
      <c r="V231" s="95">
        <f t="shared" si="235"/>
        <v>1.1000000000000001</v>
      </c>
      <c r="W231" s="95">
        <f t="shared" si="236"/>
        <v>1.1000000000000001</v>
      </c>
      <c r="X231" s="69" t="e">
        <f t="shared" si="237"/>
        <v>#DIV/0!</v>
      </c>
    </row>
    <row r="232" spans="1:24" x14ac:dyDescent="0.25">
      <c r="A232" s="13" t="s">
        <v>147</v>
      </c>
      <c r="B232" s="36">
        <f t="shared" ref="B232:C232" si="262">B202</f>
        <v>0</v>
      </c>
      <c r="C232" s="36">
        <f t="shared" si="262"/>
        <v>0</v>
      </c>
      <c r="D232" s="120">
        <f t="shared" si="226"/>
        <v>0</v>
      </c>
      <c r="E232" s="25" t="e">
        <f t="shared" ref="E232:H232" si="263">J202</f>
        <v>#DIV/0!</v>
      </c>
      <c r="F232" s="25" t="e">
        <f t="shared" si="263"/>
        <v>#DIV/0!</v>
      </c>
      <c r="G232" s="25" t="e">
        <f t="shared" si="263"/>
        <v>#DIV/0!</v>
      </c>
      <c r="H232" s="25" t="e">
        <f t="shared" si="263"/>
        <v>#DIV/0!</v>
      </c>
      <c r="I232" s="121" t="e">
        <f t="shared" ref="I232:L232" si="264">V202</f>
        <v>#DIV/0!</v>
      </c>
      <c r="J232" s="121" t="e">
        <f t="shared" si="264"/>
        <v>#DIV/0!</v>
      </c>
      <c r="K232" s="121" t="e">
        <f t="shared" si="264"/>
        <v>#DIV/0!</v>
      </c>
      <c r="L232" s="121" t="e">
        <f t="shared" si="264"/>
        <v>#DIV/0!</v>
      </c>
      <c r="M232" s="95">
        <f t="shared" ref="M232:P232" si="265">R202</f>
        <v>0</v>
      </c>
      <c r="N232" s="95">
        <f t="shared" si="265"/>
        <v>0</v>
      </c>
      <c r="O232" s="95">
        <f t="shared" si="265"/>
        <v>0</v>
      </c>
      <c r="P232" s="95" t="e">
        <f t="shared" si="265"/>
        <v>#DIV/0!</v>
      </c>
      <c r="Q232" s="121" t="e">
        <f t="shared" si="230"/>
        <v>#DIV/0!</v>
      </c>
      <c r="R232" s="121" t="e">
        <f t="shared" si="231"/>
        <v>#DIV/0!</v>
      </c>
      <c r="S232" s="121" t="e">
        <f t="shared" si="232"/>
        <v>#DIV/0!</v>
      </c>
      <c r="T232" s="69" t="e">
        <f t="shared" si="233"/>
        <v>#DIV/0!</v>
      </c>
      <c r="U232" s="95">
        <f t="shared" si="234"/>
        <v>1.1000000000000001</v>
      </c>
      <c r="V232" s="95">
        <f t="shared" si="235"/>
        <v>1.1000000000000001</v>
      </c>
      <c r="W232" s="95">
        <f t="shared" si="236"/>
        <v>1.1000000000000001</v>
      </c>
      <c r="X232" s="69" t="e">
        <f t="shared" si="237"/>
        <v>#DIV/0!</v>
      </c>
    </row>
    <row r="233" spans="1:24" x14ac:dyDescent="0.25">
      <c r="A233" s="13" t="s">
        <v>148</v>
      </c>
      <c r="B233" s="36">
        <f t="shared" ref="B233:C233" si="266">B203</f>
        <v>0</v>
      </c>
      <c r="C233" s="36">
        <f t="shared" si="266"/>
        <v>0</v>
      </c>
      <c r="D233" s="120">
        <f t="shared" si="226"/>
        <v>0</v>
      </c>
      <c r="E233" s="25" t="e">
        <f t="shared" ref="E233:H233" si="267">J203</f>
        <v>#DIV/0!</v>
      </c>
      <c r="F233" s="25" t="e">
        <f t="shared" si="267"/>
        <v>#DIV/0!</v>
      </c>
      <c r="G233" s="25" t="e">
        <f t="shared" si="267"/>
        <v>#DIV/0!</v>
      </c>
      <c r="H233" s="25" t="e">
        <f t="shared" si="267"/>
        <v>#DIV/0!</v>
      </c>
      <c r="I233" s="121" t="e">
        <f t="shared" ref="I233:L233" si="268">V203</f>
        <v>#DIV/0!</v>
      </c>
      <c r="J233" s="121" t="e">
        <f t="shared" si="268"/>
        <v>#DIV/0!</v>
      </c>
      <c r="K233" s="121" t="e">
        <f t="shared" si="268"/>
        <v>#DIV/0!</v>
      </c>
      <c r="L233" s="121" t="e">
        <f t="shared" si="268"/>
        <v>#DIV/0!</v>
      </c>
      <c r="M233" s="95">
        <f t="shared" ref="M233:P233" si="269">R203</f>
        <v>0</v>
      </c>
      <c r="N233" s="95">
        <f t="shared" si="269"/>
        <v>0</v>
      </c>
      <c r="O233" s="95">
        <f t="shared" si="269"/>
        <v>0</v>
      </c>
      <c r="P233" s="95" t="e">
        <f t="shared" si="269"/>
        <v>#DIV/0!</v>
      </c>
      <c r="Q233" s="121" t="e">
        <f t="shared" si="230"/>
        <v>#DIV/0!</v>
      </c>
      <c r="R233" s="121" t="e">
        <f t="shared" si="231"/>
        <v>#DIV/0!</v>
      </c>
      <c r="S233" s="121" t="e">
        <f t="shared" si="232"/>
        <v>#DIV/0!</v>
      </c>
      <c r="T233" s="69" t="e">
        <f t="shared" si="233"/>
        <v>#DIV/0!</v>
      </c>
      <c r="U233" s="95">
        <f t="shared" si="234"/>
        <v>1.1000000000000001</v>
      </c>
      <c r="V233" s="95">
        <f t="shared" si="235"/>
        <v>1.1000000000000001</v>
      </c>
      <c r="W233" s="95">
        <f t="shared" si="236"/>
        <v>1.1000000000000001</v>
      </c>
      <c r="X233" s="69" t="e">
        <f t="shared" si="237"/>
        <v>#DIV/0!</v>
      </c>
    </row>
    <row r="234" spans="1:24" x14ac:dyDescent="0.25">
      <c r="A234" s="13" t="s">
        <v>149</v>
      </c>
      <c r="B234" s="36">
        <f t="shared" ref="B234:C234" si="270">B204</f>
        <v>0</v>
      </c>
      <c r="C234" s="36">
        <f t="shared" si="270"/>
        <v>0</v>
      </c>
      <c r="D234" s="120">
        <f t="shared" si="226"/>
        <v>0</v>
      </c>
      <c r="E234" s="25" t="e">
        <f t="shared" ref="E234:H234" si="271">J204</f>
        <v>#DIV/0!</v>
      </c>
      <c r="F234" s="25" t="e">
        <f t="shared" si="271"/>
        <v>#DIV/0!</v>
      </c>
      <c r="G234" s="25" t="e">
        <f t="shared" si="271"/>
        <v>#DIV/0!</v>
      </c>
      <c r="H234" s="25" t="e">
        <f t="shared" si="271"/>
        <v>#DIV/0!</v>
      </c>
      <c r="I234" s="121" t="e">
        <f t="shared" ref="I234:L234" si="272">V204</f>
        <v>#DIV/0!</v>
      </c>
      <c r="J234" s="121" t="e">
        <f t="shared" si="272"/>
        <v>#DIV/0!</v>
      </c>
      <c r="K234" s="121" t="e">
        <f t="shared" si="272"/>
        <v>#DIV/0!</v>
      </c>
      <c r="L234" s="121" t="e">
        <f t="shared" si="272"/>
        <v>#DIV/0!</v>
      </c>
      <c r="M234" s="95">
        <f t="shared" ref="M234:P234" si="273">R204</f>
        <v>0</v>
      </c>
      <c r="N234" s="95">
        <f t="shared" si="273"/>
        <v>0</v>
      </c>
      <c r="O234" s="95">
        <f t="shared" si="273"/>
        <v>0</v>
      </c>
      <c r="P234" s="95" t="e">
        <f t="shared" si="273"/>
        <v>#DIV/0!</v>
      </c>
      <c r="Q234" s="121" t="e">
        <f t="shared" si="230"/>
        <v>#DIV/0!</v>
      </c>
      <c r="R234" s="121" t="e">
        <f t="shared" si="231"/>
        <v>#DIV/0!</v>
      </c>
      <c r="S234" s="121" t="e">
        <f t="shared" si="232"/>
        <v>#DIV/0!</v>
      </c>
      <c r="T234" s="69" t="e">
        <f t="shared" si="233"/>
        <v>#DIV/0!</v>
      </c>
      <c r="U234" s="95">
        <f t="shared" si="234"/>
        <v>1.1000000000000001</v>
      </c>
      <c r="V234" s="95">
        <f t="shared" si="235"/>
        <v>1.1000000000000001</v>
      </c>
      <c r="W234" s="95">
        <f t="shared" si="236"/>
        <v>1.1000000000000001</v>
      </c>
      <c r="X234" s="69" t="e">
        <f t="shared" si="237"/>
        <v>#DIV/0!</v>
      </c>
    </row>
    <row r="235" spans="1:24" x14ac:dyDescent="0.25">
      <c r="A235" s="13" t="s">
        <v>150</v>
      </c>
      <c r="B235" s="36">
        <f t="shared" ref="B235:C235" si="274">B205</f>
        <v>0</v>
      </c>
      <c r="C235" s="36">
        <f t="shared" si="274"/>
        <v>0</v>
      </c>
      <c r="D235" s="120">
        <f t="shared" si="226"/>
        <v>0</v>
      </c>
      <c r="E235" s="25" t="e">
        <f t="shared" ref="E235:H235" si="275">J205</f>
        <v>#DIV/0!</v>
      </c>
      <c r="F235" s="25" t="e">
        <f t="shared" si="275"/>
        <v>#DIV/0!</v>
      </c>
      <c r="G235" s="25" t="e">
        <f t="shared" si="275"/>
        <v>#DIV/0!</v>
      </c>
      <c r="H235" s="25" t="e">
        <f t="shared" si="275"/>
        <v>#DIV/0!</v>
      </c>
      <c r="I235" s="121" t="e">
        <f t="shared" ref="I235:L235" si="276">V205</f>
        <v>#DIV/0!</v>
      </c>
      <c r="J235" s="121" t="e">
        <f t="shared" si="276"/>
        <v>#DIV/0!</v>
      </c>
      <c r="K235" s="121" t="e">
        <f t="shared" si="276"/>
        <v>#DIV/0!</v>
      </c>
      <c r="L235" s="121" t="e">
        <f t="shared" si="276"/>
        <v>#DIV/0!</v>
      </c>
      <c r="M235" s="95">
        <f t="shared" ref="M235:P235" si="277">R205</f>
        <v>0</v>
      </c>
      <c r="N235" s="95">
        <f t="shared" si="277"/>
        <v>0</v>
      </c>
      <c r="O235" s="95">
        <f t="shared" si="277"/>
        <v>0</v>
      </c>
      <c r="P235" s="95" t="e">
        <f t="shared" si="277"/>
        <v>#DIV/0!</v>
      </c>
      <c r="Q235" s="121" t="e">
        <f t="shared" si="230"/>
        <v>#DIV/0!</v>
      </c>
      <c r="R235" s="121" t="e">
        <f t="shared" si="231"/>
        <v>#DIV/0!</v>
      </c>
      <c r="S235" s="121" t="e">
        <f t="shared" si="232"/>
        <v>#DIV/0!</v>
      </c>
      <c r="T235" s="69" t="e">
        <f t="shared" si="233"/>
        <v>#DIV/0!</v>
      </c>
      <c r="U235" s="95">
        <f t="shared" si="234"/>
        <v>1.1000000000000001</v>
      </c>
      <c r="V235" s="95">
        <f t="shared" si="235"/>
        <v>1.1000000000000001</v>
      </c>
      <c r="W235" s="95">
        <f t="shared" si="236"/>
        <v>1.1000000000000001</v>
      </c>
      <c r="X235" s="69" t="e">
        <f t="shared" si="237"/>
        <v>#DIV/0!</v>
      </c>
    </row>
    <row r="236" spans="1:24" x14ac:dyDescent="0.25">
      <c r="A236" s="13" t="s">
        <v>151</v>
      </c>
      <c r="B236" s="36">
        <f t="shared" ref="B236:C236" si="278">B206</f>
        <v>0</v>
      </c>
      <c r="C236" s="36">
        <f t="shared" si="278"/>
        <v>0</v>
      </c>
      <c r="D236" s="120">
        <f t="shared" si="226"/>
        <v>0</v>
      </c>
      <c r="E236" s="25" t="e">
        <f t="shared" ref="E236:H236" si="279">J206</f>
        <v>#DIV/0!</v>
      </c>
      <c r="F236" s="25" t="e">
        <f t="shared" si="279"/>
        <v>#DIV/0!</v>
      </c>
      <c r="G236" s="25" t="e">
        <f t="shared" si="279"/>
        <v>#DIV/0!</v>
      </c>
      <c r="H236" s="25" t="e">
        <f t="shared" si="279"/>
        <v>#DIV/0!</v>
      </c>
      <c r="I236" s="121" t="e">
        <f t="shared" ref="I236:L236" si="280">V206</f>
        <v>#DIV/0!</v>
      </c>
      <c r="J236" s="121" t="e">
        <f t="shared" si="280"/>
        <v>#DIV/0!</v>
      </c>
      <c r="K236" s="121" t="e">
        <f t="shared" si="280"/>
        <v>#DIV/0!</v>
      </c>
      <c r="L236" s="121" t="e">
        <f t="shared" si="280"/>
        <v>#DIV/0!</v>
      </c>
      <c r="M236" s="95">
        <f t="shared" ref="M236:P236" si="281">R206</f>
        <v>0</v>
      </c>
      <c r="N236" s="95">
        <f t="shared" si="281"/>
        <v>0</v>
      </c>
      <c r="O236" s="95">
        <f t="shared" si="281"/>
        <v>0</v>
      </c>
      <c r="P236" s="95" t="e">
        <f t="shared" si="281"/>
        <v>#DIV/0!</v>
      </c>
      <c r="Q236" s="121" t="e">
        <f t="shared" si="230"/>
        <v>#DIV/0!</v>
      </c>
      <c r="R236" s="121" t="e">
        <f t="shared" si="231"/>
        <v>#DIV/0!</v>
      </c>
      <c r="S236" s="121" t="e">
        <f t="shared" si="232"/>
        <v>#DIV/0!</v>
      </c>
      <c r="T236" s="69" t="e">
        <f t="shared" si="233"/>
        <v>#DIV/0!</v>
      </c>
      <c r="U236" s="95">
        <f t="shared" si="234"/>
        <v>1.1000000000000001</v>
      </c>
      <c r="V236" s="95">
        <f t="shared" si="235"/>
        <v>1.1000000000000001</v>
      </c>
      <c r="W236" s="95">
        <f t="shared" si="236"/>
        <v>1.1000000000000001</v>
      </c>
      <c r="X236" s="69" t="e">
        <f t="shared" si="237"/>
        <v>#DIV/0!</v>
      </c>
    </row>
    <row r="237" spans="1:24" x14ac:dyDescent="0.25">
      <c r="A237" s="13" t="s">
        <v>152</v>
      </c>
      <c r="B237" s="36">
        <f t="shared" ref="B237:C237" si="282">B207</f>
        <v>0</v>
      </c>
      <c r="C237" s="36">
        <f t="shared" si="282"/>
        <v>0</v>
      </c>
      <c r="D237" s="120">
        <f t="shared" si="226"/>
        <v>0</v>
      </c>
      <c r="E237" s="25" t="e">
        <f t="shared" ref="E237:H237" si="283">J207</f>
        <v>#DIV/0!</v>
      </c>
      <c r="F237" s="25" t="e">
        <f t="shared" si="283"/>
        <v>#DIV/0!</v>
      </c>
      <c r="G237" s="25" t="e">
        <f t="shared" si="283"/>
        <v>#DIV/0!</v>
      </c>
      <c r="H237" s="25" t="e">
        <f t="shared" si="283"/>
        <v>#DIV/0!</v>
      </c>
      <c r="I237" s="121" t="e">
        <f t="shared" ref="I237:L237" si="284">V207</f>
        <v>#DIV/0!</v>
      </c>
      <c r="J237" s="121" t="e">
        <f t="shared" si="284"/>
        <v>#DIV/0!</v>
      </c>
      <c r="K237" s="121" t="e">
        <f t="shared" si="284"/>
        <v>#DIV/0!</v>
      </c>
      <c r="L237" s="121" t="e">
        <f t="shared" si="284"/>
        <v>#DIV/0!</v>
      </c>
      <c r="M237" s="95">
        <f t="shared" ref="M237:P237" si="285">R207</f>
        <v>0</v>
      </c>
      <c r="N237" s="95">
        <f t="shared" si="285"/>
        <v>0</v>
      </c>
      <c r="O237" s="95">
        <f t="shared" si="285"/>
        <v>0</v>
      </c>
      <c r="P237" s="95" t="e">
        <f t="shared" si="285"/>
        <v>#DIV/0!</v>
      </c>
      <c r="Q237" s="121" t="e">
        <f t="shared" si="230"/>
        <v>#DIV/0!</v>
      </c>
      <c r="R237" s="121" t="e">
        <f t="shared" si="231"/>
        <v>#DIV/0!</v>
      </c>
      <c r="S237" s="121" t="e">
        <f t="shared" si="232"/>
        <v>#DIV/0!</v>
      </c>
      <c r="T237" s="69" t="e">
        <f t="shared" si="233"/>
        <v>#DIV/0!</v>
      </c>
      <c r="U237" s="95">
        <f t="shared" si="234"/>
        <v>1.1000000000000001</v>
      </c>
      <c r="V237" s="95">
        <f t="shared" si="235"/>
        <v>1.1000000000000001</v>
      </c>
      <c r="W237" s="95">
        <f t="shared" si="236"/>
        <v>1.1000000000000001</v>
      </c>
      <c r="X237" s="69" t="e">
        <f t="shared" si="237"/>
        <v>#DIV/0!</v>
      </c>
    </row>
    <row r="238" spans="1:24" x14ac:dyDescent="0.25">
      <c r="A238" s="13" t="s">
        <v>162</v>
      </c>
      <c r="B238" s="36">
        <f t="shared" ref="B238:C238" si="286">B208</f>
        <v>0</v>
      </c>
      <c r="C238" s="36">
        <f t="shared" si="286"/>
        <v>0</v>
      </c>
      <c r="D238" s="120">
        <f t="shared" si="226"/>
        <v>0</v>
      </c>
      <c r="E238" s="25" t="e">
        <f t="shared" ref="E238:H238" si="287">J208</f>
        <v>#DIV/0!</v>
      </c>
      <c r="F238" s="25" t="e">
        <f t="shared" si="287"/>
        <v>#DIV/0!</v>
      </c>
      <c r="G238" s="25" t="e">
        <f t="shared" si="287"/>
        <v>#DIV/0!</v>
      </c>
      <c r="H238" s="25" t="e">
        <f t="shared" si="287"/>
        <v>#DIV/0!</v>
      </c>
      <c r="I238" s="121" t="e">
        <f t="shared" ref="I238:L238" si="288">V208</f>
        <v>#DIV/0!</v>
      </c>
      <c r="J238" s="121" t="e">
        <f t="shared" si="288"/>
        <v>#DIV/0!</v>
      </c>
      <c r="K238" s="121" t="e">
        <f t="shared" si="288"/>
        <v>#DIV/0!</v>
      </c>
      <c r="L238" s="121" t="e">
        <f t="shared" si="288"/>
        <v>#DIV/0!</v>
      </c>
      <c r="M238" s="95">
        <f t="shared" ref="M238:P238" si="289">R208</f>
        <v>0</v>
      </c>
      <c r="N238" s="95">
        <f t="shared" si="289"/>
        <v>0</v>
      </c>
      <c r="O238" s="95">
        <f t="shared" si="289"/>
        <v>0</v>
      </c>
      <c r="P238" s="95" t="e">
        <f t="shared" si="289"/>
        <v>#DIV/0!</v>
      </c>
      <c r="Q238" s="121" t="e">
        <f t="shared" si="230"/>
        <v>#DIV/0!</v>
      </c>
      <c r="R238" s="121" t="e">
        <f t="shared" si="231"/>
        <v>#DIV/0!</v>
      </c>
      <c r="S238" s="121" t="e">
        <f t="shared" si="232"/>
        <v>#DIV/0!</v>
      </c>
      <c r="T238" s="69" t="e">
        <f t="shared" si="233"/>
        <v>#DIV/0!</v>
      </c>
      <c r="U238" s="95">
        <f t="shared" si="234"/>
        <v>1.1000000000000001</v>
      </c>
      <c r="V238" s="95">
        <f t="shared" si="235"/>
        <v>1.1000000000000001</v>
      </c>
      <c r="W238" s="95">
        <f t="shared" si="236"/>
        <v>1.1000000000000001</v>
      </c>
      <c r="X238" s="69" t="e">
        <f t="shared" si="237"/>
        <v>#DIV/0!</v>
      </c>
    </row>
    <row r="239" spans="1:24" x14ac:dyDescent="0.25">
      <c r="A239" s="13" t="s">
        <v>154</v>
      </c>
      <c r="B239" s="36">
        <f t="shared" ref="B239:C239" si="290">B209</f>
        <v>0</v>
      </c>
      <c r="C239" s="36">
        <f t="shared" si="290"/>
        <v>0</v>
      </c>
      <c r="D239" s="120">
        <f t="shared" si="226"/>
        <v>0</v>
      </c>
      <c r="E239" s="25" t="e">
        <f t="shared" ref="E239:H239" si="291">J209</f>
        <v>#DIV/0!</v>
      </c>
      <c r="F239" s="25" t="e">
        <f t="shared" si="291"/>
        <v>#DIV/0!</v>
      </c>
      <c r="G239" s="25" t="e">
        <f t="shared" si="291"/>
        <v>#DIV/0!</v>
      </c>
      <c r="H239" s="25" t="e">
        <f t="shared" si="291"/>
        <v>#DIV/0!</v>
      </c>
      <c r="I239" s="121" t="e">
        <f t="shared" ref="I239:L239" si="292">V209</f>
        <v>#DIV/0!</v>
      </c>
      <c r="J239" s="121" t="e">
        <f t="shared" si="292"/>
        <v>#DIV/0!</v>
      </c>
      <c r="K239" s="121" t="e">
        <f t="shared" si="292"/>
        <v>#DIV/0!</v>
      </c>
      <c r="L239" s="121" t="e">
        <f t="shared" si="292"/>
        <v>#DIV/0!</v>
      </c>
      <c r="M239" s="95">
        <f t="shared" ref="M239:P239" si="293">R209</f>
        <v>0</v>
      </c>
      <c r="N239" s="95">
        <f t="shared" si="293"/>
        <v>0</v>
      </c>
      <c r="O239" s="95">
        <f t="shared" si="293"/>
        <v>0</v>
      </c>
      <c r="P239" s="95" t="e">
        <f t="shared" si="293"/>
        <v>#DIV/0!</v>
      </c>
      <c r="Q239" s="121" t="e">
        <f t="shared" si="230"/>
        <v>#DIV/0!</v>
      </c>
      <c r="R239" s="121" t="e">
        <f t="shared" si="231"/>
        <v>#DIV/0!</v>
      </c>
      <c r="S239" s="121" t="e">
        <f t="shared" si="232"/>
        <v>#DIV/0!</v>
      </c>
      <c r="T239" s="69" t="e">
        <f t="shared" si="233"/>
        <v>#DIV/0!</v>
      </c>
      <c r="U239" s="95">
        <f t="shared" si="234"/>
        <v>1.1000000000000001</v>
      </c>
      <c r="V239" s="95">
        <f t="shared" si="235"/>
        <v>1.1000000000000001</v>
      </c>
      <c r="W239" s="95">
        <f t="shared" si="236"/>
        <v>1.1000000000000001</v>
      </c>
      <c r="X239" s="69" t="e">
        <f t="shared" si="237"/>
        <v>#DIV/0!</v>
      </c>
    </row>
    <row r="240" spans="1:24" x14ac:dyDescent="0.25">
      <c r="A240" s="13" t="s">
        <v>155</v>
      </c>
      <c r="B240" s="36">
        <f t="shared" ref="B240:C240" si="294">B210</f>
        <v>0</v>
      </c>
      <c r="C240" s="36">
        <f t="shared" si="294"/>
        <v>0</v>
      </c>
      <c r="D240" s="120">
        <f t="shared" si="226"/>
        <v>0</v>
      </c>
      <c r="E240" s="25" t="e">
        <f t="shared" ref="E240:H240" si="295">J210</f>
        <v>#DIV/0!</v>
      </c>
      <c r="F240" s="25" t="e">
        <f t="shared" si="295"/>
        <v>#DIV/0!</v>
      </c>
      <c r="G240" s="25" t="e">
        <f t="shared" si="295"/>
        <v>#DIV/0!</v>
      </c>
      <c r="H240" s="25" t="e">
        <f t="shared" si="295"/>
        <v>#DIV/0!</v>
      </c>
      <c r="I240" s="121" t="e">
        <f t="shared" ref="I240:L240" si="296">V210</f>
        <v>#DIV/0!</v>
      </c>
      <c r="J240" s="121" t="e">
        <f t="shared" si="296"/>
        <v>#DIV/0!</v>
      </c>
      <c r="K240" s="121" t="e">
        <f t="shared" si="296"/>
        <v>#DIV/0!</v>
      </c>
      <c r="L240" s="121" t="e">
        <f t="shared" si="296"/>
        <v>#DIV/0!</v>
      </c>
      <c r="M240" s="95">
        <f t="shared" ref="M240:P240" si="297">R210</f>
        <v>0</v>
      </c>
      <c r="N240" s="95">
        <f t="shared" si="297"/>
        <v>0</v>
      </c>
      <c r="O240" s="95">
        <f t="shared" si="297"/>
        <v>0</v>
      </c>
      <c r="P240" s="95" t="e">
        <f t="shared" si="297"/>
        <v>#DIV/0!</v>
      </c>
      <c r="Q240" s="121" t="e">
        <f t="shared" si="230"/>
        <v>#DIV/0!</v>
      </c>
      <c r="R240" s="121" t="e">
        <f t="shared" si="231"/>
        <v>#DIV/0!</v>
      </c>
      <c r="S240" s="121" t="e">
        <f t="shared" si="232"/>
        <v>#DIV/0!</v>
      </c>
      <c r="T240" s="69" t="e">
        <f t="shared" si="233"/>
        <v>#DIV/0!</v>
      </c>
      <c r="U240" s="95">
        <f t="shared" si="234"/>
        <v>1.1000000000000001</v>
      </c>
      <c r="V240" s="95">
        <f t="shared" si="235"/>
        <v>1.1000000000000001</v>
      </c>
      <c r="W240" s="95">
        <f t="shared" si="236"/>
        <v>1.1000000000000001</v>
      </c>
      <c r="X240" s="69" t="e">
        <f t="shared" si="237"/>
        <v>#DIV/0!</v>
      </c>
    </row>
    <row r="241" spans="1:24" x14ac:dyDescent="0.25">
      <c r="A241" s="13" t="s">
        <v>156</v>
      </c>
      <c r="B241" s="36">
        <f t="shared" ref="B241:C241" si="298">B211</f>
        <v>0</v>
      </c>
      <c r="C241" s="36">
        <f t="shared" si="298"/>
        <v>0</v>
      </c>
      <c r="D241" s="120">
        <f t="shared" si="226"/>
        <v>0</v>
      </c>
      <c r="E241" s="25" t="e">
        <f t="shared" ref="E241:H241" si="299">J211</f>
        <v>#DIV/0!</v>
      </c>
      <c r="F241" s="25" t="e">
        <f t="shared" si="299"/>
        <v>#DIV/0!</v>
      </c>
      <c r="G241" s="25" t="e">
        <f t="shared" si="299"/>
        <v>#DIV/0!</v>
      </c>
      <c r="H241" s="25" t="e">
        <f t="shared" si="299"/>
        <v>#DIV/0!</v>
      </c>
      <c r="I241" s="121" t="e">
        <f t="shared" ref="I241:L241" si="300">V211</f>
        <v>#DIV/0!</v>
      </c>
      <c r="J241" s="121" t="e">
        <f t="shared" si="300"/>
        <v>#DIV/0!</v>
      </c>
      <c r="K241" s="121" t="e">
        <f t="shared" si="300"/>
        <v>#DIV/0!</v>
      </c>
      <c r="L241" s="121" t="e">
        <f t="shared" si="300"/>
        <v>#DIV/0!</v>
      </c>
      <c r="M241" s="95">
        <f t="shared" ref="M241:P241" si="301">R211</f>
        <v>0</v>
      </c>
      <c r="N241" s="95">
        <f t="shared" si="301"/>
        <v>0</v>
      </c>
      <c r="O241" s="95">
        <f t="shared" si="301"/>
        <v>0</v>
      </c>
      <c r="P241" s="95" t="e">
        <f t="shared" si="301"/>
        <v>#DIV/0!</v>
      </c>
      <c r="Q241" s="121" t="e">
        <f t="shared" si="230"/>
        <v>#DIV/0!</v>
      </c>
      <c r="R241" s="121" t="e">
        <f t="shared" si="231"/>
        <v>#DIV/0!</v>
      </c>
      <c r="S241" s="121" t="e">
        <f t="shared" si="232"/>
        <v>#DIV/0!</v>
      </c>
      <c r="T241" s="69" t="e">
        <f t="shared" si="233"/>
        <v>#DIV/0!</v>
      </c>
      <c r="U241" s="95">
        <f t="shared" si="234"/>
        <v>1.1000000000000001</v>
      </c>
      <c r="V241" s="95">
        <f t="shared" si="235"/>
        <v>1.1000000000000001</v>
      </c>
      <c r="W241" s="95">
        <f t="shared" si="236"/>
        <v>1.1000000000000001</v>
      </c>
      <c r="X241" s="69" t="e">
        <f t="shared" si="237"/>
        <v>#DIV/0!</v>
      </c>
    </row>
    <row r="242" spans="1:24" x14ac:dyDescent="0.25">
      <c r="A242" s="13" t="s">
        <v>157</v>
      </c>
      <c r="B242" s="36">
        <f t="shared" ref="B242:C242" si="302">B212</f>
        <v>0</v>
      </c>
      <c r="C242" s="36">
        <f t="shared" si="302"/>
        <v>0</v>
      </c>
      <c r="D242" s="120">
        <f t="shared" si="226"/>
        <v>0</v>
      </c>
      <c r="E242" s="25" t="e">
        <f t="shared" ref="E242:H242" si="303">J212</f>
        <v>#DIV/0!</v>
      </c>
      <c r="F242" s="25" t="e">
        <f t="shared" si="303"/>
        <v>#DIV/0!</v>
      </c>
      <c r="G242" s="25" t="e">
        <f t="shared" si="303"/>
        <v>#DIV/0!</v>
      </c>
      <c r="H242" s="25" t="e">
        <f t="shared" si="303"/>
        <v>#DIV/0!</v>
      </c>
      <c r="I242" s="121" t="e">
        <f t="shared" ref="I242:L242" si="304">V212</f>
        <v>#DIV/0!</v>
      </c>
      <c r="J242" s="121" t="e">
        <f t="shared" si="304"/>
        <v>#DIV/0!</v>
      </c>
      <c r="K242" s="121" t="e">
        <f t="shared" si="304"/>
        <v>#DIV/0!</v>
      </c>
      <c r="L242" s="121" t="e">
        <f t="shared" si="304"/>
        <v>#DIV/0!</v>
      </c>
      <c r="M242" s="95">
        <f t="shared" ref="M242:P242" si="305">R212</f>
        <v>0</v>
      </c>
      <c r="N242" s="95">
        <f t="shared" si="305"/>
        <v>0</v>
      </c>
      <c r="O242" s="95">
        <f t="shared" si="305"/>
        <v>0</v>
      </c>
      <c r="P242" s="95" t="e">
        <f t="shared" si="305"/>
        <v>#DIV/0!</v>
      </c>
      <c r="Q242" s="121" t="e">
        <f t="shared" si="230"/>
        <v>#DIV/0!</v>
      </c>
      <c r="R242" s="121" t="e">
        <f t="shared" si="231"/>
        <v>#DIV/0!</v>
      </c>
      <c r="S242" s="121" t="e">
        <f t="shared" si="232"/>
        <v>#DIV/0!</v>
      </c>
      <c r="T242" s="69" t="e">
        <f t="shared" si="233"/>
        <v>#DIV/0!</v>
      </c>
      <c r="U242" s="95">
        <f t="shared" si="234"/>
        <v>1.1000000000000001</v>
      </c>
      <c r="V242" s="95">
        <f t="shared" si="235"/>
        <v>1.1000000000000001</v>
      </c>
      <c r="W242" s="95">
        <f t="shared" si="236"/>
        <v>1.1000000000000001</v>
      </c>
      <c r="X242" s="69" t="e">
        <f t="shared" si="237"/>
        <v>#DIV/0!</v>
      </c>
    </row>
    <row r="243" spans="1:24" x14ac:dyDescent="0.25">
      <c r="A243" s="13" t="s">
        <v>158</v>
      </c>
      <c r="B243" s="36">
        <f t="shared" ref="B243:C243" si="306">B213</f>
        <v>0</v>
      </c>
      <c r="C243" s="36">
        <f t="shared" si="306"/>
        <v>0</v>
      </c>
      <c r="D243" s="120">
        <f t="shared" si="226"/>
        <v>0</v>
      </c>
      <c r="E243" s="25" t="e">
        <f t="shared" ref="E243:H243" si="307">J213</f>
        <v>#DIV/0!</v>
      </c>
      <c r="F243" s="25" t="e">
        <f t="shared" si="307"/>
        <v>#DIV/0!</v>
      </c>
      <c r="G243" s="25" t="e">
        <f t="shared" si="307"/>
        <v>#DIV/0!</v>
      </c>
      <c r="H243" s="25" t="e">
        <f t="shared" si="307"/>
        <v>#DIV/0!</v>
      </c>
      <c r="I243" s="121" t="e">
        <f t="shared" ref="I243:L243" si="308">V213</f>
        <v>#DIV/0!</v>
      </c>
      <c r="J243" s="121" t="e">
        <f t="shared" si="308"/>
        <v>#DIV/0!</v>
      </c>
      <c r="K243" s="121" t="e">
        <f t="shared" si="308"/>
        <v>#DIV/0!</v>
      </c>
      <c r="L243" s="121" t="e">
        <f t="shared" si="308"/>
        <v>#DIV/0!</v>
      </c>
      <c r="M243" s="95">
        <f t="shared" ref="M243:P243" si="309">R213</f>
        <v>0</v>
      </c>
      <c r="N243" s="95">
        <f t="shared" si="309"/>
        <v>0</v>
      </c>
      <c r="O243" s="95">
        <f t="shared" si="309"/>
        <v>0</v>
      </c>
      <c r="P243" s="95" t="e">
        <f t="shared" si="309"/>
        <v>#DIV/0!</v>
      </c>
      <c r="Q243" s="121" t="e">
        <f t="shared" si="230"/>
        <v>#DIV/0!</v>
      </c>
      <c r="R243" s="121" t="e">
        <f t="shared" si="231"/>
        <v>#DIV/0!</v>
      </c>
      <c r="S243" s="121" t="e">
        <f t="shared" si="232"/>
        <v>#DIV/0!</v>
      </c>
      <c r="T243" s="69" t="e">
        <f t="shared" si="233"/>
        <v>#DIV/0!</v>
      </c>
      <c r="U243" s="95">
        <f t="shared" si="234"/>
        <v>1.1000000000000001</v>
      </c>
      <c r="V243" s="95">
        <f t="shared" si="235"/>
        <v>1.1000000000000001</v>
      </c>
      <c r="W243" s="95">
        <f t="shared" si="236"/>
        <v>1.1000000000000001</v>
      </c>
      <c r="X243" s="69" t="e">
        <f t="shared" si="237"/>
        <v>#DIV/0!</v>
      </c>
    </row>
    <row r="244" spans="1:24" x14ac:dyDescent="0.25">
      <c r="A244" s="13" t="s">
        <v>159</v>
      </c>
      <c r="B244" s="36">
        <f t="shared" ref="B244:C244" si="310">B214</f>
        <v>0</v>
      </c>
      <c r="C244" s="36">
        <f t="shared" si="310"/>
        <v>0</v>
      </c>
      <c r="D244" s="120">
        <f t="shared" si="226"/>
        <v>0</v>
      </c>
      <c r="E244" s="25" t="e">
        <f t="shared" ref="E244:H244" si="311">J214</f>
        <v>#DIV/0!</v>
      </c>
      <c r="F244" s="25" t="e">
        <f t="shared" si="311"/>
        <v>#DIV/0!</v>
      </c>
      <c r="G244" s="25" t="e">
        <f t="shared" si="311"/>
        <v>#DIV/0!</v>
      </c>
      <c r="H244" s="25" t="e">
        <f t="shared" si="311"/>
        <v>#DIV/0!</v>
      </c>
      <c r="I244" s="121" t="e">
        <f t="shared" ref="I244:L244" si="312">V214</f>
        <v>#DIV/0!</v>
      </c>
      <c r="J244" s="121" t="e">
        <f t="shared" si="312"/>
        <v>#DIV/0!</v>
      </c>
      <c r="K244" s="121" t="e">
        <f t="shared" si="312"/>
        <v>#DIV/0!</v>
      </c>
      <c r="L244" s="121" t="e">
        <f t="shared" si="312"/>
        <v>#DIV/0!</v>
      </c>
      <c r="M244" s="95">
        <f t="shared" ref="M244:P244" si="313">R214</f>
        <v>0</v>
      </c>
      <c r="N244" s="95">
        <f t="shared" si="313"/>
        <v>0</v>
      </c>
      <c r="O244" s="95">
        <f t="shared" si="313"/>
        <v>0</v>
      </c>
      <c r="P244" s="95" t="e">
        <f t="shared" si="313"/>
        <v>#DIV/0!</v>
      </c>
      <c r="Q244" s="121" t="e">
        <f t="shared" si="230"/>
        <v>#DIV/0!</v>
      </c>
      <c r="R244" s="121" t="e">
        <f t="shared" si="231"/>
        <v>#DIV/0!</v>
      </c>
      <c r="S244" s="121" t="e">
        <f t="shared" si="232"/>
        <v>#DIV/0!</v>
      </c>
      <c r="T244" s="69" t="e">
        <f t="shared" si="233"/>
        <v>#DIV/0!</v>
      </c>
      <c r="U244" s="95">
        <f t="shared" si="234"/>
        <v>1.1000000000000001</v>
      </c>
      <c r="V244" s="95">
        <f t="shared" si="235"/>
        <v>1.1000000000000001</v>
      </c>
      <c r="W244" s="95">
        <f t="shared" si="236"/>
        <v>1.1000000000000001</v>
      </c>
      <c r="X244" s="69" t="e">
        <f t="shared" si="237"/>
        <v>#DIV/0!</v>
      </c>
    </row>
    <row r="245" spans="1:24" x14ac:dyDescent="0.25">
      <c r="A245" s="13" t="s">
        <v>160</v>
      </c>
      <c r="B245" s="36">
        <f t="shared" ref="B245:C245" si="314">B215</f>
        <v>0</v>
      </c>
      <c r="C245" s="36">
        <f t="shared" si="314"/>
        <v>0</v>
      </c>
      <c r="D245" s="120">
        <f t="shared" si="226"/>
        <v>0</v>
      </c>
      <c r="E245" s="25" t="e">
        <f t="shared" ref="E245:H245" si="315">J215</f>
        <v>#DIV/0!</v>
      </c>
      <c r="F245" s="25" t="e">
        <f t="shared" si="315"/>
        <v>#DIV/0!</v>
      </c>
      <c r="G245" s="25" t="e">
        <f t="shared" si="315"/>
        <v>#DIV/0!</v>
      </c>
      <c r="H245" s="25" t="e">
        <f t="shared" si="315"/>
        <v>#DIV/0!</v>
      </c>
      <c r="I245" s="121" t="e">
        <f t="shared" ref="I245:L245" si="316">V215</f>
        <v>#DIV/0!</v>
      </c>
      <c r="J245" s="121" t="e">
        <f t="shared" si="316"/>
        <v>#DIV/0!</v>
      </c>
      <c r="K245" s="121" t="e">
        <f t="shared" si="316"/>
        <v>#DIV/0!</v>
      </c>
      <c r="L245" s="121" t="e">
        <f t="shared" si="316"/>
        <v>#DIV/0!</v>
      </c>
      <c r="M245" s="95">
        <f t="shared" ref="M245:P245" si="317">R215</f>
        <v>0</v>
      </c>
      <c r="N245" s="95">
        <f t="shared" si="317"/>
        <v>0</v>
      </c>
      <c r="O245" s="95">
        <f t="shared" si="317"/>
        <v>0</v>
      </c>
      <c r="P245" s="95" t="e">
        <f t="shared" si="317"/>
        <v>#DIV/0!</v>
      </c>
      <c r="Q245" s="121" t="e">
        <f t="shared" si="230"/>
        <v>#DIV/0!</v>
      </c>
      <c r="R245" s="121" t="e">
        <f t="shared" si="231"/>
        <v>#DIV/0!</v>
      </c>
      <c r="S245" s="121" t="e">
        <f t="shared" si="232"/>
        <v>#DIV/0!</v>
      </c>
      <c r="T245" s="69" t="e">
        <f t="shared" si="233"/>
        <v>#DIV/0!</v>
      </c>
      <c r="U245" s="95">
        <f t="shared" si="234"/>
        <v>1.1000000000000001</v>
      </c>
      <c r="V245" s="95">
        <f t="shared" si="235"/>
        <v>1.1000000000000001</v>
      </c>
      <c r="W245" s="95">
        <f t="shared" si="236"/>
        <v>1.1000000000000001</v>
      </c>
      <c r="X245" s="69" t="e">
        <f t="shared" si="237"/>
        <v>#DIV/0!</v>
      </c>
    </row>
    <row r="246" spans="1:24" x14ac:dyDescent="0.25">
      <c r="A246" s="13" t="s">
        <v>161</v>
      </c>
      <c r="B246" s="36">
        <f t="shared" ref="B246:C246" si="318">B216</f>
        <v>0</v>
      </c>
      <c r="C246" s="36">
        <f t="shared" si="318"/>
        <v>0</v>
      </c>
      <c r="D246" s="120">
        <f t="shared" si="226"/>
        <v>0</v>
      </c>
      <c r="E246" s="25" t="e">
        <f t="shared" ref="E246:H246" si="319">J216</f>
        <v>#DIV/0!</v>
      </c>
      <c r="F246" s="25" t="e">
        <f t="shared" si="319"/>
        <v>#DIV/0!</v>
      </c>
      <c r="G246" s="25" t="e">
        <f t="shared" si="319"/>
        <v>#DIV/0!</v>
      </c>
      <c r="H246" s="25" t="e">
        <f t="shared" si="319"/>
        <v>#DIV/0!</v>
      </c>
      <c r="I246" s="121" t="e">
        <f t="shared" ref="I246:L246" si="320">V216</f>
        <v>#DIV/0!</v>
      </c>
      <c r="J246" s="121" t="e">
        <f t="shared" si="320"/>
        <v>#DIV/0!</v>
      </c>
      <c r="K246" s="121" t="e">
        <f t="shared" si="320"/>
        <v>#DIV/0!</v>
      </c>
      <c r="L246" s="121" t="e">
        <f t="shared" si="320"/>
        <v>#DIV/0!</v>
      </c>
      <c r="M246" s="95">
        <f t="shared" ref="M246:P246" si="321">R216</f>
        <v>0</v>
      </c>
      <c r="N246" s="95">
        <f t="shared" si="321"/>
        <v>0</v>
      </c>
      <c r="O246" s="95">
        <f t="shared" si="321"/>
        <v>0</v>
      </c>
      <c r="P246" s="95" t="e">
        <f t="shared" si="321"/>
        <v>#DIV/0!</v>
      </c>
      <c r="Q246" s="121" t="e">
        <f t="shared" si="230"/>
        <v>#DIV/0!</v>
      </c>
      <c r="R246" s="121" t="e">
        <f t="shared" si="231"/>
        <v>#DIV/0!</v>
      </c>
      <c r="S246" s="121" t="e">
        <f t="shared" si="232"/>
        <v>#DIV/0!</v>
      </c>
      <c r="T246" s="69" t="e">
        <f t="shared" si="233"/>
        <v>#DIV/0!</v>
      </c>
      <c r="U246" s="95">
        <f t="shared" si="234"/>
        <v>1.1000000000000001</v>
      </c>
      <c r="V246" s="95">
        <f t="shared" si="235"/>
        <v>1.1000000000000001</v>
      </c>
      <c r="W246" s="95">
        <f t="shared" si="236"/>
        <v>1.1000000000000001</v>
      </c>
      <c r="X246" s="69" t="e">
        <f t="shared" si="237"/>
        <v>#DIV/0!</v>
      </c>
    </row>
    <row r="247" spans="1:24" x14ac:dyDescent="0.25">
      <c r="A247" s="13" t="s">
        <v>162</v>
      </c>
      <c r="B247" s="36">
        <f t="shared" ref="B247:C247" si="322">B217</f>
        <v>0</v>
      </c>
      <c r="C247" s="36">
        <f t="shared" si="322"/>
        <v>0</v>
      </c>
      <c r="D247" s="120">
        <f t="shared" si="226"/>
        <v>0</v>
      </c>
      <c r="E247" s="25" t="e">
        <f t="shared" ref="E247:H247" si="323">J217</f>
        <v>#DIV/0!</v>
      </c>
      <c r="F247" s="25" t="e">
        <f t="shared" si="323"/>
        <v>#DIV/0!</v>
      </c>
      <c r="G247" s="25" t="e">
        <f t="shared" si="323"/>
        <v>#DIV/0!</v>
      </c>
      <c r="H247" s="25" t="e">
        <f t="shared" si="323"/>
        <v>#DIV/0!</v>
      </c>
      <c r="I247" s="121" t="e">
        <f t="shared" ref="I247:L247" si="324">V217</f>
        <v>#DIV/0!</v>
      </c>
      <c r="J247" s="121" t="e">
        <f t="shared" si="324"/>
        <v>#DIV/0!</v>
      </c>
      <c r="K247" s="121" t="e">
        <f t="shared" si="324"/>
        <v>#DIV/0!</v>
      </c>
      <c r="L247" s="121" t="e">
        <f t="shared" si="324"/>
        <v>#DIV/0!</v>
      </c>
      <c r="M247" s="95">
        <f t="shared" ref="M247:P247" si="325">R217</f>
        <v>0</v>
      </c>
      <c r="N247" s="95">
        <f t="shared" si="325"/>
        <v>0</v>
      </c>
      <c r="O247" s="95">
        <f t="shared" si="325"/>
        <v>0</v>
      </c>
      <c r="P247" s="95" t="e">
        <f t="shared" si="325"/>
        <v>#DIV/0!</v>
      </c>
      <c r="Q247" s="121" t="e">
        <f t="shared" si="230"/>
        <v>#DIV/0!</v>
      </c>
      <c r="R247" s="121" t="e">
        <f t="shared" si="231"/>
        <v>#DIV/0!</v>
      </c>
      <c r="S247" s="121" t="e">
        <f t="shared" si="232"/>
        <v>#DIV/0!</v>
      </c>
      <c r="T247" s="69" t="e">
        <f t="shared" si="233"/>
        <v>#DIV/0!</v>
      </c>
      <c r="U247" s="95">
        <f t="shared" si="234"/>
        <v>1.1000000000000001</v>
      </c>
      <c r="V247" s="95">
        <f t="shared" si="235"/>
        <v>1.1000000000000001</v>
      </c>
      <c r="W247" s="95">
        <f t="shared" si="236"/>
        <v>1.1000000000000001</v>
      </c>
      <c r="X247" s="69" t="e">
        <f t="shared" si="237"/>
        <v>#DIV/0!</v>
      </c>
    </row>
    <row r="248" spans="1:24" x14ac:dyDescent="0.25">
      <c r="A248" s="1" t="s">
        <v>163</v>
      </c>
      <c r="B248" s="36">
        <f>SUM(B224:B247)</f>
        <v>0</v>
      </c>
      <c r="C248" s="36">
        <f>SUM(C224:C247)</f>
        <v>0</v>
      </c>
      <c r="D248" s="120" t="e">
        <f>D218</f>
        <v>#DIV/0!</v>
      </c>
      <c r="E248" s="25" t="e">
        <f>J218</f>
        <v>#DIV/0!</v>
      </c>
      <c r="F248" s="25" t="e">
        <f>K218</f>
        <v>#DIV/0!</v>
      </c>
      <c r="G248" s="25" t="e">
        <f>L218</f>
        <v>#DIV/0!</v>
      </c>
      <c r="H248" s="25" t="e">
        <f>M218</f>
        <v>#DIV/0!</v>
      </c>
      <c r="I248" s="121" t="e">
        <f>V218</f>
        <v>#DIV/0!</v>
      </c>
      <c r="J248" s="121" t="e">
        <f>W218</f>
        <v>#DIV/0!</v>
      </c>
      <c r="K248" s="121" t="e">
        <f>X218</f>
        <v>#DIV/0!</v>
      </c>
      <c r="L248" s="121" t="e">
        <f>Y218</f>
        <v>#DIV/0!</v>
      </c>
      <c r="M248" s="95" t="e">
        <f>R218</f>
        <v>#DIV/0!</v>
      </c>
      <c r="N248" s="95" t="e">
        <f>S218</f>
        <v>#DIV/0!</v>
      </c>
      <c r="O248" s="95" t="e">
        <f>T218</f>
        <v>#DIV/0!</v>
      </c>
      <c r="P248" s="95" t="e">
        <f>U218</f>
        <v>#DIV/0!</v>
      </c>
      <c r="Q248" s="121" t="e">
        <f t="shared" si="223"/>
        <v>#DIV/0!</v>
      </c>
      <c r="R248" s="121" t="e">
        <f t="shared" si="223"/>
        <v>#DIV/0!</v>
      </c>
      <c r="S248" s="121" t="e">
        <f t="shared" si="223"/>
        <v>#DIV/0!</v>
      </c>
      <c r="T248" s="69" t="e">
        <f>SUM(Q248:S248)</f>
        <v>#DIV/0!</v>
      </c>
      <c r="U248" s="69" t="e">
        <f>SUMPRODUCT(U224:U247,I224:I247)/I248</f>
        <v>#DIV/0!</v>
      </c>
      <c r="V248" s="69" t="e">
        <f t="shared" ref="V248:X248" si="326">SUMPRODUCT(V224:V247,J224:J247)/J248</f>
        <v>#DIV/0!</v>
      </c>
      <c r="W248" s="69" t="e">
        <f t="shared" si="326"/>
        <v>#DIV/0!</v>
      </c>
      <c r="X248" s="23" t="e">
        <f t="shared" si="326"/>
        <v>#DIV/0!</v>
      </c>
    </row>
    <row r="252" spans="1:24" ht="18.75" x14ac:dyDescent="0.3">
      <c r="A252" s="12" t="s">
        <v>781</v>
      </c>
    </row>
    <row r="253" spans="1:24" x14ac:dyDescent="0.25">
      <c r="A253" t="s">
        <v>372</v>
      </c>
      <c r="C253" s="41">
        <f>'Cereals-all-year'!K2</f>
        <v>134280440000</v>
      </c>
    </row>
    <row r="254" spans="1:24" ht="15.75" thickBot="1" x14ac:dyDescent="0.3">
      <c r="A254" t="s">
        <v>373</v>
      </c>
      <c r="C254" s="41">
        <f>'Cereals-all-year'!K3</f>
        <v>46690000000</v>
      </c>
    </row>
    <row r="255" spans="1:24" x14ac:dyDescent="0.25">
      <c r="A255" s="853"/>
      <c r="B255" s="798" t="s">
        <v>374</v>
      </c>
      <c r="C255" s="848"/>
      <c r="D255" s="848"/>
      <c r="E255" s="848"/>
      <c r="F255" s="849"/>
      <c r="G255" s="855" t="s">
        <v>367</v>
      </c>
      <c r="H255" s="22"/>
    </row>
    <row r="256" spans="1:24" x14ac:dyDescent="0.25">
      <c r="A256" s="854"/>
      <c r="B256" s="15" t="s">
        <v>375</v>
      </c>
      <c r="C256" s="16" t="s">
        <v>376</v>
      </c>
      <c r="D256" s="16" t="s">
        <v>377</v>
      </c>
      <c r="E256" s="16" t="s">
        <v>378</v>
      </c>
      <c r="F256" s="16" t="s">
        <v>379</v>
      </c>
      <c r="G256" s="856"/>
      <c r="H256" s="22"/>
    </row>
    <row r="257" spans="1:8" x14ac:dyDescent="0.25">
      <c r="A257" s="13" t="s">
        <v>139</v>
      </c>
      <c r="B257" s="43" t="e">
        <f>R30+R60</f>
        <v>#DIV/0!</v>
      </c>
      <c r="C257" s="14">
        <f>N93</f>
        <v>0</v>
      </c>
      <c r="D257" s="14">
        <f>U132</f>
        <v>0</v>
      </c>
      <c r="E257" s="14" t="e">
        <f>E164</f>
        <v>#DIV/0!</v>
      </c>
      <c r="F257" s="48" t="e">
        <f>SUM(B257:E257)</f>
        <v>#DIV/0!</v>
      </c>
      <c r="G257" s="150" t="e">
        <f>F257/$C$254</f>
        <v>#DIV/0!</v>
      </c>
      <c r="H257" s="91"/>
    </row>
    <row r="258" spans="1:8" x14ac:dyDescent="0.25">
      <c r="A258" s="13" t="s">
        <v>140</v>
      </c>
      <c r="B258" s="43" t="e">
        <f t="shared" ref="B258:B280" si="327">R31+R61</f>
        <v>#DIV/0!</v>
      </c>
      <c r="C258" s="14">
        <f t="shared" ref="C258:C280" si="328">N94</f>
        <v>0</v>
      </c>
      <c r="D258" s="14">
        <f t="shared" ref="D258:D280" si="329">U133</f>
        <v>0</v>
      </c>
      <c r="E258" s="14" t="e">
        <f t="shared" ref="E258:E280" si="330">E165</f>
        <v>#DIV/0!</v>
      </c>
      <c r="F258" s="48" t="e">
        <f t="shared" ref="F258:F280" si="331">SUM(B258:E258)</f>
        <v>#DIV/0!</v>
      </c>
      <c r="G258" s="150" t="e">
        <f t="shared" ref="G258:G280" si="332">F258/$C$254</f>
        <v>#DIV/0!</v>
      </c>
      <c r="H258" s="91"/>
    </row>
    <row r="259" spans="1:8" x14ac:dyDescent="0.25">
      <c r="A259" s="13" t="s">
        <v>141</v>
      </c>
      <c r="B259" s="43" t="e">
        <f t="shared" si="327"/>
        <v>#DIV/0!</v>
      </c>
      <c r="C259" s="14">
        <f t="shared" si="328"/>
        <v>0</v>
      </c>
      <c r="D259" s="14">
        <f t="shared" si="329"/>
        <v>0</v>
      </c>
      <c r="E259" s="14" t="e">
        <f t="shared" si="330"/>
        <v>#DIV/0!</v>
      </c>
      <c r="F259" s="48" t="e">
        <f t="shared" si="331"/>
        <v>#DIV/0!</v>
      </c>
      <c r="G259" s="150" t="e">
        <f t="shared" si="332"/>
        <v>#DIV/0!</v>
      </c>
      <c r="H259" s="91"/>
    </row>
    <row r="260" spans="1:8" x14ac:dyDescent="0.25">
      <c r="A260" s="13" t="s">
        <v>142</v>
      </c>
      <c r="B260" s="43" t="e">
        <f t="shared" si="327"/>
        <v>#DIV/0!</v>
      </c>
      <c r="C260" s="14">
        <f t="shared" si="328"/>
        <v>0</v>
      </c>
      <c r="D260" s="14">
        <f t="shared" si="329"/>
        <v>0</v>
      </c>
      <c r="E260" s="14" t="e">
        <f t="shared" si="330"/>
        <v>#DIV/0!</v>
      </c>
      <c r="F260" s="48" t="e">
        <f t="shared" si="331"/>
        <v>#DIV/0!</v>
      </c>
      <c r="G260" s="150" t="e">
        <f t="shared" si="332"/>
        <v>#DIV/0!</v>
      </c>
      <c r="H260" s="91"/>
    </row>
    <row r="261" spans="1:8" x14ac:dyDescent="0.25">
      <c r="A261" s="13" t="s">
        <v>143</v>
      </c>
      <c r="B261" s="43" t="e">
        <f t="shared" si="327"/>
        <v>#DIV/0!</v>
      </c>
      <c r="C261" s="14">
        <f t="shared" si="328"/>
        <v>0</v>
      </c>
      <c r="D261" s="14">
        <f t="shared" si="329"/>
        <v>0</v>
      </c>
      <c r="E261" s="14" t="e">
        <f t="shared" si="330"/>
        <v>#DIV/0!</v>
      </c>
      <c r="F261" s="48" t="e">
        <f t="shared" si="331"/>
        <v>#DIV/0!</v>
      </c>
      <c r="G261" s="150" t="e">
        <f t="shared" si="332"/>
        <v>#DIV/0!</v>
      </c>
      <c r="H261" s="91"/>
    </row>
    <row r="262" spans="1:8" x14ac:dyDescent="0.25">
      <c r="A262" s="13" t="s">
        <v>144</v>
      </c>
      <c r="B262" s="43" t="e">
        <f t="shared" si="327"/>
        <v>#DIV/0!</v>
      </c>
      <c r="C262" s="14">
        <f t="shared" si="328"/>
        <v>0</v>
      </c>
      <c r="D262" s="14">
        <f t="shared" si="329"/>
        <v>0</v>
      </c>
      <c r="E262" s="14" t="e">
        <f t="shared" si="330"/>
        <v>#DIV/0!</v>
      </c>
      <c r="F262" s="48" t="e">
        <f t="shared" si="331"/>
        <v>#DIV/0!</v>
      </c>
      <c r="G262" s="150" t="e">
        <f t="shared" si="332"/>
        <v>#DIV/0!</v>
      </c>
      <c r="H262" s="91"/>
    </row>
    <row r="263" spans="1:8" x14ac:dyDescent="0.25">
      <c r="A263" s="13" t="s">
        <v>145</v>
      </c>
      <c r="B263" s="43" t="e">
        <f t="shared" si="327"/>
        <v>#DIV/0!</v>
      </c>
      <c r="C263" s="14">
        <f t="shared" si="328"/>
        <v>0</v>
      </c>
      <c r="D263" s="14">
        <f t="shared" si="329"/>
        <v>0</v>
      </c>
      <c r="E263" s="14" t="e">
        <f t="shared" si="330"/>
        <v>#DIV/0!</v>
      </c>
      <c r="F263" s="48" t="e">
        <f t="shared" si="331"/>
        <v>#DIV/0!</v>
      </c>
      <c r="G263" s="150" t="e">
        <f t="shared" si="332"/>
        <v>#DIV/0!</v>
      </c>
      <c r="H263" s="91"/>
    </row>
    <row r="264" spans="1:8" x14ac:dyDescent="0.25">
      <c r="A264" s="13" t="s">
        <v>146</v>
      </c>
      <c r="B264" s="43" t="e">
        <f t="shared" si="327"/>
        <v>#DIV/0!</v>
      </c>
      <c r="C264" s="14">
        <f t="shared" si="328"/>
        <v>0</v>
      </c>
      <c r="D264" s="14">
        <f t="shared" si="329"/>
        <v>0</v>
      </c>
      <c r="E264" s="14" t="e">
        <f t="shared" si="330"/>
        <v>#DIV/0!</v>
      </c>
      <c r="F264" s="48" t="e">
        <f t="shared" si="331"/>
        <v>#DIV/0!</v>
      </c>
      <c r="G264" s="150" t="e">
        <f t="shared" si="332"/>
        <v>#DIV/0!</v>
      </c>
      <c r="H264" s="91"/>
    </row>
    <row r="265" spans="1:8" x14ac:dyDescent="0.25">
      <c r="A265" s="13" t="s">
        <v>147</v>
      </c>
      <c r="B265" s="43" t="e">
        <f t="shared" si="327"/>
        <v>#DIV/0!</v>
      </c>
      <c r="C265" s="14">
        <f t="shared" si="328"/>
        <v>0</v>
      </c>
      <c r="D265" s="14">
        <f t="shared" si="329"/>
        <v>0</v>
      </c>
      <c r="E265" s="14" t="e">
        <f t="shared" si="330"/>
        <v>#DIV/0!</v>
      </c>
      <c r="F265" s="48" t="e">
        <f t="shared" si="331"/>
        <v>#DIV/0!</v>
      </c>
      <c r="G265" s="150" t="e">
        <f t="shared" si="332"/>
        <v>#DIV/0!</v>
      </c>
      <c r="H265" s="91"/>
    </row>
    <row r="266" spans="1:8" x14ac:dyDescent="0.25">
      <c r="A266" s="13" t="s">
        <v>148</v>
      </c>
      <c r="B266" s="43" t="e">
        <f t="shared" si="327"/>
        <v>#DIV/0!</v>
      </c>
      <c r="C266" s="14">
        <f t="shared" si="328"/>
        <v>0</v>
      </c>
      <c r="D266" s="14">
        <f t="shared" si="329"/>
        <v>0</v>
      </c>
      <c r="E266" s="14" t="e">
        <f t="shared" si="330"/>
        <v>#DIV/0!</v>
      </c>
      <c r="F266" s="48" t="e">
        <f t="shared" si="331"/>
        <v>#DIV/0!</v>
      </c>
      <c r="G266" s="150" t="e">
        <f t="shared" si="332"/>
        <v>#DIV/0!</v>
      </c>
      <c r="H266" s="91"/>
    </row>
    <row r="267" spans="1:8" x14ac:dyDescent="0.25">
      <c r="A267" s="13" t="s">
        <v>149</v>
      </c>
      <c r="B267" s="43" t="e">
        <f t="shared" si="327"/>
        <v>#DIV/0!</v>
      </c>
      <c r="C267" s="14">
        <f t="shared" si="328"/>
        <v>0</v>
      </c>
      <c r="D267" s="14">
        <f t="shared" si="329"/>
        <v>0</v>
      </c>
      <c r="E267" s="14" t="e">
        <f t="shared" si="330"/>
        <v>#DIV/0!</v>
      </c>
      <c r="F267" s="48" t="e">
        <f t="shared" si="331"/>
        <v>#DIV/0!</v>
      </c>
      <c r="G267" s="150" t="e">
        <f t="shared" si="332"/>
        <v>#DIV/0!</v>
      </c>
      <c r="H267" s="91"/>
    </row>
    <row r="268" spans="1:8" x14ac:dyDescent="0.25">
      <c r="A268" s="13" t="s">
        <v>150</v>
      </c>
      <c r="B268" s="43" t="e">
        <f t="shared" si="327"/>
        <v>#DIV/0!</v>
      </c>
      <c r="C268" s="14">
        <f t="shared" si="328"/>
        <v>0</v>
      </c>
      <c r="D268" s="14">
        <f t="shared" si="329"/>
        <v>0</v>
      </c>
      <c r="E268" s="14" t="e">
        <f t="shared" si="330"/>
        <v>#DIV/0!</v>
      </c>
      <c r="F268" s="48" t="e">
        <f t="shared" si="331"/>
        <v>#DIV/0!</v>
      </c>
      <c r="G268" s="150" t="e">
        <f t="shared" si="332"/>
        <v>#DIV/0!</v>
      </c>
      <c r="H268" s="91"/>
    </row>
    <row r="269" spans="1:8" x14ac:dyDescent="0.25">
      <c r="A269" s="13" t="s">
        <v>151</v>
      </c>
      <c r="B269" s="43" t="e">
        <f t="shared" si="327"/>
        <v>#DIV/0!</v>
      </c>
      <c r="C269" s="14">
        <f t="shared" si="328"/>
        <v>0</v>
      </c>
      <c r="D269" s="14">
        <f t="shared" si="329"/>
        <v>0</v>
      </c>
      <c r="E269" s="14" t="e">
        <f t="shared" si="330"/>
        <v>#DIV/0!</v>
      </c>
      <c r="F269" s="48" t="e">
        <f t="shared" si="331"/>
        <v>#DIV/0!</v>
      </c>
      <c r="G269" s="150" t="e">
        <f t="shared" si="332"/>
        <v>#DIV/0!</v>
      </c>
      <c r="H269" s="91"/>
    </row>
    <row r="270" spans="1:8" x14ac:dyDescent="0.25">
      <c r="A270" s="13" t="s">
        <v>152</v>
      </c>
      <c r="B270" s="43" t="e">
        <f t="shared" si="327"/>
        <v>#DIV/0!</v>
      </c>
      <c r="C270" s="14">
        <f t="shared" si="328"/>
        <v>0</v>
      </c>
      <c r="D270" s="14">
        <f t="shared" si="329"/>
        <v>0</v>
      </c>
      <c r="E270" s="14" t="e">
        <f t="shared" si="330"/>
        <v>#DIV/0!</v>
      </c>
      <c r="F270" s="48" t="e">
        <f t="shared" si="331"/>
        <v>#DIV/0!</v>
      </c>
      <c r="G270" s="150" t="e">
        <f t="shared" si="332"/>
        <v>#DIV/0!</v>
      </c>
      <c r="H270" s="91"/>
    </row>
    <row r="271" spans="1:8" x14ac:dyDescent="0.25">
      <c r="A271" s="13" t="s">
        <v>162</v>
      </c>
      <c r="B271" s="43" t="e">
        <f t="shared" si="327"/>
        <v>#DIV/0!</v>
      </c>
      <c r="C271" s="14">
        <f t="shared" si="328"/>
        <v>0</v>
      </c>
      <c r="D271" s="14">
        <f t="shared" si="329"/>
        <v>0</v>
      </c>
      <c r="E271" s="14" t="e">
        <f t="shared" si="330"/>
        <v>#DIV/0!</v>
      </c>
      <c r="F271" s="48" t="e">
        <f t="shared" si="331"/>
        <v>#DIV/0!</v>
      </c>
      <c r="G271" s="150" t="e">
        <f t="shared" si="332"/>
        <v>#DIV/0!</v>
      </c>
      <c r="H271" s="91"/>
    </row>
    <row r="272" spans="1:8" x14ac:dyDescent="0.25">
      <c r="A272" s="13" t="s">
        <v>154</v>
      </c>
      <c r="B272" s="43" t="e">
        <f t="shared" si="327"/>
        <v>#DIV/0!</v>
      </c>
      <c r="C272" s="14">
        <f t="shared" si="328"/>
        <v>0</v>
      </c>
      <c r="D272" s="14">
        <f t="shared" si="329"/>
        <v>0</v>
      </c>
      <c r="E272" s="14" t="e">
        <f t="shared" si="330"/>
        <v>#DIV/0!</v>
      </c>
      <c r="F272" s="48" t="e">
        <f t="shared" si="331"/>
        <v>#DIV/0!</v>
      </c>
      <c r="G272" s="150" t="e">
        <f t="shared" si="332"/>
        <v>#DIV/0!</v>
      </c>
      <c r="H272" s="91"/>
    </row>
    <row r="273" spans="1:20" x14ac:dyDescent="0.25">
      <c r="A273" s="13" t="s">
        <v>155</v>
      </c>
      <c r="B273" s="43" t="e">
        <f t="shared" si="327"/>
        <v>#DIV/0!</v>
      </c>
      <c r="C273" s="14">
        <f t="shared" si="328"/>
        <v>0</v>
      </c>
      <c r="D273" s="14">
        <f t="shared" si="329"/>
        <v>0</v>
      </c>
      <c r="E273" s="14" t="e">
        <f t="shared" si="330"/>
        <v>#DIV/0!</v>
      </c>
      <c r="F273" s="48" t="e">
        <f t="shared" si="331"/>
        <v>#DIV/0!</v>
      </c>
      <c r="G273" s="150" t="e">
        <f t="shared" si="332"/>
        <v>#DIV/0!</v>
      </c>
      <c r="H273" s="91"/>
    </row>
    <row r="274" spans="1:20" x14ac:dyDescent="0.25">
      <c r="A274" s="13" t="s">
        <v>156</v>
      </c>
      <c r="B274" s="43" t="e">
        <f t="shared" si="327"/>
        <v>#DIV/0!</v>
      </c>
      <c r="C274" s="14">
        <f t="shared" si="328"/>
        <v>0</v>
      </c>
      <c r="D274" s="14">
        <f t="shared" si="329"/>
        <v>0</v>
      </c>
      <c r="E274" s="14" t="e">
        <f t="shared" si="330"/>
        <v>#DIV/0!</v>
      </c>
      <c r="F274" s="48" t="e">
        <f t="shared" si="331"/>
        <v>#DIV/0!</v>
      </c>
      <c r="G274" s="150" t="e">
        <f t="shared" si="332"/>
        <v>#DIV/0!</v>
      </c>
      <c r="H274" s="91"/>
    </row>
    <row r="275" spans="1:20" x14ac:dyDescent="0.25">
      <c r="A275" s="13" t="s">
        <v>157</v>
      </c>
      <c r="B275" s="43" t="e">
        <f t="shared" si="327"/>
        <v>#DIV/0!</v>
      </c>
      <c r="C275" s="14">
        <f t="shared" si="328"/>
        <v>0</v>
      </c>
      <c r="D275" s="14">
        <f t="shared" si="329"/>
        <v>0</v>
      </c>
      <c r="E275" s="14" t="e">
        <f t="shared" si="330"/>
        <v>#DIV/0!</v>
      </c>
      <c r="F275" s="48" t="e">
        <f t="shared" si="331"/>
        <v>#DIV/0!</v>
      </c>
      <c r="G275" s="150" t="e">
        <f t="shared" si="332"/>
        <v>#DIV/0!</v>
      </c>
      <c r="H275" s="91"/>
    </row>
    <row r="276" spans="1:20" x14ac:dyDescent="0.25">
      <c r="A276" s="13" t="s">
        <v>158</v>
      </c>
      <c r="B276" s="43" t="e">
        <f t="shared" si="327"/>
        <v>#DIV/0!</v>
      </c>
      <c r="C276" s="14">
        <f t="shared" si="328"/>
        <v>0</v>
      </c>
      <c r="D276" s="14">
        <f t="shared" si="329"/>
        <v>0</v>
      </c>
      <c r="E276" s="14" t="e">
        <f t="shared" si="330"/>
        <v>#DIV/0!</v>
      </c>
      <c r="F276" s="48" t="e">
        <f t="shared" si="331"/>
        <v>#DIV/0!</v>
      </c>
      <c r="G276" s="150" t="e">
        <f t="shared" si="332"/>
        <v>#DIV/0!</v>
      </c>
      <c r="H276" s="91"/>
    </row>
    <row r="277" spans="1:20" x14ac:dyDescent="0.25">
      <c r="A277" s="13" t="s">
        <v>159</v>
      </c>
      <c r="B277" s="43" t="e">
        <f t="shared" si="327"/>
        <v>#DIV/0!</v>
      </c>
      <c r="C277" s="14">
        <f t="shared" si="328"/>
        <v>0</v>
      </c>
      <c r="D277" s="14">
        <f t="shared" si="329"/>
        <v>0</v>
      </c>
      <c r="E277" s="14" t="e">
        <f t="shared" si="330"/>
        <v>#DIV/0!</v>
      </c>
      <c r="F277" s="48" t="e">
        <f t="shared" si="331"/>
        <v>#DIV/0!</v>
      </c>
      <c r="G277" s="150" t="e">
        <f t="shared" si="332"/>
        <v>#DIV/0!</v>
      </c>
      <c r="H277" s="91"/>
    </row>
    <row r="278" spans="1:20" x14ac:dyDescent="0.25">
      <c r="A278" s="13" t="s">
        <v>160</v>
      </c>
      <c r="B278" s="43" t="e">
        <f t="shared" si="327"/>
        <v>#DIV/0!</v>
      </c>
      <c r="C278" s="14">
        <f t="shared" si="328"/>
        <v>0</v>
      </c>
      <c r="D278" s="14">
        <f t="shared" si="329"/>
        <v>0</v>
      </c>
      <c r="E278" s="14" t="e">
        <f t="shared" si="330"/>
        <v>#DIV/0!</v>
      </c>
      <c r="F278" s="48" t="e">
        <f t="shared" si="331"/>
        <v>#DIV/0!</v>
      </c>
      <c r="G278" s="150" t="e">
        <f t="shared" si="332"/>
        <v>#DIV/0!</v>
      </c>
      <c r="H278" s="91"/>
      <c r="R278" s="838" t="s">
        <v>782</v>
      </c>
      <c r="S278" s="838"/>
      <c r="T278" s="838"/>
    </row>
    <row r="279" spans="1:20" x14ac:dyDescent="0.25">
      <c r="A279" s="13" t="s">
        <v>161</v>
      </c>
      <c r="B279" s="43" t="e">
        <f t="shared" si="327"/>
        <v>#DIV/0!</v>
      </c>
      <c r="C279" s="14">
        <f t="shared" si="328"/>
        <v>0</v>
      </c>
      <c r="D279" s="14">
        <f t="shared" si="329"/>
        <v>0</v>
      </c>
      <c r="E279" s="14" t="e">
        <f t="shared" si="330"/>
        <v>#DIV/0!</v>
      </c>
      <c r="F279" s="48" t="e">
        <f t="shared" si="331"/>
        <v>#DIV/0!</v>
      </c>
      <c r="G279" s="150" t="e">
        <f t="shared" si="332"/>
        <v>#DIV/0!</v>
      </c>
      <c r="H279" s="91"/>
      <c r="R279" t="s">
        <v>783</v>
      </c>
      <c r="S279" t="s">
        <v>784</v>
      </c>
      <c r="T279" t="s">
        <v>392</v>
      </c>
    </row>
    <row r="280" spans="1:20" x14ac:dyDescent="0.25">
      <c r="A280" s="13" t="s">
        <v>162</v>
      </c>
      <c r="B280" s="43" t="e">
        <f t="shared" si="327"/>
        <v>#DIV/0!</v>
      </c>
      <c r="C280" s="14">
        <f t="shared" si="328"/>
        <v>0</v>
      </c>
      <c r="D280" s="14">
        <f t="shared" si="329"/>
        <v>0</v>
      </c>
      <c r="E280" s="14" t="e">
        <f t="shared" si="330"/>
        <v>#DIV/0!</v>
      </c>
      <c r="F280" s="48" t="e">
        <f t="shared" si="331"/>
        <v>#DIV/0!</v>
      </c>
      <c r="G280" s="150" t="e">
        <f t="shared" si="332"/>
        <v>#DIV/0!</v>
      </c>
      <c r="H280" s="91"/>
      <c r="R280">
        <v>36.5</v>
      </c>
      <c r="S280">
        <v>5.2450000000000001</v>
      </c>
      <c r="T280">
        <f>S280*R280</f>
        <v>191.4425</v>
      </c>
    </row>
    <row r="281" spans="1:20" x14ac:dyDescent="0.25">
      <c r="A281" s="144" t="s">
        <v>163</v>
      </c>
      <c r="B281" s="46" t="e">
        <f>SUM(B257:B280)</f>
        <v>#DIV/0!</v>
      </c>
      <c r="C281" s="47">
        <f>N117</f>
        <v>0</v>
      </c>
      <c r="D281" s="14">
        <f>U156</f>
        <v>0</v>
      </c>
      <c r="E281" s="48" t="e">
        <f>E188</f>
        <v>#DIV/0!</v>
      </c>
      <c r="F281" s="48" t="e">
        <f>SUM(B281:E281)</f>
        <v>#DIV/0!</v>
      </c>
      <c r="G281" s="150" t="e">
        <f>F281/$C$254</f>
        <v>#DIV/0!</v>
      </c>
      <c r="H281" s="91"/>
    </row>
    <row r="282" spans="1:20" ht="15.75" thickBot="1" x14ac:dyDescent="0.3">
      <c r="A282" s="145" t="s">
        <v>393</v>
      </c>
      <c r="B282" s="165" t="e">
        <f>B281/'Summary-all-crops'!$C$3</f>
        <v>#DIV/0!</v>
      </c>
      <c r="C282" s="165">
        <f>C281/'Summary-all-crops'!$C$3</f>
        <v>0</v>
      </c>
      <c r="D282" s="165">
        <f>D281/'Summary-all-crops'!$C$3</f>
        <v>0</v>
      </c>
      <c r="E282" s="321" t="e">
        <f>E281/'Summary-all-crops'!$C$3</f>
        <v>#DIV/0!</v>
      </c>
      <c r="F282" s="165" t="e">
        <f>F281/'Summary-all-crops'!$C$3</f>
        <v>#DIV/0!</v>
      </c>
      <c r="G282" s="166"/>
    </row>
    <row r="283" spans="1:20" x14ac:dyDescent="0.25">
      <c r="F283" s="36" t="e">
        <f>F281*K1</f>
        <v>#DIV/0!</v>
      </c>
    </row>
    <row r="286" spans="1:20" ht="43.35" customHeight="1" x14ac:dyDescent="0.25">
      <c r="A286" s="869" t="s">
        <v>785</v>
      </c>
      <c r="B286" s="869"/>
      <c r="C286" s="869"/>
      <c r="D286" s="869"/>
      <c r="E286" s="869"/>
      <c r="F286" s="869"/>
      <c r="G286" s="869"/>
      <c r="H286" s="869"/>
      <c r="I286" s="869"/>
      <c r="J286" s="869"/>
      <c r="K286" s="869"/>
      <c r="L286" s="869"/>
      <c r="M286" s="869"/>
      <c r="N286" s="869"/>
      <c r="O286" s="869"/>
      <c r="P286" s="869"/>
      <c r="Q286" s="869"/>
    </row>
    <row r="287" spans="1:20" x14ac:dyDescent="0.25">
      <c r="A287" s="55">
        <f>N54</f>
        <v>0</v>
      </c>
      <c r="B287" s="32" t="s">
        <v>786</v>
      </c>
      <c r="C287" s="31"/>
      <c r="D287" s="31"/>
      <c r="E287" s="31"/>
      <c r="F287" s="31"/>
      <c r="G287" s="31"/>
      <c r="H287" s="31"/>
      <c r="I287" s="31"/>
      <c r="J287" s="31"/>
      <c r="K287" s="31"/>
      <c r="L287" s="31"/>
      <c r="M287" s="31"/>
      <c r="N287" s="31"/>
      <c r="O287" s="31"/>
      <c r="P287" s="31"/>
      <c r="Q287" s="31"/>
    </row>
    <row r="288" spans="1:20" x14ac:dyDescent="0.25">
      <c r="A288" s="55">
        <f>N84</f>
        <v>0</v>
      </c>
      <c r="B288" s="32" t="s">
        <v>787</v>
      </c>
      <c r="C288" s="31"/>
      <c r="D288" s="31"/>
      <c r="E288" s="31"/>
      <c r="F288" s="31"/>
      <c r="G288" s="31"/>
      <c r="H288" s="31"/>
      <c r="I288" s="31"/>
      <c r="J288" s="31"/>
      <c r="K288" s="31"/>
      <c r="L288" s="31"/>
      <c r="M288" s="31"/>
      <c r="N288" s="31"/>
      <c r="O288" s="31"/>
      <c r="P288" s="31"/>
      <c r="Q288" s="31"/>
    </row>
    <row r="289" spans="1:17" x14ac:dyDescent="0.25">
      <c r="A289" s="55" t="e">
        <f>F281</f>
        <v>#DIV/0!</v>
      </c>
      <c r="B289" s="31" t="s">
        <v>397</v>
      </c>
      <c r="C289" s="55" t="e">
        <f>A289*K1</f>
        <v>#DIV/0!</v>
      </c>
      <c r="D289" s="31" t="s">
        <v>398</v>
      </c>
      <c r="E289" s="31"/>
      <c r="F289" s="56" t="e">
        <f>G281</f>
        <v>#DIV/0!</v>
      </c>
      <c r="G289" s="31" t="s">
        <v>399</v>
      </c>
      <c r="H289" s="31"/>
      <c r="I289" s="31"/>
      <c r="J289" s="31"/>
      <c r="K289" s="31"/>
      <c r="L289" s="31"/>
      <c r="M289" s="31"/>
      <c r="N289" s="31"/>
      <c r="O289" s="31"/>
      <c r="P289" s="31"/>
      <c r="Q289" s="31"/>
    </row>
  </sheetData>
  <mergeCells count="59">
    <mergeCell ref="AC15:AH18"/>
    <mergeCell ref="R278:T278"/>
    <mergeCell ref="A286:Q286"/>
    <mergeCell ref="E222:H222"/>
    <mergeCell ref="Q222:T222"/>
    <mergeCell ref="U222:X222"/>
    <mergeCell ref="M222:P222"/>
    <mergeCell ref="I222:L222"/>
    <mergeCell ref="B222:B223"/>
    <mergeCell ref="C222:C223"/>
    <mergeCell ref="D222:D223"/>
    <mergeCell ref="V192:Y192"/>
    <mergeCell ref="E192:G192"/>
    <mergeCell ref="D192:D193"/>
    <mergeCell ref="C192:C193"/>
    <mergeCell ref="H192:H193"/>
    <mergeCell ref="I192:I193"/>
    <mergeCell ref="R192:U192"/>
    <mergeCell ref="J192:M192"/>
    <mergeCell ref="N192:Q192"/>
    <mergeCell ref="R130:R131"/>
    <mergeCell ref="U130:U131"/>
    <mergeCell ref="N130:Q130"/>
    <mergeCell ref="A161:A163"/>
    <mergeCell ref="B161:E161"/>
    <mergeCell ref="A255:A256"/>
    <mergeCell ref="B255:F255"/>
    <mergeCell ref="G255:G256"/>
    <mergeCell ref="B192:B193"/>
    <mergeCell ref="A129:A130"/>
    <mergeCell ref="B129:F129"/>
    <mergeCell ref="C130:E130"/>
    <mergeCell ref="F130:I130"/>
    <mergeCell ref="J130:M130"/>
    <mergeCell ref="O58:R58"/>
    <mergeCell ref="K28:N28"/>
    <mergeCell ref="U58:W58"/>
    <mergeCell ref="C85:E85"/>
    <mergeCell ref="A91:A92"/>
    <mergeCell ref="B91:B92"/>
    <mergeCell ref="C91:F91"/>
    <mergeCell ref="G91:J91"/>
    <mergeCell ref="K91:N91"/>
    <mergeCell ref="A89:I89"/>
    <mergeCell ref="C55:E55"/>
    <mergeCell ref="B58:B59"/>
    <mergeCell ref="C58:F58"/>
    <mergeCell ref="G58:J58"/>
    <mergeCell ref="K58:N58"/>
    <mergeCell ref="A23:B23"/>
    <mergeCell ref="B28:B29"/>
    <mergeCell ref="C28:F28"/>
    <mergeCell ref="G28:J28"/>
    <mergeCell ref="O28:R28"/>
    <mergeCell ref="A1:G1"/>
    <mergeCell ref="A13:C13"/>
    <mergeCell ref="D13:F13"/>
    <mergeCell ref="A14:B14"/>
    <mergeCell ref="A22:D22"/>
  </mergeCells>
  <hyperlinks>
    <hyperlink ref="O57" r:id="rId1" display="https://www.semanticscholar.org/paper/Differences-in-grain%2Fstraw-ratio%2C-protein-content-Konvalina-Stehno/c8920241b02879926ffb06363c1fe2306dde4d96/figure/4" xr:uid="{B1F20FDC-71A1-46E6-9E6E-951526F8E6E5}"/>
    <hyperlink ref="H57" r:id="rId2" xr:uid="{C32ECB02-BC8A-4BC1-AF34-C2DA9EA3606C}"/>
    <hyperlink ref="I128" r:id="rId3" xr:uid="{1DC6ADA1-665F-4CC0-A5F6-84C9D467ECDB}"/>
    <hyperlink ref="X57" r:id="rId4" xr:uid="{2FE150D0-D6D8-4BF3-926D-6A51C8D9FE30}"/>
    <hyperlink ref="H123" r:id="rId5" xr:uid="{CEC6A4D7-FE5E-4FC3-9502-C568EAB66C4C}"/>
    <hyperlink ref="H125" r:id="rId6" location=":~:text=The%20study%2C%20published%20today%20in,estimate%20of%20%2451%20per%20ton. " xr:uid="{AA79CEAD-823D-4985-B0C2-763EE0B54209}"/>
  </hyperlinks>
  <pageMargins left="0.7" right="0.7" top="0.75" bottom="0.75" header="0.3" footer="0.3"/>
  <pageSetup orientation="portrait" r:id="rId7"/>
  <legacyDrawing r:id="rId8"/>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42A6F-8B50-4254-B1DC-DE6F99AA9484}">
  <dimension ref="A1:K80"/>
  <sheetViews>
    <sheetView workbookViewId="0">
      <selection activeCell="G79" sqref="G79"/>
    </sheetView>
  </sheetViews>
  <sheetFormatPr defaultRowHeight="15" x14ac:dyDescent="0.25"/>
  <cols>
    <col min="2" max="2" width="36.42578125" customWidth="1"/>
    <col min="3" max="3" width="20.5703125" customWidth="1"/>
    <col min="4" max="4" width="14.85546875" bestFit="1" customWidth="1"/>
    <col min="5" max="7" width="17.42578125" bestFit="1" customWidth="1"/>
    <col min="8" max="8" width="18.42578125" bestFit="1" customWidth="1"/>
    <col min="9" max="9" width="14.85546875" bestFit="1" customWidth="1"/>
    <col min="10" max="10" width="18.42578125" bestFit="1" customWidth="1"/>
    <col min="11" max="11" width="13" customWidth="1"/>
    <col min="12" max="12" width="13.85546875" customWidth="1"/>
    <col min="13" max="13" width="12.85546875" customWidth="1"/>
    <col min="14" max="14" width="16.140625" customWidth="1"/>
    <col min="15" max="15" width="13.140625" customWidth="1"/>
    <col min="17" max="17" width="14.5703125" bestFit="1" customWidth="1"/>
  </cols>
  <sheetData>
    <row r="1" spans="1:9" ht="18.75" x14ac:dyDescent="0.3">
      <c r="A1" s="12" t="s">
        <v>788</v>
      </c>
      <c r="H1" s="76"/>
    </row>
    <row r="2" spans="1:9" x14ac:dyDescent="0.25">
      <c r="A2" t="s">
        <v>372</v>
      </c>
      <c r="C2" s="24">
        <f>'Cereals-all-year'!K2</f>
        <v>134280440000</v>
      </c>
      <c r="H2" s="175"/>
      <c r="I2" s="30"/>
    </row>
    <row r="3" spans="1:9" ht="15.75" thickBot="1" x14ac:dyDescent="0.3">
      <c r="A3" t="s">
        <v>373</v>
      </c>
      <c r="C3" s="24">
        <f>'Cereals-all-year'!K3</f>
        <v>46690000000</v>
      </c>
    </row>
    <row r="4" spans="1:9" x14ac:dyDescent="0.25">
      <c r="B4" s="853" t="s">
        <v>668</v>
      </c>
      <c r="C4" s="798" t="s">
        <v>669</v>
      </c>
      <c r="D4" s="848"/>
      <c r="E4" s="848"/>
      <c r="F4" s="848"/>
      <c r="G4" s="849"/>
      <c r="H4" s="855" t="s">
        <v>367</v>
      </c>
    </row>
    <row r="5" spans="1:9" ht="45" x14ac:dyDescent="0.25">
      <c r="B5" s="854"/>
      <c r="C5" s="87" t="s">
        <v>375</v>
      </c>
      <c r="D5" s="85" t="s">
        <v>376</v>
      </c>
      <c r="E5" s="85" t="s">
        <v>377</v>
      </c>
      <c r="F5" s="85" t="s">
        <v>378</v>
      </c>
      <c r="G5" s="85" t="s">
        <v>379</v>
      </c>
      <c r="H5" s="856"/>
    </row>
    <row r="6" spans="1:9" x14ac:dyDescent="0.25">
      <c r="B6" s="143" t="s">
        <v>123</v>
      </c>
      <c r="C6" s="46">
        <f>'Pastoral-areas'!B217</f>
        <v>0</v>
      </c>
      <c r="D6" s="46">
        <f>'Pastoral-areas'!C217</f>
        <v>0</v>
      </c>
      <c r="E6" s="46">
        <f>'Pastoral-areas'!D217</f>
        <v>0</v>
      </c>
      <c r="F6" s="46">
        <f>'Pastoral-areas'!E217</f>
        <v>0</v>
      </c>
      <c r="G6" s="46">
        <f>SUM(C6:F6)</f>
        <v>0</v>
      </c>
      <c r="H6" s="150">
        <f>G6/$C$3</f>
        <v>0</v>
      </c>
    </row>
    <row r="7" spans="1:9" x14ac:dyDescent="0.25">
      <c r="B7" s="143" t="s">
        <v>38</v>
      </c>
      <c r="C7" s="46" t="e">
        <f>Prairies!B218</f>
        <v>#DIV/0!</v>
      </c>
      <c r="D7" s="46">
        <f>Prairies!C218</f>
        <v>0</v>
      </c>
      <c r="E7" s="46">
        <f>Prairies!D218</f>
        <v>0</v>
      </c>
      <c r="F7" s="46" t="e">
        <f>Prairies!E218</f>
        <v>#DIV/0!</v>
      </c>
      <c r="G7" s="46" t="e">
        <f t="shared" ref="G7:G9" si="0">SUM(C7:F7)</f>
        <v>#DIV/0!</v>
      </c>
      <c r="H7" s="150" t="e">
        <f t="shared" ref="H7:H9" si="1">G7/$C$3</f>
        <v>#DIV/0!</v>
      </c>
    </row>
    <row r="8" spans="1:9" x14ac:dyDescent="0.25">
      <c r="B8" s="143" t="s">
        <v>789</v>
      </c>
      <c r="C8" s="43" t="e">
        <f>'Agro-sylvopastoral-areas'!B281</f>
        <v>#DIV/0!</v>
      </c>
      <c r="D8" s="43">
        <f>'Agro-sylvopastoral-areas'!C281</f>
        <v>0</v>
      </c>
      <c r="E8" s="43">
        <f>'Agro-sylvopastoral-areas'!D281</f>
        <v>0</v>
      </c>
      <c r="F8" s="43" t="e">
        <f>'Agro-sylvopastoral-areas'!E281</f>
        <v>#DIV/0!</v>
      </c>
      <c r="G8" s="46" t="e">
        <f t="shared" si="0"/>
        <v>#DIV/0!</v>
      </c>
      <c r="H8" s="150" t="e">
        <f>G8/$C$3</f>
        <v>#DIV/0!</v>
      </c>
    </row>
    <row r="9" spans="1:9" x14ac:dyDescent="0.25">
      <c r="B9" s="144" t="s">
        <v>163</v>
      </c>
      <c r="C9" s="46" t="e">
        <f>SUM(C6:C8)</f>
        <v>#DIV/0!</v>
      </c>
      <c r="D9" s="46">
        <f>SUM(D6:D8)</f>
        <v>0</v>
      </c>
      <c r="E9" s="46">
        <f>SUM(E6:E8)</f>
        <v>0</v>
      </c>
      <c r="F9" s="46" t="e">
        <f>SUM(F6:F8)</f>
        <v>#DIV/0!</v>
      </c>
      <c r="G9" s="46" t="e">
        <f t="shared" si="0"/>
        <v>#DIV/0!</v>
      </c>
      <c r="H9" s="150" t="e">
        <f t="shared" si="1"/>
        <v>#DIV/0!</v>
      </c>
      <c r="I9" s="338" t="e">
        <f>C9/F73</f>
        <v>#DIV/0!</v>
      </c>
    </row>
    <row r="10" spans="1:9" x14ac:dyDescent="0.25">
      <c r="B10" s="478" t="s">
        <v>671</v>
      </c>
      <c r="C10" s="335" t="e">
        <f>C9/$G$9</f>
        <v>#DIV/0!</v>
      </c>
      <c r="D10" s="335" t="e">
        <f t="shared" ref="D10:G10" si="2">D9/$G$9</f>
        <v>#DIV/0!</v>
      </c>
      <c r="E10" s="335" t="e">
        <f t="shared" si="2"/>
        <v>#DIV/0!</v>
      </c>
      <c r="F10" s="335" t="e">
        <f t="shared" si="2"/>
        <v>#DIV/0!</v>
      </c>
      <c r="G10" s="335" t="e">
        <f t="shared" si="2"/>
        <v>#DIV/0!</v>
      </c>
      <c r="H10" s="474"/>
      <c r="I10" s="38"/>
    </row>
    <row r="11" spans="1:9" ht="15.75" thickBot="1" x14ac:dyDescent="0.3">
      <c r="B11" s="146" t="s">
        <v>393</v>
      </c>
      <c r="C11" s="165" t="e">
        <f>C9/$C$3</f>
        <v>#DIV/0!</v>
      </c>
      <c r="D11" s="165">
        <f t="shared" ref="D11:G11" si="3">D9/$C$3</f>
        <v>0</v>
      </c>
      <c r="E11" s="165">
        <f t="shared" si="3"/>
        <v>0</v>
      </c>
      <c r="F11" s="165" t="e">
        <f t="shared" si="3"/>
        <v>#DIV/0!</v>
      </c>
      <c r="G11" s="165" t="e">
        <f t="shared" si="3"/>
        <v>#DIV/0!</v>
      </c>
      <c r="H11" s="167"/>
    </row>
    <row r="12" spans="1:9" x14ac:dyDescent="0.25">
      <c r="C12" t="e">
        <f>C9/F73</f>
        <v>#DIV/0!</v>
      </c>
      <c r="G12" s="92"/>
    </row>
    <row r="13" spans="1:9" ht="16.5" thickBot="1" x14ac:dyDescent="0.3">
      <c r="A13" s="148" t="s">
        <v>790</v>
      </c>
    </row>
    <row r="14" spans="1:9" ht="15.75" thickBot="1" x14ac:dyDescent="0.3">
      <c r="B14" s="861" t="s">
        <v>101</v>
      </c>
      <c r="C14" s="469" t="s">
        <v>672</v>
      </c>
      <c r="D14" s="470"/>
      <c r="E14" s="470"/>
      <c r="F14" s="470"/>
      <c r="G14" s="471"/>
    </row>
    <row r="15" spans="1:9" ht="15.75" thickBot="1" x14ac:dyDescent="0.3">
      <c r="B15" s="862"/>
      <c r="C15" s="203" t="s">
        <v>123</v>
      </c>
      <c r="D15" s="143" t="s">
        <v>38</v>
      </c>
      <c r="E15" s="143" t="s">
        <v>789</v>
      </c>
      <c r="F15" s="178" t="s">
        <v>673</v>
      </c>
      <c r="G15" s="192" t="s">
        <v>393</v>
      </c>
      <c r="H15" s="193"/>
    </row>
    <row r="16" spans="1:9" ht="15.75" thickBot="1" x14ac:dyDescent="0.3">
      <c r="B16" s="15" t="s">
        <v>139</v>
      </c>
      <c r="C16" s="472">
        <f>'Pastoral-areas'!F193</f>
        <v>0</v>
      </c>
      <c r="D16" s="472" t="e">
        <f>Prairies!F194</f>
        <v>#DIV/0!</v>
      </c>
      <c r="E16" s="472" t="e">
        <f>'Agro-sylvopastoral-areas'!F257</f>
        <v>#DIV/0!</v>
      </c>
      <c r="F16" s="473" t="e">
        <f t="shared" ref="F16:F41" si="4">SUM(C16:E16)</f>
        <v>#DIV/0!</v>
      </c>
      <c r="G16" s="582" t="e">
        <f>F16/$C$3</f>
        <v>#DIV/0!</v>
      </c>
    </row>
    <row r="17" spans="2:7" ht="15.75" thickBot="1" x14ac:dyDescent="0.3">
      <c r="B17" s="15" t="s">
        <v>140</v>
      </c>
      <c r="C17" s="472">
        <f>'Pastoral-areas'!F194</f>
        <v>0</v>
      </c>
      <c r="D17" s="472" t="e">
        <f>Prairies!F195</f>
        <v>#DIV/0!</v>
      </c>
      <c r="E17" s="472" t="e">
        <f>'Agro-sylvopastoral-areas'!F258</f>
        <v>#DIV/0!</v>
      </c>
      <c r="F17" s="473" t="e">
        <f t="shared" si="4"/>
        <v>#DIV/0!</v>
      </c>
      <c r="G17" s="582" t="e">
        <f t="shared" ref="G17:G40" si="5">F17/$C$3</f>
        <v>#DIV/0!</v>
      </c>
    </row>
    <row r="18" spans="2:7" ht="15.75" thickBot="1" x14ac:dyDescent="0.3">
      <c r="B18" s="15" t="s">
        <v>141</v>
      </c>
      <c r="C18" s="472">
        <f>'Pastoral-areas'!F195</f>
        <v>0</v>
      </c>
      <c r="D18" s="472" t="e">
        <f>Prairies!F196</f>
        <v>#DIV/0!</v>
      </c>
      <c r="E18" s="472" t="e">
        <f>'Agro-sylvopastoral-areas'!F259</f>
        <v>#DIV/0!</v>
      </c>
      <c r="F18" s="473" t="e">
        <f t="shared" si="4"/>
        <v>#DIV/0!</v>
      </c>
      <c r="G18" s="582" t="e">
        <f t="shared" si="5"/>
        <v>#DIV/0!</v>
      </c>
    </row>
    <row r="19" spans="2:7" ht="15.75" thickBot="1" x14ac:dyDescent="0.3">
      <c r="B19" s="15" t="s">
        <v>142</v>
      </c>
      <c r="C19" s="472">
        <f>'Pastoral-areas'!F196</f>
        <v>0</v>
      </c>
      <c r="D19" s="472" t="e">
        <f>Prairies!F197</f>
        <v>#DIV/0!</v>
      </c>
      <c r="E19" s="472" t="e">
        <f>'Agro-sylvopastoral-areas'!F260</f>
        <v>#DIV/0!</v>
      </c>
      <c r="F19" s="473" t="e">
        <f t="shared" si="4"/>
        <v>#DIV/0!</v>
      </c>
      <c r="G19" s="582" t="e">
        <f t="shared" si="5"/>
        <v>#DIV/0!</v>
      </c>
    </row>
    <row r="20" spans="2:7" ht="15.75" thickBot="1" x14ac:dyDescent="0.3">
      <c r="B20" s="15" t="s">
        <v>143</v>
      </c>
      <c r="C20" s="472">
        <f>'Pastoral-areas'!F197</f>
        <v>0</v>
      </c>
      <c r="D20" s="472" t="e">
        <f>Prairies!F198</f>
        <v>#DIV/0!</v>
      </c>
      <c r="E20" s="472" t="e">
        <f>'Agro-sylvopastoral-areas'!F261</f>
        <v>#DIV/0!</v>
      </c>
      <c r="F20" s="473" t="e">
        <f t="shared" si="4"/>
        <v>#DIV/0!</v>
      </c>
      <c r="G20" s="582" t="e">
        <f t="shared" si="5"/>
        <v>#DIV/0!</v>
      </c>
    </row>
    <row r="21" spans="2:7" ht="15.75" thickBot="1" x14ac:dyDescent="0.3">
      <c r="B21" s="15" t="s">
        <v>144</v>
      </c>
      <c r="C21" s="472">
        <f>'Pastoral-areas'!F198</f>
        <v>0</v>
      </c>
      <c r="D21" s="472" t="e">
        <f>Prairies!F199</f>
        <v>#DIV/0!</v>
      </c>
      <c r="E21" s="472" t="e">
        <f>'Agro-sylvopastoral-areas'!F262</f>
        <v>#DIV/0!</v>
      </c>
      <c r="F21" s="473" t="e">
        <f t="shared" si="4"/>
        <v>#DIV/0!</v>
      </c>
      <c r="G21" s="582" t="e">
        <f t="shared" si="5"/>
        <v>#DIV/0!</v>
      </c>
    </row>
    <row r="22" spans="2:7" ht="15.75" thickBot="1" x14ac:dyDescent="0.3">
      <c r="B22" s="15" t="s">
        <v>145</v>
      </c>
      <c r="C22" s="472">
        <f>'Pastoral-areas'!F199</f>
        <v>0</v>
      </c>
      <c r="D22" s="472" t="e">
        <f>Prairies!F200</f>
        <v>#DIV/0!</v>
      </c>
      <c r="E22" s="472" t="e">
        <f>'Agro-sylvopastoral-areas'!F263</f>
        <v>#DIV/0!</v>
      </c>
      <c r="F22" s="473" t="e">
        <f t="shared" si="4"/>
        <v>#DIV/0!</v>
      </c>
      <c r="G22" s="582" t="e">
        <f t="shared" si="5"/>
        <v>#DIV/0!</v>
      </c>
    </row>
    <row r="23" spans="2:7" ht="15.75" thickBot="1" x14ac:dyDescent="0.3">
      <c r="B23" s="15" t="s">
        <v>146</v>
      </c>
      <c r="C23" s="472">
        <f>'Pastoral-areas'!F200</f>
        <v>0</v>
      </c>
      <c r="D23" s="472" t="e">
        <f>Prairies!F201</f>
        <v>#DIV/0!</v>
      </c>
      <c r="E23" s="472" t="e">
        <f>'Agro-sylvopastoral-areas'!F264</f>
        <v>#DIV/0!</v>
      </c>
      <c r="F23" s="473" t="e">
        <f t="shared" si="4"/>
        <v>#DIV/0!</v>
      </c>
      <c r="G23" s="582" t="e">
        <f t="shared" si="5"/>
        <v>#DIV/0!</v>
      </c>
    </row>
    <row r="24" spans="2:7" ht="15.75" thickBot="1" x14ac:dyDescent="0.3">
      <c r="B24" s="15" t="s">
        <v>147</v>
      </c>
      <c r="C24" s="472">
        <f>'Pastoral-areas'!F201</f>
        <v>0</v>
      </c>
      <c r="D24" s="472" t="e">
        <f>Prairies!F202</f>
        <v>#DIV/0!</v>
      </c>
      <c r="E24" s="472" t="e">
        <f>'Agro-sylvopastoral-areas'!F265</f>
        <v>#DIV/0!</v>
      </c>
      <c r="F24" s="473" t="e">
        <f t="shared" si="4"/>
        <v>#DIV/0!</v>
      </c>
      <c r="G24" s="582" t="e">
        <f t="shared" si="5"/>
        <v>#DIV/0!</v>
      </c>
    </row>
    <row r="25" spans="2:7" ht="15.75" thickBot="1" x14ac:dyDescent="0.3">
      <c r="B25" s="15" t="s">
        <v>148</v>
      </c>
      <c r="C25" s="472">
        <f>'Pastoral-areas'!F202</f>
        <v>0</v>
      </c>
      <c r="D25" s="472" t="e">
        <f>Prairies!F203</f>
        <v>#DIV/0!</v>
      </c>
      <c r="E25" s="472" t="e">
        <f>'Agro-sylvopastoral-areas'!F266</f>
        <v>#DIV/0!</v>
      </c>
      <c r="F25" s="473" t="e">
        <f t="shared" si="4"/>
        <v>#DIV/0!</v>
      </c>
      <c r="G25" s="582" t="e">
        <f t="shared" si="5"/>
        <v>#DIV/0!</v>
      </c>
    </row>
    <row r="26" spans="2:7" ht="15.75" thickBot="1" x14ac:dyDescent="0.3">
      <c r="B26" s="15" t="s">
        <v>149</v>
      </c>
      <c r="C26" s="472">
        <f>'Pastoral-areas'!F203</f>
        <v>0</v>
      </c>
      <c r="D26" s="472" t="e">
        <f>Prairies!F204</f>
        <v>#DIV/0!</v>
      </c>
      <c r="E26" s="472" t="e">
        <f>'Agro-sylvopastoral-areas'!F267</f>
        <v>#DIV/0!</v>
      </c>
      <c r="F26" s="473" t="e">
        <f t="shared" si="4"/>
        <v>#DIV/0!</v>
      </c>
      <c r="G26" s="582" t="e">
        <f t="shared" si="5"/>
        <v>#DIV/0!</v>
      </c>
    </row>
    <row r="27" spans="2:7" ht="15.75" thickBot="1" x14ac:dyDescent="0.3">
      <c r="B27" s="15" t="s">
        <v>150</v>
      </c>
      <c r="C27" s="472">
        <f>'Pastoral-areas'!F204</f>
        <v>0</v>
      </c>
      <c r="D27" s="472" t="e">
        <f>Prairies!F205</f>
        <v>#DIV/0!</v>
      </c>
      <c r="E27" s="472" t="e">
        <f>'Agro-sylvopastoral-areas'!F268</f>
        <v>#DIV/0!</v>
      </c>
      <c r="F27" s="473" t="e">
        <f t="shared" si="4"/>
        <v>#DIV/0!</v>
      </c>
      <c r="G27" s="582" t="e">
        <f t="shared" si="5"/>
        <v>#DIV/0!</v>
      </c>
    </row>
    <row r="28" spans="2:7" ht="15.75" thickBot="1" x14ac:dyDescent="0.3">
      <c r="B28" s="15" t="s">
        <v>151</v>
      </c>
      <c r="C28" s="472">
        <f>'Pastoral-areas'!F205</f>
        <v>0</v>
      </c>
      <c r="D28" s="472" t="e">
        <f>Prairies!F206</f>
        <v>#DIV/0!</v>
      </c>
      <c r="E28" s="472" t="e">
        <f>'Agro-sylvopastoral-areas'!F269</f>
        <v>#DIV/0!</v>
      </c>
      <c r="F28" s="473" t="e">
        <f t="shared" si="4"/>
        <v>#DIV/0!</v>
      </c>
      <c r="G28" s="582" t="e">
        <f t="shared" si="5"/>
        <v>#DIV/0!</v>
      </c>
    </row>
    <row r="29" spans="2:7" ht="15.75" thickBot="1" x14ac:dyDescent="0.3">
      <c r="B29" s="15" t="s">
        <v>152</v>
      </c>
      <c r="C29" s="472">
        <f>'Pastoral-areas'!F206</f>
        <v>0</v>
      </c>
      <c r="D29" s="472" t="e">
        <f>Prairies!F207</f>
        <v>#DIV/0!</v>
      </c>
      <c r="E29" s="472" t="e">
        <f>'Agro-sylvopastoral-areas'!F270</f>
        <v>#DIV/0!</v>
      </c>
      <c r="F29" s="473" t="e">
        <f t="shared" si="4"/>
        <v>#DIV/0!</v>
      </c>
      <c r="G29" s="582" t="e">
        <f t="shared" si="5"/>
        <v>#DIV/0!</v>
      </c>
    </row>
    <row r="30" spans="2:7" ht="15.75" thickBot="1" x14ac:dyDescent="0.3">
      <c r="B30" s="15" t="s">
        <v>153</v>
      </c>
      <c r="C30" s="472">
        <f>'Pastoral-areas'!F207</f>
        <v>0</v>
      </c>
      <c r="D30" s="472" t="e">
        <f>Prairies!F208</f>
        <v>#DIV/0!</v>
      </c>
      <c r="E30" s="472" t="e">
        <f>'Agro-sylvopastoral-areas'!F271</f>
        <v>#DIV/0!</v>
      </c>
      <c r="F30" s="473" t="e">
        <f t="shared" si="4"/>
        <v>#DIV/0!</v>
      </c>
      <c r="G30" s="582" t="e">
        <f t="shared" si="5"/>
        <v>#DIV/0!</v>
      </c>
    </row>
    <row r="31" spans="2:7" ht="15.75" thickBot="1" x14ac:dyDescent="0.3">
      <c r="B31" s="15" t="s">
        <v>154</v>
      </c>
      <c r="C31" s="472">
        <f>'Pastoral-areas'!F208</f>
        <v>0</v>
      </c>
      <c r="D31" s="472" t="e">
        <f>Prairies!F209</f>
        <v>#DIV/0!</v>
      </c>
      <c r="E31" s="472" t="e">
        <f>'Agro-sylvopastoral-areas'!F272</f>
        <v>#DIV/0!</v>
      </c>
      <c r="F31" s="473" t="e">
        <f t="shared" si="4"/>
        <v>#DIV/0!</v>
      </c>
      <c r="G31" s="582" t="e">
        <f t="shared" si="5"/>
        <v>#DIV/0!</v>
      </c>
    </row>
    <row r="32" spans="2:7" ht="15.75" thickBot="1" x14ac:dyDescent="0.3">
      <c r="B32" s="15" t="s">
        <v>155</v>
      </c>
      <c r="C32" s="472">
        <f>'Pastoral-areas'!F209</f>
        <v>0</v>
      </c>
      <c r="D32" s="472" t="e">
        <f>Prairies!F210</f>
        <v>#DIV/0!</v>
      </c>
      <c r="E32" s="472" t="e">
        <f>'Agro-sylvopastoral-areas'!F273</f>
        <v>#DIV/0!</v>
      </c>
      <c r="F32" s="473" t="e">
        <f t="shared" si="4"/>
        <v>#DIV/0!</v>
      </c>
      <c r="G32" s="582" t="e">
        <f t="shared" si="5"/>
        <v>#DIV/0!</v>
      </c>
    </row>
    <row r="33" spans="1:11" ht="15.75" thickBot="1" x14ac:dyDescent="0.3">
      <c r="B33" s="15" t="s">
        <v>156</v>
      </c>
      <c r="C33" s="472">
        <f>'Pastoral-areas'!F210</f>
        <v>0</v>
      </c>
      <c r="D33" s="472" t="e">
        <f>Prairies!F211</f>
        <v>#DIV/0!</v>
      </c>
      <c r="E33" s="472" t="e">
        <f>'Agro-sylvopastoral-areas'!F274</f>
        <v>#DIV/0!</v>
      </c>
      <c r="F33" s="473" t="e">
        <f t="shared" si="4"/>
        <v>#DIV/0!</v>
      </c>
      <c r="G33" s="582" t="e">
        <f t="shared" si="5"/>
        <v>#DIV/0!</v>
      </c>
    </row>
    <row r="34" spans="1:11" ht="15.75" thickBot="1" x14ac:dyDescent="0.3">
      <c r="B34" s="15" t="s">
        <v>157</v>
      </c>
      <c r="C34" s="472">
        <f>'Pastoral-areas'!F211</f>
        <v>0</v>
      </c>
      <c r="D34" s="472" t="e">
        <f>Prairies!F212</f>
        <v>#DIV/0!</v>
      </c>
      <c r="E34" s="472" t="e">
        <f>'Agro-sylvopastoral-areas'!F275</f>
        <v>#DIV/0!</v>
      </c>
      <c r="F34" s="473" t="e">
        <f t="shared" si="4"/>
        <v>#DIV/0!</v>
      </c>
      <c r="G34" s="582" t="e">
        <f t="shared" si="5"/>
        <v>#DIV/0!</v>
      </c>
    </row>
    <row r="35" spans="1:11" ht="15.75" thickBot="1" x14ac:dyDescent="0.3">
      <c r="B35" s="15" t="s">
        <v>158</v>
      </c>
      <c r="C35" s="472">
        <f>'Pastoral-areas'!F212</f>
        <v>0</v>
      </c>
      <c r="D35" s="472" t="e">
        <f>Prairies!F213</f>
        <v>#DIV/0!</v>
      </c>
      <c r="E35" s="472" t="e">
        <f>'Agro-sylvopastoral-areas'!F276</f>
        <v>#DIV/0!</v>
      </c>
      <c r="F35" s="473" t="e">
        <f t="shared" si="4"/>
        <v>#DIV/0!</v>
      </c>
      <c r="G35" s="582" t="e">
        <f t="shared" si="5"/>
        <v>#DIV/0!</v>
      </c>
    </row>
    <row r="36" spans="1:11" ht="15.75" thickBot="1" x14ac:dyDescent="0.3">
      <c r="B36" s="15" t="s">
        <v>159</v>
      </c>
      <c r="C36" s="472">
        <f>'Pastoral-areas'!F213</f>
        <v>0</v>
      </c>
      <c r="D36" s="472" t="e">
        <f>Prairies!F214</f>
        <v>#DIV/0!</v>
      </c>
      <c r="E36" s="472" t="e">
        <f>'Agro-sylvopastoral-areas'!F277</f>
        <v>#DIV/0!</v>
      </c>
      <c r="F36" s="473" t="e">
        <f t="shared" si="4"/>
        <v>#DIV/0!</v>
      </c>
      <c r="G36" s="582" t="e">
        <f t="shared" si="5"/>
        <v>#DIV/0!</v>
      </c>
    </row>
    <row r="37" spans="1:11" ht="15.75" thickBot="1" x14ac:dyDescent="0.3">
      <c r="B37" s="15" t="s">
        <v>160</v>
      </c>
      <c r="C37" s="472">
        <f>'Pastoral-areas'!F214</f>
        <v>0</v>
      </c>
      <c r="D37" s="472" t="e">
        <f>Prairies!F215</f>
        <v>#DIV/0!</v>
      </c>
      <c r="E37" s="472" t="e">
        <f>'Agro-sylvopastoral-areas'!F278</f>
        <v>#DIV/0!</v>
      </c>
      <c r="F37" s="473" t="e">
        <f t="shared" si="4"/>
        <v>#DIV/0!</v>
      </c>
      <c r="G37" s="582" t="e">
        <f t="shared" si="5"/>
        <v>#DIV/0!</v>
      </c>
    </row>
    <row r="38" spans="1:11" ht="15.75" thickBot="1" x14ac:dyDescent="0.3">
      <c r="B38" s="15" t="s">
        <v>161</v>
      </c>
      <c r="C38" s="472">
        <f>'Pastoral-areas'!F215</f>
        <v>0</v>
      </c>
      <c r="D38" s="472" t="e">
        <f>Prairies!F216</f>
        <v>#DIV/0!</v>
      </c>
      <c r="E38" s="472" t="e">
        <f>'Agro-sylvopastoral-areas'!F279</f>
        <v>#DIV/0!</v>
      </c>
      <c r="F38" s="473" t="e">
        <f t="shared" si="4"/>
        <v>#DIV/0!</v>
      </c>
      <c r="G38" s="582" t="e">
        <f t="shared" si="5"/>
        <v>#DIV/0!</v>
      </c>
    </row>
    <row r="39" spans="1:11" ht="15.75" thickBot="1" x14ac:dyDescent="0.3">
      <c r="B39" s="15" t="s">
        <v>162</v>
      </c>
      <c r="C39" s="472">
        <f>'Pastoral-areas'!F216</f>
        <v>0</v>
      </c>
      <c r="D39" s="472" t="e">
        <f>Prairies!F217</f>
        <v>#DIV/0!</v>
      </c>
      <c r="E39" s="472" t="e">
        <f>'Agro-sylvopastoral-areas'!F280</f>
        <v>#DIV/0!</v>
      </c>
      <c r="F39" s="473" t="e">
        <f t="shared" si="4"/>
        <v>#DIV/0!</v>
      </c>
      <c r="G39" s="582" t="e">
        <f t="shared" si="5"/>
        <v>#DIV/0!</v>
      </c>
    </row>
    <row r="40" spans="1:11" ht="15.75" thickBot="1" x14ac:dyDescent="0.3">
      <c r="B40" s="179" t="str">
        <f>'Cereals-all-year'!A219</f>
        <v>Total Tunisia</v>
      </c>
      <c r="C40" s="473">
        <f>SUM(C16:C39)</f>
        <v>0</v>
      </c>
      <c r="D40" s="473" t="e">
        <f t="shared" ref="D40:E40" si="6">SUM(D16:D39)</f>
        <v>#DIV/0!</v>
      </c>
      <c r="E40" s="473" t="e">
        <f t="shared" si="6"/>
        <v>#DIV/0!</v>
      </c>
      <c r="F40" s="473" t="e">
        <f t="shared" si="4"/>
        <v>#DIV/0!</v>
      </c>
      <c r="G40" s="582" t="e">
        <f t="shared" si="5"/>
        <v>#DIV/0!</v>
      </c>
    </row>
    <row r="41" spans="1:11" ht="15.75" thickBot="1" x14ac:dyDescent="0.3">
      <c r="B41" s="204" t="s">
        <v>367</v>
      </c>
      <c r="C41" s="387">
        <f t="shared" ref="C41:E41" si="7">C40/$C$3</f>
        <v>0</v>
      </c>
      <c r="D41" s="387" t="e">
        <f t="shared" si="7"/>
        <v>#DIV/0!</v>
      </c>
      <c r="E41" s="387" t="e">
        <f t="shared" si="7"/>
        <v>#DIV/0!</v>
      </c>
      <c r="F41" s="396" t="e">
        <f t="shared" si="4"/>
        <v>#DIV/0!</v>
      </c>
      <c r="G41" s="474"/>
    </row>
    <row r="42" spans="1:11" ht="15.75" thickBot="1" x14ac:dyDescent="0.3">
      <c r="B42" s="178" t="s">
        <v>674</v>
      </c>
      <c r="C42" s="212" t="e">
        <f>C41/$F$41</f>
        <v>#DIV/0!</v>
      </c>
      <c r="D42" s="212" t="e">
        <f>D41/$F$41</f>
        <v>#DIV/0!</v>
      </c>
      <c r="E42" s="212" t="e">
        <f>E41/$F$41</f>
        <v>#DIV/0!</v>
      </c>
      <c r="F42" s="212" t="e">
        <f>F41/$F$41</f>
        <v>#DIV/0!</v>
      </c>
      <c r="G42" s="207"/>
    </row>
    <row r="43" spans="1:11" x14ac:dyDescent="0.25">
      <c r="C43" t="e">
        <f>RANK(C40,$C$40:$E$40)</f>
        <v>#DIV/0!</v>
      </c>
      <c r="D43" t="e">
        <f>RANK(D40,$C$40:$E$40)</f>
        <v>#DIV/0!</v>
      </c>
      <c r="E43" t="e">
        <f>RANK(E40,$C$40:$E$40)</f>
        <v>#DIV/0!</v>
      </c>
      <c r="F43" s="595" t="e">
        <f>SUM(F16:F39)=F40</f>
        <v>#DIV/0!</v>
      </c>
    </row>
    <row r="46" spans="1:11" ht="16.5" thickBot="1" x14ac:dyDescent="0.3">
      <c r="A46" s="148" t="s">
        <v>791</v>
      </c>
    </row>
    <row r="47" spans="1:11" ht="36" customHeight="1" thickBot="1" x14ac:dyDescent="0.3">
      <c r="B47" s="859" t="s">
        <v>101</v>
      </c>
      <c r="C47" s="806" t="s">
        <v>676</v>
      </c>
      <c r="D47" s="801"/>
      <c r="E47" s="807"/>
      <c r="F47" s="864" t="s">
        <v>673</v>
      </c>
      <c r="G47" s="821" t="s">
        <v>677</v>
      </c>
      <c r="H47" s="810" t="s">
        <v>678</v>
      </c>
      <c r="I47" s="830" t="s">
        <v>679</v>
      </c>
      <c r="J47" s="830" t="s">
        <v>680</v>
      </c>
      <c r="K47" s="870" t="s">
        <v>681</v>
      </c>
    </row>
    <row r="48" spans="1:11" ht="15.75" thickBot="1" x14ac:dyDescent="0.3">
      <c r="B48" s="860"/>
      <c r="C48" s="203" t="s">
        <v>123</v>
      </c>
      <c r="D48" s="143" t="s">
        <v>38</v>
      </c>
      <c r="E48" s="143" t="s">
        <v>789</v>
      </c>
      <c r="F48" s="865"/>
      <c r="G48" s="759"/>
      <c r="H48" s="762"/>
      <c r="I48" s="830"/>
      <c r="J48" s="830"/>
      <c r="K48" s="870"/>
    </row>
    <row r="49" spans="2:11" x14ac:dyDescent="0.25">
      <c r="B49" s="179" t="str">
        <f>B16</f>
        <v>Tunis</v>
      </c>
      <c r="C49" s="472">
        <f>'Pastoral-areas'!N32</f>
        <v>0</v>
      </c>
      <c r="D49" s="472">
        <f>Prairies!N33</f>
        <v>0</v>
      </c>
      <c r="E49" s="472">
        <f>'Agro-sylvopastoral-areas'!N30</f>
        <v>0</v>
      </c>
      <c r="F49" s="475">
        <f t="shared" ref="F49" si="8">SUM(C49:E49)</f>
        <v>0</v>
      </c>
      <c r="G49" s="42" t="e">
        <f>F49/$F$73</f>
        <v>#DIV/0!</v>
      </c>
      <c r="H49" s="581" t="e">
        <f>F49/'Area&amp;production data'!AG5</f>
        <v>#DIV/0!</v>
      </c>
      <c r="I49" s="14">
        <f>RANK(F49,$F$49:$F$72)</f>
        <v>1</v>
      </c>
      <c r="J49" s="14" t="e">
        <f>RANK(H49,$H$49:$H$72)</f>
        <v>#DIV/0!</v>
      </c>
      <c r="K49" s="42" t="e">
        <f>F49/'Area&amp;production data'!AG5</f>
        <v>#DIV/0!</v>
      </c>
    </row>
    <row r="50" spans="2:11" x14ac:dyDescent="0.25">
      <c r="B50" s="179" t="str">
        <f>B17</f>
        <v>Ariana</v>
      </c>
      <c r="C50" s="472">
        <f>'Pastoral-areas'!N33</f>
        <v>0</v>
      </c>
      <c r="D50" s="472">
        <f>Prairies!N34</f>
        <v>0</v>
      </c>
      <c r="E50" s="472">
        <f>'Agro-sylvopastoral-areas'!N31</f>
        <v>0</v>
      </c>
      <c r="F50" s="475">
        <f t="shared" ref="F50:F51" si="9">SUM(C50:E50)</f>
        <v>0</v>
      </c>
      <c r="G50" s="42" t="e">
        <f>F50/$F$73</f>
        <v>#DIV/0!</v>
      </c>
      <c r="H50" s="581" t="e">
        <f>F50/'Area&amp;production data'!AG6</f>
        <v>#DIV/0!</v>
      </c>
      <c r="I50" s="14">
        <f>RANK(F50,$F$49:$F$72)</f>
        <v>1</v>
      </c>
      <c r="J50" s="14" t="e">
        <f>RANK(H50,$H$49:$H$72)</f>
        <v>#DIV/0!</v>
      </c>
      <c r="K50" s="42" t="e">
        <f>F50/'Area&amp;production data'!AG6</f>
        <v>#DIV/0!</v>
      </c>
    </row>
    <row r="51" spans="2:11" x14ac:dyDescent="0.25">
      <c r="B51" s="179" t="str">
        <f t="shared" ref="B51:B62" si="10">B18</f>
        <v>La Manouba</v>
      </c>
      <c r="C51" s="472">
        <f>'Pastoral-areas'!N34</f>
        <v>0</v>
      </c>
      <c r="D51" s="472">
        <f>Prairies!N35</f>
        <v>0</v>
      </c>
      <c r="E51" s="472">
        <f>'Agro-sylvopastoral-areas'!N32</f>
        <v>0</v>
      </c>
      <c r="F51" s="475">
        <f t="shared" si="9"/>
        <v>0</v>
      </c>
      <c r="G51" s="42" t="e">
        <f t="shared" ref="G51:G62" si="11">F51/$F$73</f>
        <v>#DIV/0!</v>
      </c>
      <c r="H51" s="581" t="e">
        <f>F51/'Area&amp;production data'!AG7</f>
        <v>#DIV/0!</v>
      </c>
      <c r="I51" s="14">
        <f t="shared" ref="I51:I62" si="12">RANK(F51,$F$49:$F$72)</f>
        <v>1</v>
      </c>
      <c r="J51" s="14" t="e">
        <f t="shared" ref="J51:J62" si="13">RANK(H51,$H$49:$H$72)</f>
        <v>#DIV/0!</v>
      </c>
      <c r="K51" s="42" t="e">
        <f>F51/'Area&amp;production data'!AG7</f>
        <v>#DIV/0!</v>
      </c>
    </row>
    <row r="52" spans="2:11" x14ac:dyDescent="0.25">
      <c r="B52" s="179" t="str">
        <f t="shared" si="10"/>
        <v>Ben Arous</v>
      </c>
      <c r="C52" s="472">
        <f>'Pastoral-areas'!N35</f>
        <v>0</v>
      </c>
      <c r="D52" s="472">
        <f>Prairies!N36</f>
        <v>0</v>
      </c>
      <c r="E52" s="472">
        <f>'Agro-sylvopastoral-areas'!N33</f>
        <v>0</v>
      </c>
      <c r="F52" s="475">
        <f t="shared" ref="F52:F65" si="14">SUM(C52:E52)</f>
        <v>0</v>
      </c>
      <c r="G52" s="42" t="e">
        <f t="shared" si="11"/>
        <v>#DIV/0!</v>
      </c>
      <c r="H52" s="581" t="e">
        <f>F52/'Area&amp;production data'!AG8</f>
        <v>#DIV/0!</v>
      </c>
      <c r="I52" s="14">
        <f t="shared" si="12"/>
        <v>1</v>
      </c>
      <c r="J52" s="14" t="e">
        <f t="shared" si="13"/>
        <v>#DIV/0!</v>
      </c>
      <c r="K52" s="42" t="e">
        <f>F52/'Area&amp;production data'!AG8</f>
        <v>#DIV/0!</v>
      </c>
    </row>
    <row r="53" spans="2:11" x14ac:dyDescent="0.25">
      <c r="B53" s="179" t="str">
        <f t="shared" si="10"/>
        <v>Nabeul</v>
      </c>
      <c r="C53" s="472">
        <f>'Pastoral-areas'!N36</f>
        <v>0</v>
      </c>
      <c r="D53" s="472">
        <f>Prairies!N37</f>
        <v>0</v>
      </c>
      <c r="E53" s="472">
        <f>'Agro-sylvopastoral-areas'!N34</f>
        <v>0</v>
      </c>
      <c r="F53" s="475">
        <f t="shared" si="14"/>
        <v>0</v>
      </c>
      <c r="G53" s="42" t="e">
        <f t="shared" si="11"/>
        <v>#DIV/0!</v>
      </c>
      <c r="H53" s="581" t="e">
        <f>F53/'Area&amp;production data'!AG9</f>
        <v>#DIV/0!</v>
      </c>
      <c r="I53" s="14">
        <f t="shared" si="12"/>
        <v>1</v>
      </c>
      <c r="J53" s="14" t="e">
        <f t="shared" si="13"/>
        <v>#DIV/0!</v>
      </c>
      <c r="K53" s="42" t="e">
        <f>F53/'Area&amp;production data'!AG9</f>
        <v>#DIV/0!</v>
      </c>
    </row>
    <row r="54" spans="2:11" x14ac:dyDescent="0.25">
      <c r="B54" s="179" t="str">
        <f t="shared" si="10"/>
        <v>Bizerte</v>
      </c>
      <c r="C54" s="472">
        <f>'Pastoral-areas'!N37</f>
        <v>0</v>
      </c>
      <c r="D54" s="472">
        <f>Prairies!N38</f>
        <v>0</v>
      </c>
      <c r="E54" s="472">
        <f>'Agro-sylvopastoral-areas'!N35</f>
        <v>0</v>
      </c>
      <c r="F54" s="475">
        <f t="shared" si="14"/>
        <v>0</v>
      </c>
      <c r="G54" s="42" t="e">
        <f t="shared" si="11"/>
        <v>#DIV/0!</v>
      </c>
      <c r="H54" s="581" t="e">
        <f>F54/'Area&amp;production data'!AG10</f>
        <v>#DIV/0!</v>
      </c>
      <c r="I54" s="14">
        <f t="shared" si="12"/>
        <v>1</v>
      </c>
      <c r="J54" s="14" t="e">
        <f t="shared" si="13"/>
        <v>#DIV/0!</v>
      </c>
      <c r="K54" s="42" t="e">
        <f>F54/'Area&amp;production data'!AG10</f>
        <v>#DIV/0!</v>
      </c>
    </row>
    <row r="55" spans="2:11" x14ac:dyDescent="0.25">
      <c r="B55" s="179" t="str">
        <f t="shared" si="10"/>
        <v>Zaghouan</v>
      </c>
      <c r="C55" s="472">
        <f>'Pastoral-areas'!N38</f>
        <v>0</v>
      </c>
      <c r="D55" s="472">
        <f>Prairies!N39</f>
        <v>0</v>
      </c>
      <c r="E55" s="472">
        <f>'Agro-sylvopastoral-areas'!N36</f>
        <v>0</v>
      </c>
      <c r="F55" s="475">
        <f t="shared" si="14"/>
        <v>0</v>
      </c>
      <c r="G55" s="42" t="e">
        <f t="shared" si="11"/>
        <v>#DIV/0!</v>
      </c>
      <c r="H55" s="581" t="e">
        <f>F55/'Area&amp;production data'!AG11</f>
        <v>#DIV/0!</v>
      </c>
      <c r="I55" s="14">
        <f t="shared" si="12"/>
        <v>1</v>
      </c>
      <c r="J55" s="14" t="e">
        <f t="shared" si="13"/>
        <v>#DIV/0!</v>
      </c>
      <c r="K55" s="42" t="e">
        <f>F55/'Area&amp;production data'!AG11</f>
        <v>#DIV/0!</v>
      </c>
    </row>
    <row r="56" spans="2:11" x14ac:dyDescent="0.25">
      <c r="B56" s="179" t="str">
        <f t="shared" si="10"/>
        <v>Béja</v>
      </c>
      <c r="C56" s="472">
        <f>'Pastoral-areas'!N39</f>
        <v>0</v>
      </c>
      <c r="D56" s="472">
        <f>Prairies!N40</f>
        <v>0</v>
      </c>
      <c r="E56" s="472">
        <f>'Agro-sylvopastoral-areas'!N37</f>
        <v>0</v>
      </c>
      <c r="F56" s="475">
        <f t="shared" si="14"/>
        <v>0</v>
      </c>
      <c r="G56" s="42" t="e">
        <f t="shared" si="11"/>
        <v>#DIV/0!</v>
      </c>
      <c r="H56" s="581" t="e">
        <f>F56/'Area&amp;production data'!AG12</f>
        <v>#DIV/0!</v>
      </c>
      <c r="I56" s="14">
        <f t="shared" si="12"/>
        <v>1</v>
      </c>
      <c r="J56" s="14" t="e">
        <f t="shared" si="13"/>
        <v>#DIV/0!</v>
      </c>
      <c r="K56" s="42" t="e">
        <f>F56/'Area&amp;production data'!AG12</f>
        <v>#DIV/0!</v>
      </c>
    </row>
    <row r="57" spans="2:11" x14ac:dyDescent="0.25">
      <c r="B57" s="179" t="str">
        <f t="shared" si="10"/>
        <v>Jendouba</v>
      </c>
      <c r="C57" s="472">
        <f>'Pastoral-areas'!N40</f>
        <v>0</v>
      </c>
      <c r="D57" s="472">
        <f>Prairies!N41</f>
        <v>0</v>
      </c>
      <c r="E57" s="472">
        <f>'Agro-sylvopastoral-areas'!N38</f>
        <v>0</v>
      </c>
      <c r="F57" s="475">
        <f t="shared" si="14"/>
        <v>0</v>
      </c>
      <c r="G57" s="42" t="e">
        <f t="shared" si="11"/>
        <v>#DIV/0!</v>
      </c>
      <c r="H57" s="581" t="e">
        <f>F57/'Area&amp;production data'!AG13</f>
        <v>#DIV/0!</v>
      </c>
      <c r="I57" s="14">
        <f t="shared" si="12"/>
        <v>1</v>
      </c>
      <c r="J57" s="14" t="e">
        <f t="shared" si="13"/>
        <v>#DIV/0!</v>
      </c>
      <c r="K57" s="42" t="e">
        <f>F57/'Area&amp;production data'!AG13</f>
        <v>#DIV/0!</v>
      </c>
    </row>
    <row r="58" spans="2:11" x14ac:dyDescent="0.25">
      <c r="B58" s="179" t="str">
        <f t="shared" si="10"/>
        <v>Le Kef</v>
      </c>
      <c r="C58" s="472">
        <f>'Pastoral-areas'!N41</f>
        <v>0</v>
      </c>
      <c r="D58" s="472">
        <f>Prairies!N42</f>
        <v>0</v>
      </c>
      <c r="E58" s="472">
        <f>'Agro-sylvopastoral-areas'!N39</f>
        <v>0</v>
      </c>
      <c r="F58" s="475">
        <f t="shared" si="14"/>
        <v>0</v>
      </c>
      <c r="G58" s="42" t="e">
        <f t="shared" si="11"/>
        <v>#DIV/0!</v>
      </c>
      <c r="H58" s="581" t="e">
        <f>F58/'Area&amp;production data'!AG14</f>
        <v>#DIV/0!</v>
      </c>
      <c r="I58" s="14">
        <f t="shared" si="12"/>
        <v>1</v>
      </c>
      <c r="J58" s="14" t="e">
        <f t="shared" si="13"/>
        <v>#DIV/0!</v>
      </c>
      <c r="K58" s="42" t="e">
        <f>F58/'Area&amp;production data'!AG14</f>
        <v>#DIV/0!</v>
      </c>
    </row>
    <row r="59" spans="2:11" x14ac:dyDescent="0.25">
      <c r="B59" s="179" t="str">
        <f t="shared" si="10"/>
        <v>Siliana</v>
      </c>
      <c r="C59" s="472">
        <f>'Pastoral-areas'!N42</f>
        <v>0</v>
      </c>
      <c r="D59" s="472">
        <f>Prairies!N43</f>
        <v>0</v>
      </c>
      <c r="E59" s="472">
        <f>'Agro-sylvopastoral-areas'!N40</f>
        <v>0</v>
      </c>
      <c r="F59" s="475">
        <f t="shared" si="14"/>
        <v>0</v>
      </c>
      <c r="G59" s="42" t="e">
        <f t="shared" si="11"/>
        <v>#DIV/0!</v>
      </c>
      <c r="H59" s="581" t="e">
        <f>F59/'Area&amp;production data'!AG15</f>
        <v>#DIV/0!</v>
      </c>
      <c r="I59" s="14">
        <f t="shared" si="12"/>
        <v>1</v>
      </c>
      <c r="J59" s="14" t="e">
        <f t="shared" si="13"/>
        <v>#DIV/0!</v>
      </c>
      <c r="K59" s="42" t="e">
        <f>F59/'Area&amp;production data'!AG15</f>
        <v>#DIV/0!</v>
      </c>
    </row>
    <row r="60" spans="2:11" x14ac:dyDescent="0.25">
      <c r="B60" s="179" t="str">
        <f t="shared" si="10"/>
        <v>Sousse</v>
      </c>
      <c r="C60" s="472">
        <f>'Pastoral-areas'!N43</f>
        <v>0</v>
      </c>
      <c r="D60" s="472">
        <f>Prairies!N44</f>
        <v>0</v>
      </c>
      <c r="E60" s="472">
        <f>'Agro-sylvopastoral-areas'!N41</f>
        <v>0</v>
      </c>
      <c r="F60" s="475">
        <f t="shared" si="14"/>
        <v>0</v>
      </c>
      <c r="G60" s="42" t="e">
        <f t="shared" si="11"/>
        <v>#DIV/0!</v>
      </c>
      <c r="H60" s="581" t="e">
        <f>F60/'Area&amp;production data'!AG16</f>
        <v>#DIV/0!</v>
      </c>
      <c r="I60" s="14">
        <f t="shared" si="12"/>
        <v>1</v>
      </c>
      <c r="J60" s="14" t="e">
        <f t="shared" si="13"/>
        <v>#DIV/0!</v>
      </c>
      <c r="K60" s="42" t="e">
        <f>F60/'Area&amp;production data'!AG16</f>
        <v>#DIV/0!</v>
      </c>
    </row>
    <row r="61" spans="2:11" x14ac:dyDescent="0.25">
      <c r="B61" s="179" t="str">
        <f t="shared" si="10"/>
        <v>Monastir</v>
      </c>
      <c r="C61" s="472">
        <f>'Pastoral-areas'!N44</f>
        <v>0</v>
      </c>
      <c r="D61" s="472">
        <f>Prairies!N45</f>
        <v>0</v>
      </c>
      <c r="E61" s="472">
        <f>'Agro-sylvopastoral-areas'!N42</f>
        <v>0</v>
      </c>
      <c r="F61" s="475">
        <f t="shared" si="14"/>
        <v>0</v>
      </c>
      <c r="G61" s="42" t="e">
        <f t="shared" si="11"/>
        <v>#DIV/0!</v>
      </c>
      <c r="H61" s="581" t="e">
        <f>F61/'Area&amp;production data'!AG17</f>
        <v>#DIV/0!</v>
      </c>
      <c r="I61" s="14">
        <f t="shared" si="12"/>
        <v>1</v>
      </c>
      <c r="J61" s="14" t="e">
        <f t="shared" si="13"/>
        <v>#DIV/0!</v>
      </c>
      <c r="K61" s="42" t="e">
        <f>F61/'Area&amp;production data'!AG17</f>
        <v>#DIV/0!</v>
      </c>
    </row>
    <row r="62" spans="2:11" x14ac:dyDescent="0.25">
      <c r="B62" s="179" t="str">
        <f t="shared" si="10"/>
        <v>Mahdia</v>
      </c>
      <c r="C62" s="472">
        <f>'Pastoral-areas'!N45</f>
        <v>0</v>
      </c>
      <c r="D62" s="472">
        <f>Prairies!N46</f>
        <v>0</v>
      </c>
      <c r="E62" s="472">
        <f>'Agro-sylvopastoral-areas'!N43</f>
        <v>0</v>
      </c>
      <c r="F62" s="475">
        <f t="shared" si="14"/>
        <v>0</v>
      </c>
      <c r="G62" s="42" t="e">
        <f t="shared" si="11"/>
        <v>#DIV/0!</v>
      </c>
      <c r="H62" s="581" t="e">
        <f>F62/'Area&amp;production data'!AG18</f>
        <v>#DIV/0!</v>
      </c>
      <c r="I62" s="14">
        <f t="shared" si="12"/>
        <v>1</v>
      </c>
      <c r="J62" s="14" t="e">
        <f t="shared" si="13"/>
        <v>#DIV/0!</v>
      </c>
      <c r="K62" s="42" t="e">
        <f>F62/'Area&amp;production data'!AG18</f>
        <v>#DIV/0!</v>
      </c>
    </row>
    <row r="63" spans="2:11" x14ac:dyDescent="0.25">
      <c r="B63" s="179" t="str">
        <f>B30</f>
        <v>Sfax</v>
      </c>
      <c r="C63" s="472">
        <f>'Pastoral-areas'!N46</f>
        <v>0</v>
      </c>
      <c r="D63" s="472">
        <f>Prairies!N47</f>
        <v>0</v>
      </c>
      <c r="E63" s="472">
        <f>'Agro-sylvopastoral-areas'!N44</f>
        <v>0</v>
      </c>
      <c r="F63" s="475">
        <f t="shared" si="14"/>
        <v>0</v>
      </c>
      <c r="G63" s="42" t="e">
        <f>F63/$F$73</f>
        <v>#DIV/0!</v>
      </c>
      <c r="H63" s="581" t="e">
        <f>F63/'Area&amp;production data'!AG19</f>
        <v>#DIV/0!</v>
      </c>
      <c r="I63" s="14">
        <f>RANK(F63,$F$49:$F$72)</f>
        <v>1</v>
      </c>
      <c r="J63" s="14" t="e">
        <f>RANK(H63,$H$49:$H$72)</f>
        <v>#DIV/0!</v>
      </c>
      <c r="K63" s="42" t="e">
        <f>F63/'Area&amp;production data'!AG19</f>
        <v>#DIV/0!</v>
      </c>
    </row>
    <row r="64" spans="2:11" x14ac:dyDescent="0.25">
      <c r="B64" s="179" t="str">
        <f>B31</f>
        <v>Kairouan</v>
      </c>
      <c r="C64" s="472">
        <f>'Pastoral-areas'!N47</f>
        <v>0</v>
      </c>
      <c r="D64" s="472">
        <f>Prairies!N48</f>
        <v>0</v>
      </c>
      <c r="E64" s="472">
        <f>'Agro-sylvopastoral-areas'!N45</f>
        <v>0</v>
      </c>
      <c r="F64" s="475">
        <f t="shared" si="14"/>
        <v>0</v>
      </c>
      <c r="G64" s="42" t="e">
        <f>F64/$F$73</f>
        <v>#DIV/0!</v>
      </c>
      <c r="H64" s="581" t="e">
        <f>F64/'Area&amp;production data'!AG20</f>
        <v>#DIV/0!</v>
      </c>
      <c r="I64" s="14">
        <f>RANK(F64,$F$49:$F$72)</f>
        <v>1</v>
      </c>
      <c r="J64" s="14" t="e">
        <f>RANK(H64,$H$49:$H$72)</f>
        <v>#DIV/0!</v>
      </c>
      <c r="K64" s="42" t="e">
        <f>F64/'Area&amp;production data'!AG20</f>
        <v>#DIV/0!</v>
      </c>
    </row>
    <row r="65" spans="2:11" x14ac:dyDescent="0.25">
      <c r="B65" s="179" t="str">
        <f t="shared" ref="B65:B72" si="15">B32</f>
        <v>Kasserine</v>
      </c>
      <c r="C65" s="472">
        <f>'Pastoral-areas'!N48</f>
        <v>0</v>
      </c>
      <c r="D65" s="472">
        <f>Prairies!N49</f>
        <v>0</v>
      </c>
      <c r="E65" s="472">
        <f>'Agro-sylvopastoral-areas'!N46</f>
        <v>0</v>
      </c>
      <c r="F65" s="475">
        <f t="shared" si="14"/>
        <v>0</v>
      </c>
      <c r="G65" s="42" t="e">
        <f t="shared" ref="G65:G72" si="16">F65/$F$73</f>
        <v>#DIV/0!</v>
      </c>
      <c r="H65" s="581" t="e">
        <f>F65/'Area&amp;production data'!AG21</f>
        <v>#DIV/0!</v>
      </c>
      <c r="I65" s="14">
        <f t="shared" ref="I65:I72" si="17">RANK(F65,$F$49:$F$72)</f>
        <v>1</v>
      </c>
      <c r="J65" s="14" t="e">
        <f t="shared" ref="J65:J72" si="18">RANK(H65,$H$49:$H$72)</f>
        <v>#DIV/0!</v>
      </c>
      <c r="K65" s="42" t="e">
        <f>F65/'Area&amp;production data'!AG21</f>
        <v>#DIV/0!</v>
      </c>
    </row>
    <row r="66" spans="2:11" x14ac:dyDescent="0.25">
      <c r="B66" s="179" t="str">
        <f t="shared" si="15"/>
        <v>Sidi Bouzid</v>
      </c>
      <c r="C66" s="472">
        <f>'Pastoral-areas'!N49</f>
        <v>0</v>
      </c>
      <c r="D66" s="472">
        <f>Prairies!N50</f>
        <v>0</v>
      </c>
      <c r="E66" s="472">
        <f>'Agro-sylvopastoral-areas'!N47</f>
        <v>0</v>
      </c>
      <c r="F66" s="475">
        <f t="shared" ref="F66:F72" si="19">SUM(C66:E66)</f>
        <v>0</v>
      </c>
      <c r="G66" s="42" t="e">
        <f t="shared" si="16"/>
        <v>#DIV/0!</v>
      </c>
      <c r="H66" s="581" t="e">
        <f>F66/'Area&amp;production data'!AG22</f>
        <v>#DIV/0!</v>
      </c>
      <c r="I66" s="14">
        <f t="shared" si="17"/>
        <v>1</v>
      </c>
      <c r="J66" s="14" t="e">
        <f t="shared" si="18"/>
        <v>#DIV/0!</v>
      </c>
      <c r="K66" s="42" t="e">
        <f>F66/'Area&amp;production data'!AG22</f>
        <v>#DIV/0!</v>
      </c>
    </row>
    <row r="67" spans="2:11" x14ac:dyDescent="0.25">
      <c r="B67" s="179" t="str">
        <f t="shared" si="15"/>
        <v>Gafsa</v>
      </c>
      <c r="C67" s="472">
        <f>'Pastoral-areas'!N50</f>
        <v>0</v>
      </c>
      <c r="D67" s="472">
        <f>Prairies!N51</f>
        <v>0</v>
      </c>
      <c r="E67" s="472">
        <f>'Agro-sylvopastoral-areas'!N48</f>
        <v>0</v>
      </c>
      <c r="F67" s="475">
        <f t="shared" si="19"/>
        <v>0</v>
      </c>
      <c r="G67" s="42" t="e">
        <f t="shared" si="16"/>
        <v>#DIV/0!</v>
      </c>
      <c r="H67" s="581" t="e">
        <f>F67/'Area&amp;production data'!AG23</f>
        <v>#DIV/0!</v>
      </c>
      <c r="I67" s="14">
        <f t="shared" si="17"/>
        <v>1</v>
      </c>
      <c r="J67" s="14" t="e">
        <f t="shared" si="18"/>
        <v>#DIV/0!</v>
      </c>
      <c r="K67" s="42" t="e">
        <f>F67/'Area&amp;production data'!AG23</f>
        <v>#DIV/0!</v>
      </c>
    </row>
    <row r="68" spans="2:11" x14ac:dyDescent="0.25">
      <c r="B68" s="179" t="str">
        <f t="shared" si="15"/>
        <v>Gabès</v>
      </c>
      <c r="C68" s="472">
        <f>'Pastoral-areas'!N51</f>
        <v>0</v>
      </c>
      <c r="D68" s="472">
        <f>Prairies!N52</f>
        <v>0</v>
      </c>
      <c r="E68" s="472">
        <f>'Agro-sylvopastoral-areas'!N49</f>
        <v>0</v>
      </c>
      <c r="F68" s="475">
        <f t="shared" si="19"/>
        <v>0</v>
      </c>
      <c r="G68" s="42" t="e">
        <f t="shared" si="16"/>
        <v>#DIV/0!</v>
      </c>
      <c r="H68" s="581" t="e">
        <f>F68/'Area&amp;production data'!AG24</f>
        <v>#DIV/0!</v>
      </c>
      <c r="I68" s="14">
        <f t="shared" si="17"/>
        <v>1</v>
      </c>
      <c r="J68" s="14" t="e">
        <f t="shared" si="18"/>
        <v>#DIV/0!</v>
      </c>
      <c r="K68" s="42" t="e">
        <f>F68/'Area&amp;production data'!AG24</f>
        <v>#DIV/0!</v>
      </c>
    </row>
    <row r="69" spans="2:11" x14ac:dyDescent="0.25">
      <c r="B69" s="179" t="str">
        <f t="shared" si="15"/>
        <v>Médenine</v>
      </c>
      <c r="C69" s="472">
        <f>'Pastoral-areas'!N52</f>
        <v>0</v>
      </c>
      <c r="D69" s="472">
        <f>Prairies!N53</f>
        <v>0</v>
      </c>
      <c r="E69" s="472">
        <f>'Agro-sylvopastoral-areas'!N50</f>
        <v>0</v>
      </c>
      <c r="F69" s="475">
        <f t="shared" si="19"/>
        <v>0</v>
      </c>
      <c r="G69" s="42" t="e">
        <f t="shared" si="16"/>
        <v>#DIV/0!</v>
      </c>
      <c r="H69" s="581" t="e">
        <f>F69/'Area&amp;production data'!AG25</f>
        <v>#DIV/0!</v>
      </c>
      <c r="I69" s="14">
        <f t="shared" si="17"/>
        <v>1</v>
      </c>
      <c r="J69" s="14" t="e">
        <f t="shared" si="18"/>
        <v>#DIV/0!</v>
      </c>
      <c r="K69" s="42" t="e">
        <f>F69/'Area&amp;production data'!AG25</f>
        <v>#DIV/0!</v>
      </c>
    </row>
    <row r="70" spans="2:11" x14ac:dyDescent="0.25">
      <c r="B70" s="179" t="str">
        <f t="shared" si="15"/>
        <v>Tataouine</v>
      </c>
      <c r="C70" s="472">
        <f>'Pastoral-areas'!N53</f>
        <v>0</v>
      </c>
      <c r="D70" s="472">
        <f>Prairies!N54</f>
        <v>0</v>
      </c>
      <c r="E70" s="472">
        <f>'Agro-sylvopastoral-areas'!N51</f>
        <v>0</v>
      </c>
      <c r="F70" s="475">
        <f t="shared" si="19"/>
        <v>0</v>
      </c>
      <c r="G70" s="42" t="e">
        <f t="shared" si="16"/>
        <v>#DIV/0!</v>
      </c>
      <c r="H70" s="581" t="e">
        <f>F70/'Area&amp;production data'!AG26</f>
        <v>#DIV/0!</v>
      </c>
      <c r="I70" s="14">
        <f t="shared" si="17"/>
        <v>1</v>
      </c>
      <c r="J70" s="14" t="e">
        <f t="shared" si="18"/>
        <v>#DIV/0!</v>
      </c>
      <c r="K70" s="42" t="e">
        <f>F70/'Area&amp;production data'!AG26</f>
        <v>#DIV/0!</v>
      </c>
    </row>
    <row r="71" spans="2:11" x14ac:dyDescent="0.25">
      <c r="B71" s="179" t="str">
        <f t="shared" si="15"/>
        <v>Tozeur</v>
      </c>
      <c r="C71" s="472">
        <f>'Pastoral-areas'!N54</f>
        <v>0</v>
      </c>
      <c r="D71" s="472">
        <f>Prairies!N55</f>
        <v>0</v>
      </c>
      <c r="E71" s="472">
        <f>'Agro-sylvopastoral-areas'!N52</f>
        <v>0</v>
      </c>
      <c r="F71" s="475">
        <f t="shared" si="19"/>
        <v>0</v>
      </c>
      <c r="G71" s="42" t="e">
        <f t="shared" si="16"/>
        <v>#DIV/0!</v>
      </c>
      <c r="H71" s="581" t="e">
        <f>F71/'Area&amp;production data'!AG27</f>
        <v>#DIV/0!</v>
      </c>
      <c r="I71" s="14">
        <f t="shared" si="17"/>
        <v>1</v>
      </c>
      <c r="J71" s="14" t="e">
        <f t="shared" si="18"/>
        <v>#DIV/0!</v>
      </c>
      <c r="K71" s="42" t="e">
        <f>F71/'Area&amp;production data'!AG27</f>
        <v>#DIV/0!</v>
      </c>
    </row>
    <row r="72" spans="2:11" x14ac:dyDescent="0.25">
      <c r="B72" s="179" t="str">
        <f t="shared" si="15"/>
        <v>Kébili</v>
      </c>
      <c r="C72" s="472">
        <f>'Pastoral-areas'!N55</f>
        <v>0</v>
      </c>
      <c r="D72" s="472">
        <f>Prairies!N56</f>
        <v>0</v>
      </c>
      <c r="E72" s="472">
        <f>'Agro-sylvopastoral-areas'!N53</f>
        <v>0</v>
      </c>
      <c r="F72" s="475">
        <f t="shared" si="19"/>
        <v>0</v>
      </c>
      <c r="G72" s="42" t="e">
        <f t="shared" si="16"/>
        <v>#DIV/0!</v>
      </c>
      <c r="H72" s="581" t="e">
        <f>F72/'Area&amp;production data'!AG28</f>
        <v>#DIV/0!</v>
      </c>
      <c r="I72" s="14">
        <f t="shared" si="17"/>
        <v>1</v>
      </c>
      <c r="J72" s="14" t="e">
        <f t="shared" si="18"/>
        <v>#DIV/0!</v>
      </c>
      <c r="K72" s="42" t="e">
        <f>F72/'Area&amp;production data'!AG28</f>
        <v>#DIV/0!</v>
      </c>
    </row>
    <row r="73" spans="2:11" x14ac:dyDescent="0.25">
      <c r="B73" s="593" t="str">
        <f>B40</f>
        <v>Total Tunisia</v>
      </c>
      <c r="C73" s="473">
        <f>SUM(C49:C72)</f>
        <v>0</v>
      </c>
      <c r="D73" s="473">
        <f t="shared" ref="D73:E73" si="20">SUM(D49:D72)</f>
        <v>0</v>
      </c>
      <c r="E73" s="473">
        <f t="shared" si="20"/>
        <v>0</v>
      </c>
      <c r="F73" s="473">
        <f>SUM(F49:F72)</f>
        <v>0</v>
      </c>
      <c r="G73" s="42" t="e">
        <f>F73/$F$73</f>
        <v>#DIV/0!</v>
      </c>
      <c r="H73" s="581"/>
      <c r="I73" s="581"/>
      <c r="J73" s="581"/>
      <c r="K73" s="42"/>
    </row>
    <row r="74" spans="2:11" ht="15.75" thickBot="1" x14ac:dyDescent="0.3">
      <c r="B74" s="334" t="s">
        <v>682</v>
      </c>
      <c r="C74" s="477" t="e">
        <f>C73/'Area&amp;production data'!F29</f>
        <v>#DIV/0!</v>
      </c>
      <c r="D74" s="477" t="e">
        <f>D73/'Area&amp;production data'!G29</f>
        <v>#DIV/0!</v>
      </c>
      <c r="E74" s="477" t="e">
        <f>E73/'Area&amp;production data'!H29</f>
        <v>#DIV/0!</v>
      </c>
      <c r="F74" s="477" t="e">
        <f>F73/'Area&amp;production data'!Q29</f>
        <v>#DIV/0!</v>
      </c>
      <c r="G74" s="42"/>
      <c r="H74" s="581"/>
      <c r="I74" s="14"/>
      <c r="J74" s="14"/>
      <c r="K74" s="14"/>
    </row>
    <row r="75" spans="2:11" x14ac:dyDescent="0.25">
      <c r="B75" s="301" t="s">
        <v>674</v>
      </c>
      <c r="C75" s="302" t="e">
        <f>C73/$F$73</f>
        <v>#DIV/0!</v>
      </c>
      <c r="D75" s="302" t="e">
        <f>D73/$F$73</f>
        <v>#DIV/0!</v>
      </c>
      <c r="E75" s="302" t="e">
        <f>E73/$F$73</f>
        <v>#DIV/0!</v>
      </c>
      <c r="F75" s="327" t="e">
        <f>F73/$F$73</f>
        <v>#DIV/0!</v>
      </c>
      <c r="G75" s="14"/>
      <c r="H75" s="722"/>
      <c r="I75" s="14"/>
      <c r="J75" s="14"/>
      <c r="K75" s="14"/>
    </row>
    <row r="76" spans="2:11" ht="15.75" thickBot="1" x14ac:dyDescent="0.3">
      <c r="B76" s="329" t="s">
        <v>187</v>
      </c>
      <c r="C76" s="330" t="e">
        <f>RANK(C75,$C$75:$E$75)</f>
        <v>#DIV/0!</v>
      </c>
      <c r="D76" s="330" t="e">
        <f>RANK(D75,$C$75:$E$75)</f>
        <v>#DIV/0!</v>
      </c>
      <c r="E76" s="330" t="e">
        <f>RANK(E75,$C$75:$E$75)</f>
        <v>#DIV/0!</v>
      </c>
      <c r="F76" s="331"/>
      <c r="G76" s="332"/>
      <c r="H76" s="723"/>
      <c r="I76" s="14"/>
      <c r="J76" s="14"/>
      <c r="K76" s="14"/>
    </row>
    <row r="77" spans="2:11" x14ac:dyDescent="0.25">
      <c r="F77" s="29" t="b">
        <f>SUM(F49:F72)=F73</f>
        <v>1</v>
      </c>
    </row>
    <row r="78" spans="2:11" x14ac:dyDescent="0.25">
      <c r="C78" s="30"/>
      <c r="F78" s="51" t="e">
        <f>F73/'Area&amp;production data'!AH29</f>
        <v>#DIV/0!</v>
      </c>
    </row>
    <row r="79" spans="2:11" x14ac:dyDescent="0.25">
      <c r="F79" s="76"/>
    </row>
    <row r="80" spans="2:11" x14ac:dyDescent="0.25">
      <c r="F80" s="37" t="e">
        <f>F73/(F73+Forest!R48+'Summary-all-crops'!I76)</f>
        <v>#DIV/0!</v>
      </c>
    </row>
  </sheetData>
  <mergeCells count="12">
    <mergeCell ref="I47:I48"/>
    <mergeCell ref="J47:J48"/>
    <mergeCell ref="K47:K48"/>
    <mergeCell ref="C47:E47"/>
    <mergeCell ref="B4:B5"/>
    <mergeCell ref="C4:G4"/>
    <mergeCell ref="H4:H5"/>
    <mergeCell ref="B14:B15"/>
    <mergeCell ref="B47:B48"/>
    <mergeCell ref="F47:F48"/>
    <mergeCell ref="G47:G48"/>
    <mergeCell ref="H47:H48"/>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84277-C587-427E-9DD5-C37FF31CC3DF}">
  <dimension ref="A1:N35"/>
  <sheetViews>
    <sheetView topLeftCell="A20" workbookViewId="0">
      <selection activeCell="E2" sqref="E2"/>
    </sheetView>
  </sheetViews>
  <sheetFormatPr defaultRowHeight="15" x14ac:dyDescent="0.25"/>
  <cols>
    <col min="1" max="1" width="17.5703125" customWidth="1"/>
    <col min="2" max="2" width="12.140625" customWidth="1"/>
    <col min="3" max="3" width="14.42578125" customWidth="1"/>
    <col min="4" max="4" width="12.140625" customWidth="1"/>
    <col min="5" max="5" width="25" bestFit="1" customWidth="1"/>
    <col min="6" max="6" width="17.5703125" customWidth="1"/>
    <col min="7" max="7" width="5.85546875" customWidth="1"/>
    <col min="8" max="8" width="58.140625" customWidth="1"/>
    <col min="9" max="9" width="9.140625" customWidth="1"/>
  </cols>
  <sheetData>
    <row r="1" spans="1:14" x14ac:dyDescent="0.25">
      <c r="A1" t="s">
        <v>1123</v>
      </c>
      <c r="H1" t="s">
        <v>792</v>
      </c>
      <c r="I1" s="191">
        <v>3.67</v>
      </c>
      <c r="J1" t="s">
        <v>793</v>
      </c>
    </row>
    <row r="2" spans="1:14" x14ac:dyDescent="0.25">
      <c r="A2" t="s">
        <v>794</v>
      </c>
      <c r="E2" s="724">
        <v>2.8999999999999998E-3</v>
      </c>
      <c r="H2" t="s">
        <v>795</v>
      </c>
      <c r="I2" s="191">
        <v>0.5</v>
      </c>
      <c r="J2" t="s">
        <v>796</v>
      </c>
      <c r="K2" t="s">
        <v>797</v>
      </c>
    </row>
    <row r="3" spans="1:14" x14ac:dyDescent="0.25">
      <c r="H3" t="s">
        <v>798</v>
      </c>
      <c r="K3" s="725">
        <v>0.5</v>
      </c>
      <c r="M3" t="s">
        <v>345</v>
      </c>
      <c r="N3" s="20" t="s">
        <v>799</v>
      </c>
    </row>
    <row r="4" spans="1:14" x14ac:dyDescent="0.25">
      <c r="K4" s="49"/>
      <c r="N4" s="68">
        <f>9.98/23</f>
        <v>0.43391304347826087</v>
      </c>
    </row>
    <row r="5" spans="1:14" ht="60" x14ac:dyDescent="0.25">
      <c r="A5" s="44" t="s">
        <v>101</v>
      </c>
      <c r="B5" s="44" t="s">
        <v>800</v>
      </c>
      <c r="C5" s="44" t="s">
        <v>801</v>
      </c>
      <c r="D5" s="44" t="s">
        <v>802</v>
      </c>
      <c r="E5" s="44" t="s">
        <v>803</v>
      </c>
      <c r="F5" s="44" t="s">
        <v>804</v>
      </c>
    </row>
    <row r="6" spans="1:14" x14ac:dyDescent="0.25">
      <c r="A6" t="str">
        <f>'Agro-sylvopastoral-areas'!A30</f>
        <v>Tunis</v>
      </c>
      <c r="B6" s="95" t="e">
        <f>('Area&amp;production data'!AF5/'Area&amp;production data'!$AF$29)*Deforestation!$B$31</f>
        <v>#DIV/0!</v>
      </c>
      <c r="C6" s="69" t="e">
        <f>B6*'Prices,exch.rates,harvest index'!$G$51</f>
        <v>#DIV/0!</v>
      </c>
      <c r="D6" s="95" t="e">
        <f>B6*$I$2*$K$3</f>
        <v>#DIV/0!</v>
      </c>
      <c r="E6" s="69" t="e">
        <f>D6*'Cereals-all-year'!$D$124</f>
        <v>#DIV/0!</v>
      </c>
      <c r="F6" s="26" t="e">
        <f>C6+E6</f>
        <v>#DIV/0!</v>
      </c>
    </row>
    <row r="7" spans="1:14" x14ac:dyDescent="0.25">
      <c r="A7" t="str">
        <f>'Agro-sylvopastoral-areas'!A31</f>
        <v>Ariana</v>
      </c>
      <c r="B7" s="95" t="e">
        <f>('Area&amp;production data'!AF6/'Area&amp;production data'!$AF$29)*Deforestation!$B$31</f>
        <v>#DIV/0!</v>
      </c>
      <c r="C7" s="69" t="e">
        <f>B7*'Prices,exch.rates,harvest index'!$G$51</f>
        <v>#DIV/0!</v>
      </c>
      <c r="D7" s="95" t="e">
        <f t="shared" ref="D7:D31" si="0">B7*$I$2*$K$3</f>
        <v>#DIV/0!</v>
      </c>
      <c r="E7" s="69" t="e">
        <f>D7*'Cereals-all-year'!$D$124</f>
        <v>#DIV/0!</v>
      </c>
      <c r="F7" s="26" t="e">
        <f t="shared" ref="F7:F31" si="1">C7+E7</f>
        <v>#DIV/0!</v>
      </c>
    </row>
    <row r="8" spans="1:14" x14ac:dyDescent="0.25">
      <c r="A8" t="str">
        <f>'Agro-sylvopastoral-areas'!A32</f>
        <v>La Manouba</v>
      </c>
      <c r="B8" s="95" t="e">
        <f>('Area&amp;production data'!AF7/'Area&amp;production data'!$AF$29)*Deforestation!$B$31</f>
        <v>#DIV/0!</v>
      </c>
      <c r="C8" s="69" t="e">
        <f>B8*'Prices,exch.rates,harvest index'!$G$51</f>
        <v>#DIV/0!</v>
      </c>
      <c r="D8" s="95" t="e">
        <f t="shared" si="0"/>
        <v>#DIV/0!</v>
      </c>
      <c r="E8" s="69" t="e">
        <f>D8*'Cereals-all-year'!$D$124</f>
        <v>#DIV/0!</v>
      </c>
      <c r="F8" s="26" t="e">
        <f t="shared" si="1"/>
        <v>#DIV/0!</v>
      </c>
    </row>
    <row r="9" spans="1:14" x14ac:dyDescent="0.25">
      <c r="A9" t="str">
        <f>'Agro-sylvopastoral-areas'!A33</f>
        <v>Ben Arous</v>
      </c>
      <c r="B9" s="95" t="e">
        <f>('Area&amp;production data'!AF8/'Area&amp;production data'!$AF$29)*Deforestation!$B$31</f>
        <v>#DIV/0!</v>
      </c>
      <c r="C9" s="69" t="e">
        <f>B9*'Prices,exch.rates,harvest index'!$G$51</f>
        <v>#DIV/0!</v>
      </c>
      <c r="D9" s="95" t="e">
        <f t="shared" si="0"/>
        <v>#DIV/0!</v>
      </c>
      <c r="E9" s="69" t="e">
        <f>D9*'Cereals-all-year'!$D$124</f>
        <v>#DIV/0!</v>
      </c>
      <c r="F9" s="26" t="e">
        <f t="shared" si="1"/>
        <v>#DIV/0!</v>
      </c>
    </row>
    <row r="10" spans="1:14" x14ac:dyDescent="0.25">
      <c r="A10" t="str">
        <f>'Agro-sylvopastoral-areas'!A34</f>
        <v>Nabeul</v>
      </c>
      <c r="B10" s="95" t="e">
        <f>('Area&amp;production data'!AF9/'Area&amp;production data'!$AF$29)*Deforestation!$B$31</f>
        <v>#DIV/0!</v>
      </c>
      <c r="C10" s="69" t="e">
        <f>B10*'Prices,exch.rates,harvest index'!$G$51</f>
        <v>#DIV/0!</v>
      </c>
      <c r="D10" s="95" t="e">
        <f t="shared" si="0"/>
        <v>#DIV/0!</v>
      </c>
      <c r="E10" s="69" t="e">
        <f>D10*'Cereals-all-year'!$D$124</f>
        <v>#DIV/0!</v>
      </c>
      <c r="F10" s="26" t="e">
        <f t="shared" si="1"/>
        <v>#DIV/0!</v>
      </c>
    </row>
    <row r="11" spans="1:14" x14ac:dyDescent="0.25">
      <c r="A11" t="str">
        <f>'Agro-sylvopastoral-areas'!A35</f>
        <v>Bizerte</v>
      </c>
      <c r="B11" s="95" t="e">
        <f>('Area&amp;production data'!AF10/'Area&amp;production data'!$AF$29)*Deforestation!$B$31</f>
        <v>#DIV/0!</v>
      </c>
      <c r="C11" s="69" t="e">
        <f>B11*'Prices,exch.rates,harvest index'!$G$51</f>
        <v>#DIV/0!</v>
      </c>
      <c r="D11" s="95" t="e">
        <f t="shared" si="0"/>
        <v>#DIV/0!</v>
      </c>
      <c r="E11" s="69" t="e">
        <f>D11*'Cereals-all-year'!$D$124</f>
        <v>#DIV/0!</v>
      </c>
      <c r="F11" s="26" t="e">
        <f t="shared" si="1"/>
        <v>#DIV/0!</v>
      </c>
    </row>
    <row r="12" spans="1:14" x14ac:dyDescent="0.25">
      <c r="A12" t="str">
        <f>'Agro-sylvopastoral-areas'!A36</f>
        <v>Zaghouan</v>
      </c>
      <c r="B12" s="95" t="e">
        <f>('Area&amp;production data'!AF11/'Area&amp;production data'!$AF$29)*Deforestation!$B$31</f>
        <v>#DIV/0!</v>
      </c>
      <c r="C12" s="69" t="e">
        <f>B12*'Prices,exch.rates,harvest index'!$G$51</f>
        <v>#DIV/0!</v>
      </c>
      <c r="D12" s="95" t="e">
        <f t="shared" si="0"/>
        <v>#DIV/0!</v>
      </c>
      <c r="E12" s="69" t="e">
        <f>D12*'Cereals-all-year'!$D$124</f>
        <v>#DIV/0!</v>
      </c>
      <c r="F12" s="26" t="e">
        <f t="shared" si="1"/>
        <v>#DIV/0!</v>
      </c>
    </row>
    <row r="13" spans="1:14" x14ac:dyDescent="0.25">
      <c r="A13" t="str">
        <f>'Agro-sylvopastoral-areas'!A37</f>
        <v>Béja</v>
      </c>
      <c r="B13" s="95" t="e">
        <f>('Area&amp;production data'!AF12/'Area&amp;production data'!$AF$29)*Deforestation!$B$31</f>
        <v>#DIV/0!</v>
      </c>
      <c r="C13" s="69" t="e">
        <f>B13*'Prices,exch.rates,harvest index'!$G$51</f>
        <v>#DIV/0!</v>
      </c>
      <c r="D13" s="95" t="e">
        <f t="shared" si="0"/>
        <v>#DIV/0!</v>
      </c>
      <c r="E13" s="69" t="e">
        <f>D13*'Cereals-all-year'!$D$124</f>
        <v>#DIV/0!</v>
      </c>
      <c r="F13" s="26" t="e">
        <f t="shared" si="1"/>
        <v>#DIV/0!</v>
      </c>
    </row>
    <row r="14" spans="1:14" x14ac:dyDescent="0.25">
      <c r="A14" t="str">
        <f>'Agro-sylvopastoral-areas'!A38</f>
        <v>Jendouba</v>
      </c>
      <c r="B14" s="95" t="e">
        <f>('Area&amp;production data'!AF13/'Area&amp;production data'!$AF$29)*Deforestation!$B$31</f>
        <v>#DIV/0!</v>
      </c>
      <c r="C14" s="69" t="e">
        <f>B14*'Prices,exch.rates,harvest index'!$G$51</f>
        <v>#DIV/0!</v>
      </c>
      <c r="D14" s="95" t="e">
        <f t="shared" si="0"/>
        <v>#DIV/0!</v>
      </c>
      <c r="E14" s="69" t="e">
        <f>D14*'Cereals-all-year'!$D$124</f>
        <v>#DIV/0!</v>
      </c>
      <c r="F14" s="26" t="e">
        <f t="shared" si="1"/>
        <v>#DIV/0!</v>
      </c>
    </row>
    <row r="15" spans="1:14" x14ac:dyDescent="0.25">
      <c r="A15" t="str">
        <f>'Agro-sylvopastoral-areas'!A39</f>
        <v>Le Kef</v>
      </c>
      <c r="B15" s="95" t="e">
        <f>('Area&amp;production data'!AF14/'Area&amp;production data'!$AF$29)*Deforestation!$B$31</f>
        <v>#DIV/0!</v>
      </c>
      <c r="C15" s="69" t="e">
        <f>B15*'Prices,exch.rates,harvest index'!$G$51</f>
        <v>#DIV/0!</v>
      </c>
      <c r="D15" s="95" t="e">
        <f t="shared" si="0"/>
        <v>#DIV/0!</v>
      </c>
      <c r="E15" s="69" t="e">
        <f>D15*'Cereals-all-year'!$D$124</f>
        <v>#DIV/0!</v>
      </c>
      <c r="F15" s="26" t="e">
        <f t="shared" si="1"/>
        <v>#DIV/0!</v>
      </c>
    </row>
    <row r="16" spans="1:14" x14ac:dyDescent="0.25">
      <c r="A16" t="str">
        <f>'Agro-sylvopastoral-areas'!A40</f>
        <v>Siliana</v>
      </c>
      <c r="B16" s="95" t="e">
        <f>('Area&amp;production data'!AF15/'Area&amp;production data'!$AF$29)*Deforestation!$B$31</f>
        <v>#DIV/0!</v>
      </c>
      <c r="C16" s="69" t="e">
        <f>B16*'Prices,exch.rates,harvest index'!$G$51</f>
        <v>#DIV/0!</v>
      </c>
      <c r="D16" s="95" t="e">
        <f t="shared" si="0"/>
        <v>#DIV/0!</v>
      </c>
      <c r="E16" s="69" t="e">
        <f>D16*'Cereals-all-year'!$D$124</f>
        <v>#DIV/0!</v>
      </c>
      <c r="F16" s="26" t="e">
        <f t="shared" si="1"/>
        <v>#DIV/0!</v>
      </c>
    </row>
    <row r="17" spans="1:6" x14ac:dyDescent="0.25">
      <c r="A17" t="str">
        <f>'Agro-sylvopastoral-areas'!A41</f>
        <v>Sousse</v>
      </c>
      <c r="B17" s="95" t="e">
        <f>('Area&amp;production data'!AF16/'Area&amp;production data'!$AF$29)*Deforestation!$B$31</f>
        <v>#DIV/0!</v>
      </c>
      <c r="C17" s="69" t="e">
        <f>B17*'Prices,exch.rates,harvest index'!$G$51</f>
        <v>#DIV/0!</v>
      </c>
      <c r="D17" s="95" t="e">
        <f t="shared" si="0"/>
        <v>#DIV/0!</v>
      </c>
      <c r="E17" s="69" t="e">
        <f>D17*'Cereals-all-year'!$D$124</f>
        <v>#DIV/0!</v>
      </c>
      <c r="F17" s="26" t="e">
        <f t="shared" si="1"/>
        <v>#DIV/0!</v>
      </c>
    </row>
    <row r="18" spans="1:6" x14ac:dyDescent="0.25">
      <c r="A18" t="str">
        <f>'Agro-sylvopastoral-areas'!A42</f>
        <v>Monastir</v>
      </c>
      <c r="B18" s="95" t="e">
        <f>('Area&amp;production data'!AF17/'Area&amp;production data'!$AF$29)*Deforestation!$B$31</f>
        <v>#DIV/0!</v>
      </c>
      <c r="C18" s="69" t="e">
        <f>B18*'Prices,exch.rates,harvest index'!$G$51</f>
        <v>#DIV/0!</v>
      </c>
      <c r="D18" s="95" t="e">
        <f t="shared" si="0"/>
        <v>#DIV/0!</v>
      </c>
      <c r="E18" s="69" t="e">
        <f>D18*'Cereals-all-year'!$D$124</f>
        <v>#DIV/0!</v>
      </c>
      <c r="F18" s="26" t="e">
        <f t="shared" si="1"/>
        <v>#DIV/0!</v>
      </c>
    </row>
    <row r="19" spans="1:6" x14ac:dyDescent="0.25">
      <c r="A19" t="str">
        <f>'Agro-sylvopastoral-areas'!A43</f>
        <v>Mahdia</v>
      </c>
      <c r="B19" s="95" t="e">
        <f>('Area&amp;production data'!AF18/'Area&amp;production data'!$AF$29)*Deforestation!$B$31</f>
        <v>#DIV/0!</v>
      </c>
      <c r="C19" s="69" t="e">
        <f>B19*'Prices,exch.rates,harvest index'!$G$51</f>
        <v>#DIV/0!</v>
      </c>
      <c r="D19" s="95" t="e">
        <f t="shared" si="0"/>
        <v>#DIV/0!</v>
      </c>
      <c r="E19" s="69" t="e">
        <f>D19*'Cereals-all-year'!$D$124</f>
        <v>#DIV/0!</v>
      </c>
      <c r="F19" s="26" t="e">
        <f t="shared" si="1"/>
        <v>#DIV/0!</v>
      </c>
    </row>
    <row r="20" spans="1:6" x14ac:dyDescent="0.25">
      <c r="A20" t="str">
        <f>'Agro-sylvopastoral-areas'!A44</f>
        <v>Kébili</v>
      </c>
      <c r="B20" s="95" t="e">
        <f>('Area&amp;production data'!AF19/'Area&amp;production data'!$AF$29)*Deforestation!$B$31</f>
        <v>#DIV/0!</v>
      </c>
      <c r="C20" s="69" t="e">
        <f>B20*'Prices,exch.rates,harvest index'!$G$51</f>
        <v>#DIV/0!</v>
      </c>
      <c r="D20" s="95" t="e">
        <f t="shared" si="0"/>
        <v>#DIV/0!</v>
      </c>
      <c r="E20" s="69" t="e">
        <f>D20*'Cereals-all-year'!$D$124</f>
        <v>#DIV/0!</v>
      </c>
      <c r="F20" s="26" t="e">
        <f t="shared" si="1"/>
        <v>#DIV/0!</v>
      </c>
    </row>
    <row r="21" spans="1:6" x14ac:dyDescent="0.25">
      <c r="A21" t="str">
        <f>'Agro-sylvopastoral-areas'!A45</f>
        <v>Kairouan</v>
      </c>
      <c r="B21" s="95" t="e">
        <f>('Area&amp;production data'!AF20/'Area&amp;production data'!$AF$29)*Deforestation!$B$31</f>
        <v>#DIV/0!</v>
      </c>
      <c r="C21" s="69" t="e">
        <f>B21*'Prices,exch.rates,harvest index'!$G$51</f>
        <v>#DIV/0!</v>
      </c>
      <c r="D21" s="95" t="e">
        <f t="shared" si="0"/>
        <v>#DIV/0!</v>
      </c>
      <c r="E21" s="69" t="e">
        <f>D21*'Cereals-all-year'!$D$124</f>
        <v>#DIV/0!</v>
      </c>
      <c r="F21" s="26" t="e">
        <f t="shared" si="1"/>
        <v>#DIV/0!</v>
      </c>
    </row>
    <row r="22" spans="1:6" x14ac:dyDescent="0.25">
      <c r="A22" t="str">
        <f>'Agro-sylvopastoral-areas'!A46</f>
        <v>Kasserine</v>
      </c>
      <c r="B22" s="95" t="e">
        <f>('Area&amp;production data'!AF21/'Area&amp;production data'!$AF$29)*Deforestation!$B$31</f>
        <v>#DIV/0!</v>
      </c>
      <c r="C22" s="69" t="e">
        <f>B22*'Prices,exch.rates,harvest index'!$G$51</f>
        <v>#DIV/0!</v>
      </c>
      <c r="D22" s="95" t="e">
        <f t="shared" si="0"/>
        <v>#DIV/0!</v>
      </c>
      <c r="E22" s="69" t="e">
        <f>D22*'Cereals-all-year'!$D$124</f>
        <v>#DIV/0!</v>
      </c>
      <c r="F22" s="26" t="e">
        <f t="shared" si="1"/>
        <v>#DIV/0!</v>
      </c>
    </row>
    <row r="23" spans="1:6" x14ac:dyDescent="0.25">
      <c r="A23" t="str">
        <f>'Agro-sylvopastoral-areas'!A47</f>
        <v>Sidi Bouzid</v>
      </c>
      <c r="B23" s="95" t="e">
        <f>('Area&amp;production data'!AF22/'Area&amp;production data'!$AF$29)*Deforestation!$B$31</f>
        <v>#DIV/0!</v>
      </c>
      <c r="C23" s="69" t="e">
        <f>B23*'Prices,exch.rates,harvest index'!$G$51</f>
        <v>#DIV/0!</v>
      </c>
      <c r="D23" s="95" t="e">
        <f t="shared" si="0"/>
        <v>#DIV/0!</v>
      </c>
      <c r="E23" s="69" t="e">
        <f>D23*'Cereals-all-year'!$D$124</f>
        <v>#DIV/0!</v>
      </c>
      <c r="F23" s="26" t="e">
        <f t="shared" si="1"/>
        <v>#DIV/0!</v>
      </c>
    </row>
    <row r="24" spans="1:6" x14ac:dyDescent="0.25">
      <c r="A24" t="str">
        <f>'Agro-sylvopastoral-areas'!A48</f>
        <v>Gafsa</v>
      </c>
      <c r="B24" s="95" t="e">
        <f>('Area&amp;production data'!AF23/'Area&amp;production data'!$AF$29)*Deforestation!$B$31</f>
        <v>#DIV/0!</v>
      </c>
      <c r="C24" s="69" t="e">
        <f>B24*'Prices,exch.rates,harvest index'!$G$51</f>
        <v>#DIV/0!</v>
      </c>
      <c r="D24" s="95" t="e">
        <f t="shared" si="0"/>
        <v>#DIV/0!</v>
      </c>
      <c r="E24" s="69" t="e">
        <f>D24*'Cereals-all-year'!$D$124</f>
        <v>#DIV/0!</v>
      </c>
      <c r="F24" s="26" t="e">
        <f t="shared" si="1"/>
        <v>#DIV/0!</v>
      </c>
    </row>
    <row r="25" spans="1:6" x14ac:dyDescent="0.25">
      <c r="A25" t="str">
        <f>'Agro-sylvopastoral-areas'!A49</f>
        <v>Gabès</v>
      </c>
      <c r="B25" s="95" t="e">
        <f>('Area&amp;production data'!AF24/'Area&amp;production data'!$AF$29)*Deforestation!$B$31</f>
        <v>#DIV/0!</v>
      </c>
      <c r="C25" s="69" t="e">
        <f>B25*'Prices,exch.rates,harvest index'!$G$51</f>
        <v>#DIV/0!</v>
      </c>
      <c r="D25" s="95" t="e">
        <f t="shared" si="0"/>
        <v>#DIV/0!</v>
      </c>
      <c r="E25" s="69" t="e">
        <f>D25*'Cereals-all-year'!$D$124</f>
        <v>#DIV/0!</v>
      </c>
      <c r="F25" s="26" t="e">
        <f t="shared" si="1"/>
        <v>#DIV/0!</v>
      </c>
    </row>
    <row r="26" spans="1:6" x14ac:dyDescent="0.25">
      <c r="A26" t="str">
        <f>'Agro-sylvopastoral-areas'!A50</f>
        <v>Médenine</v>
      </c>
      <c r="B26" s="95" t="e">
        <f>('Area&amp;production data'!AF25/'Area&amp;production data'!$AF$29)*Deforestation!$B$31</f>
        <v>#DIV/0!</v>
      </c>
      <c r="C26" s="69" t="e">
        <f>B26*'Prices,exch.rates,harvest index'!$G$51</f>
        <v>#DIV/0!</v>
      </c>
      <c r="D26" s="95" t="e">
        <f t="shared" si="0"/>
        <v>#DIV/0!</v>
      </c>
      <c r="E26" s="69" t="e">
        <f>D26*'Cereals-all-year'!$D$124</f>
        <v>#DIV/0!</v>
      </c>
      <c r="F26" s="26" t="e">
        <f t="shared" si="1"/>
        <v>#DIV/0!</v>
      </c>
    </row>
    <row r="27" spans="1:6" x14ac:dyDescent="0.25">
      <c r="A27" t="str">
        <f>'Agro-sylvopastoral-areas'!A51</f>
        <v>Tataouine</v>
      </c>
      <c r="B27" s="95" t="e">
        <f>('Area&amp;production data'!AF26/'Area&amp;production data'!$AF$29)*Deforestation!$B$31</f>
        <v>#DIV/0!</v>
      </c>
      <c r="C27" s="69" t="e">
        <f>B27*'Prices,exch.rates,harvest index'!$G$51</f>
        <v>#DIV/0!</v>
      </c>
      <c r="D27" s="95" t="e">
        <f t="shared" si="0"/>
        <v>#DIV/0!</v>
      </c>
      <c r="E27" s="69" t="e">
        <f>D27*'Cereals-all-year'!$D$124</f>
        <v>#DIV/0!</v>
      </c>
      <c r="F27" s="26" t="e">
        <f t="shared" si="1"/>
        <v>#DIV/0!</v>
      </c>
    </row>
    <row r="28" spans="1:6" x14ac:dyDescent="0.25">
      <c r="A28" t="str">
        <f>'Agro-sylvopastoral-areas'!A52</f>
        <v>Tozeur</v>
      </c>
      <c r="B28" s="95" t="e">
        <f>('Area&amp;production data'!AF27/'Area&amp;production data'!$AF$29)*Deforestation!$B$31</f>
        <v>#DIV/0!</v>
      </c>
      <c r="C28" s="69" t="e">
        <f>B28*'Prices,exch.rates,harvest index'!$G$51</f>
        <v>#DIV/0!</v>
      </c>
      <c r="D28" s="95" t="e">
        <f t="shared" si="0"/>
        <v>#DIV/0!</v>
      </c>
      <c r="E28" s="69" t="e">
        <f>D28*'Cereals-all-year'!$D$124</f>
        <v>#DIV/0!</v>
      </c>
      <c r="F28" s="26" t="e">
        <f t="shared" si="1"/>
        <v>#DIV/0!</v>
      </c>
    </row>
    <row r="29" spans="1:6" x14ac:dyDescent="0.25">
      <c r="A29" t="str">
        <f>'Agro-sylvopastoral-areas'!A53</f>
        <v>Kébili</v>
      </c>
      <c r="B29" s="95" t="e">
        <f>('Area&amp;production data'!AF28/'Area&amp;production data'!$AF$29)*Deforestation!$B$31</f>
        <v>#DIV/0!</v>
      </c>
      <c r="C29" s="69" t="e">
        <f>B29*'Prices,exch.rates,harvest index'!$G$51</f>
        <v>#DIV/0!</v>
      </c>
      <c r="D29" s="95" t="e">
        <f t="shared" si="0"/>
        <v>#DIV/0!</v>
      </c>
      <c r="E29" s="69" t="e">
        <f>D29*'Cereals-all-year'!$D$124</f>
        <v>#DIV/0!</v>
      </c>
      <c r="F29" s="26" t="e">
        <f t="shared" si="1"/>
        <v>#DIV/0!</v>
      </c>
    </row>
    <row r="30" spans="1:6" x14ac:dyDescent="0.25">
      <c r="A30" s="1" t="s">
        <v>163</v>
      </c>
      <c r="B30" s="23" t="e">
        <f>SUM(B6:B29)</f>
        <v>#DIV/0!</v>
      </c>
      <c r="C30" s="23" t="e">
        <f>SUM(C6:C29)</f>
        <v>#DIV/0!</v>
      </c>
      <c r="D30" s="23" t="e">
        <f>SUM(D6:D29)</f>
        <v>#DIV/0!</v>
      </c>
      <c r="E30" s="23" t="e">
        <f>SUM(E6:E29)</f>
        <v>#DIV/0!</v>
      </c>
      <c r="F30" s="23" t="e">
        <f>SUM(F6:F29)</f>
        <v>#DIV/0!</v>
      </c>
    </row>
    <row r="31" spans="1:6" x14ac:dyDescent="0.25">
      <c r="A31" s="1" t="s">
        <v>805</v>
      </c>
      <c r="B31" s="23">
        <f>E2*Forest!B48*'Area&amp;production data'!AE1</f>
        <v>0</v>
      </c>
      <c r="C31" s="23">
        <f>B31*'Prices,exch.rates,harvest index'!$G$51</f>
        <v>0</v>
      </c>
      <c r="D31" s="124">
        <f t="shared" si="0"/>
        <v>0</v>
      </c>
      <c r="E31" s="23">
        <f>D31*'Cereals-all-year'!$D$124</f>
        <v>0</v>
      </c>
      <c r="F31" s="26">
        <f t="shared" si="1"/>
        <v>0</v>
      </c>
    </row>
    <row r="34" spans="1:6" x14ac:dyDescent="0.25">
      <c r="E34" s="76"/>
      <c r="F34" s="76"/>
    </row>
    <row r="35" spans="1:6" x14ac:dyDescent="0.25">
      <c r="A35" t="s">
        <v>806</v>
      </c>
      <c r="E35" s="342"/>
      <c r="F35" s="342"/>
    </row>
  </sheetData>
  <hyperlinks>
    <hyperlink ref="E2" r:id="rId1" display="https://www.globalforestwatch.org/dashboards/country/TUN/23/" xr:uid="{817CB122-1B03-43BE-BE8C-7CD564B381AA}"/>
    <hyperlink ref="N3" r:id="rId2" location=":~:text=From%202001%20to%202022%2C%20Tunisia%20lost%2023.0%20kha%20of%20tree,cover%20loss%20for%20that%20year." xr:uid="{01FD075C-CA51-4CF1-BAF5-B24554A84343}"/>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10778-2440-4A96-AF92-382227F0E09D}">
  <dimension ref="A1:AP263"/>
  <sheetViews>
    <sheetView topLeftCell="A190" workbookViewId="0">
      <selection activeCell="F7" sqref="F7"/>
    </sheetView>
  </sheetViews>
  <sheetFormatPr defaultRowHeight="15" x14ac:dyDescent="0.25"/>
  <cols>
    <col min="1" max="1" width="15.140625" customWidth="1"/>
    <col min="2" max="2" width="38.140625" customWidth="1"/>
    <col min="3" max="3" width="21.85546875" customWidth="1"/>
    <col min="4" max="4" width="11.85546875" customWidth="1"/>
    <col min="5" max="5" width="23.42578125" customWidth="1"/>
    <col min="6" max="6" width="24.5703125" customWidth="1"/>
    <col min="7" max="7" width="12.5703125" customWidth="1"/>
    <col min="8" max="8" width="16.140625" customWidth="1"/>
    <col min="9" max="9" width="15.140625" customWidth="1"/>
    <col min="10" max="10" width="18.140625" customWidth="1"/>
    <col min="11" max="11" width="12.85546875" bestFit="1" customWidth="1"/>
    <col min="12" max="12" width="11.42578125" customWidth="1"/>
    <col min="13" max="14" width="11.5703125" bestFit="1" customWidth="1"/>
    <col min="15" max="15" width="11.42578125" bestFit="1" customWidth="1"/>
    <col min="16" max="16" width="26.5703125" bestFit="1" customWidth="1"/>
    <col min="17" max="17" width="24.42578125" customWidth="1"/>
    <col min="18" max="18" width="16.85546875" customWidth="1"/>
    <col min="19" max="19" width="14.42578125" customWidth="1"/>
    <col min="20" max="21" width="12.85546875" bestFit="1" customWidth="1"/>
    <col min="22" max="22" width="14.85546875" bestFit="1" customWidth="1"/>
    <col min="23" max="23" width="16.140625" bestFit="1" customWidth="1"/>
    <col min="26" max="26" width="12.5703125" customWidth="1"/>
    <col min="32" max="32" width="13" customWidth="1"/>
    <col min="33" max="33" width="11.140625" customWidth="1"/>
    <col min="34" max="34" width="15" customWidth="1"/>
    <col min="35" max="35" width="12.85546875" customWidth="1"/>
    <col min="36" max="36" width="11.42578125" customWidth="1"/>
    <col min="37" max="37" width="13.5703125" customWidth="1"/>
    <col min="38" max="38" width="11.7109375" customWidth="1"/>
    <col min="39" max="39" width="12.5703125" customWidth="1"/>
  </cols>
  <sheetData>
    <row r="1" spans="1:38" ht="18.75" x14ac:dyDescent="0.3">
      <c r="A1" s="866" t="s">
        <v>807</v>
      </c>
      <c r="B1" s="866"/>
      <c r="C1" s="866"/>
      <c r="D1" s="866"/>
      <c r="E1" s="866"/>
      <c r="F1" s="866"/>
      <c r="G1" s="866"/>
      <c r="P1" t="s">
        <v>808</v>
      </c>
      <c r="R1" s="208">
        <f>'Cereals-all-year'!K1</f>
        <v>2.8759999999999999</v>
      </c>
      <c r="S1" t="s">
        <v>809</v>
      </c>
    </row>
    <row r="2" spans="1:38" x14ac:dyDescent="0.25">
      <c r="A2" s="3" t="s">
        <v>260</v>
      </c>
      <c r="B2" s="8" t="s">
        <v>261</v>
      </c>
      <c r="C2" s="8"/>
      <c r="D2" s="8"/>
      <c r="E2" s="4"/>
      <c r="F2" s="7" t="s">
        <v>265</v>
      </c>
      <c r="G2" s="7"/>
      <c r="H2" s="6"/>
      <c r="I2" s="6"/>
      <c r="J2" s="6"/>
      <c r="K2" s="6"/>
      <c r="L2" s="6"/>
      <c r="M2" s="6"/>
      <c r="R2" s="96"/>
      <c r="AG2" s="852" t="s">
        <v>1258</v>
      </c>
      <c r="AH2" s="852"/>
      <c r="AI2" s="852"/>
      <c r="AJ2" s="852"/>
      <c r="AK2" s="852"/>
      <c r="AL2" s="852"/>
    </row>
    <row r="3" spans="1:38" x14ac:dyDescent="0.25">
      <c r="A3" s="3"/>
      <c r="B3" s="10" t="s">
        <v>263</v>
      </c>
      <c r="C3" s="10"/>
      <c r="D3" s="10"/>
      <c r="E3" s="10"/>
      <c r="F3" s="10"/>
      <c r="G3" s="10"/>
      <c r="H3" s="10"/>
      <c r="I3" s="10"/>
      <c r="J3" s="10"/>
      <c r="K3" s="10"/>
      <c r="R3" s="96"/>
      <c r="AG3" s="852"/>
      <c r="AH3" s="852"/>
      <c r="AI3" s="852"/>
      <c r="AJ3" s="852"/>
      <c r="AK3" s="852"/>
      <c r="AL3" s="852"/>
    </row>
    <row r="4" spans="1:38" x14ac:dyDescent="0.25">
      <c r="A4" s="7" t="s">
        <v>810</v>
      </c>
      <c r="B4" s="7"/>
      <c r="C4" s="7"/>
      <c r="D4" s="7"/>
      <c r="E4" s="7"/>
      <c r="F4" s="7"/>
      <c r="G4" s="7"/>
      <c r="H4" s="6"/>
      <c r="I4" s="6"/>
      <c r="J4" s="6"/>
      <c r="K4" s="6"/>
      <c r="L4" s="6"/>
      <c r="M4" s="6"/>
      <c r="N4" s="6"/>
      <c r="R4" s="96"/>
      <c r="AG4" s="852"/>
      <c r="AH4" s="852"/>
      <c r="AI4" s="852"/>
      <c r="AJ4" s="852"/>
      <c r="AK4" s="852"/>
      <c r="AL4" s="852"/>
    </row>
    <row r="5" spans="1:38" ht="28.5" customHeight="1" x14ac:dyDescent="0.25">
      <c r="A5" s="875" t="s">
        <v>811</v>
      </c>
      <c r="B5" s="875"/>
      <c r="C5" s="875"/>
      <c r="D5" s="875"/>
      <c r="E5" s="875"/>
      <c r="F5" s="875"/>
      <c r="G5" s="875"/>
      <c r="H5" s="875"/>
      <c r="I5" s="875"/>
      <c r="J5" s="875"/>
      <c r="K5" s="875"/>
      <c r="L5" s="875"/>
      <c r="M5" s="875"/>
      <c r="N5" s="875"/>
      <c r="P5" s="1" t="s">
        <v>267</v>
      </c>
      <c r="R5" s="445">
        <f>'Prices,exch.rates,harvest index'!N2</f>
        <v>1.43</v>
      </c>
      <c r="S5" s="1" t="s">
        <v>257</v>
      </c>
      <c r="AG5" s="852"/>
      <c r="AH5" s="852"/>
      <c r="AI5" s="852"/>
      <c r="AJ5" s="852"/>
      <c r="AK5" s="852"/>
      <c r="AL5" s="852"/>
    </row>
    <row r="6" spans="1:38" ht="26.45" customHeight="1" x14ac:dyDescent="0.25">
      <c r="A6" s="18"/>
      <c r="B6" s="18"/>
      <c r="C6" s="877" t="s">
        <v>287</v>
      </c>
      <c r="D6" s="877"/>
      <c r="E6" s="877"/>
      <c r="H6" s="44"/>
      <c r="I6" s="22"/>
      <c r="J6" s="44"/>
      <c r="K6" s="18"/>
      <c r="L6" s="20"/>
    </row>
    <row r="7" spans="1:38" ht="28.5" customHeight="1" x14ac:dyDescent="0.35">
      <c r="A7" s="843" t="s">
        <v>296</v>
      </c>
      <c r="B7" s="876"/>
      <c r="C7" s="85">
        <v>2021</v>
      </c>
      <c r="D7" s="85">
        <v>2010</v>
      </c>
      <c r="E7" s="85"/>
      <c r="I7" s="76"/>
      <c r="AC7" s="1" t="s">
        <v>136</v>
      </c>
      <c r="AD7" s="1" t="s">
        <v>137</v>
      </c>
      <c r="AE7" s="1" t="s">
        <v>289</v>
      </c>
      <c r="AF7" s="22" t="s">
        <v>290</v>
      </c>
      <c r="AG7" s="1" t="s">
        <v>291</v>
      </c>
      <c r="AH7" s="85" t="s">
        <v>292</v>
      </c>
      <c r="AI7" s="85" t="s">
        <v>200</v>
      </c>
      <c r="AJ7" s="1" t="s">
        <v>293</v>
      </c>
      <c r="AK7" s="1" t="s">
        <v>294</v>
      </c>
      <c r="AL7" s="1" t="s">
        <v>295</v>
      </c>
    </row>
    <row r="8" spans="1:38" x14ac:dyDescent="0.25">
      <c r="A8" s="1" t="s">
        <v>812</v>
      </c>
      <c r="B8" s="1"/>
      <c r="C8" s="228">
        <f>'Prices,exch.rates,harvest index'!G51</f>
        <v>0</v>
      </c>
      <c r="D8" s="228">
        <f>'Prices,exch.rates,harvest index'!H51</f>
        <v>0</v>
      </c>
      <c r="E8" s="115"/>
      <c r="I8" s="76"/>
      <c r="P8">
        <v>2001</v>
      </c>
      <c r="Q8">
        <v>2000</v>
      </c>
      <c r="AB8" s="13" t="s">
        <v>139</v>
      </c>
      <c r="AC8" s="295"/>
      <c r="AD8" s="295"/>
      <c r="AE8" s="295"/>
      <c r="AF8" s="95">
        <f>'Yield-data'!L5</f>
        <v>0</v>
      </c>
      <c r="AG8" s="140">
        <f>AF8*B24</f>
        <v>0</v>
      </c>
      <c r="AH8" s="206">
        <f>'Yield-penalty-by-LD-class'!P4</f>
        <v>0</v>
      </c>
      <c r="AI8" s="206">
        <f>'Yield-penalty-by-LD-class'!Q4</f>
        <v>0</v>
      </c>
      <c r="AJ8" s="95" t="e">
        <f t="shared" ref="AJ8:AJ31" si="0">((AC8-AD8)/AD8)-AH8</f>
        <v>#DIV/0!</v>
      </c>
      <c r="AK8" s="95" t="e">
        <f t="shared" ref="AK8:AK31" si="1">((AD8-AE8)/AE8)-AI8</f>
        <v>#DIV/0!</v>
      </c>
      <c r="AL8" s="185">
        <f t="shared" ref="AL8:AL31" si="2">SUMPRODUCT(AC8:AE8,C24:E24)-AF8</f>
        <v>0</v>
      </c>
    </row>
    <row r="9" spans="1:38" x14ac:dyDescent="0.25">
      <c r="A9" s="1" t="s">
        <v>736</v>
      </c>
      <c r="B9" s="1"/>
      <c r="C9" s="228">
        <f>MAX((C8-D8)/(C7-D7),0)</f>
        <v>0</v>
      </c>
      <c r="D9" s="228"/>
      <c r="E9" s="13"/>
      <c r="G9" s="1"/>
      <c r="I9" s="76"/>
      <c r="P9">
        <v>9.6</v>
      </c>
      <c r="Q9">
        <v>8.9</v>
      </c>
      <c r="AB9" s="13" t="s">
        <v>140</v>
      </c>
      <c r="AC9" s="295"/>
      <c r="AD9" s="295"/>
      <c r="AE9" s="295"/>
      <c r="AF9" s="95">
        <f>'Yield-data'!L6</f>
        <v>0</v>
      </c>
      <c r="AG9" s="140">
        <f t="shared" ref="AG9:AG31" si="3">AF9*B25</f>
        <v>0</v>
      </c>
      <c r="AH9" s="206">
        <f>'Yield-penalty-by-LD-class'!P5</f>
        <v>0</v>
      </c>
      <c r="AI9" s="206">
        <f>'Yield-penalty-by-LD-class'!Q5</f>
        <v>0</v>
      </c>
      <c r="AJ9" s="95" t="e">
        <f t="shared" si="0"/>
        <v>#DIV/0!</v>
      </c>
      <c r="AK9" s="95" t="e">
        <f t="shared" si="1"/>
        <v>#DIV/0!</v>
      </c>
      <c r="AL9" s="185">
        <f t="shared" si="2"/>
        <v>0</v>
      </c>
    </row>
    <row r="10" spans="1:38" x14ac:dyDescent="0.25">
      <c r="A10" s="1" t="s">
        <v>737</v>
      </c>
      <c r="B10" s="1"/>
      <c r="C10" s="228">
        <f>C9*F14</f>
        <v>0</v>
      </c>
      <c r="D10" s="228"/>
      <c r="E10" s="13"/>
      <c r="G10" s="1"/>
      <c r="I10" s="76"/>
      <c r="L10" s="290"/>
      <c r="M10" s="290"/>
      <c r="N10" s="290"/>
      <c r="O10" s="290"/>
      <c r="P10" s="290">
        <f t="shared" ref="P10" si="4">(P9-Q9)/Q9</f>
        <v>7.8651685393258342E-2</v>
      </c>
      <c r="AB10" s="13" t="s">
        <v>141</v>
      </c>
      <c r="AC10" s="295"/>
      <c r="AD10" s="295"/>
      <c r="AE10" s="295"/>
      <c r="AF10" s="95">
        <f>'Yield-data'!L7</f>
        <v>0</v>
      </c>
      <c r="AG10" s="140">
        <f t="shared" si="3"/>
        <v>0</v>
      </c>
      <c r="AH10" s="206">
        <f>'Yield-penalty-by-LD-class'!P6</f>
        <v>0</v>
      </c>
      <c r="AI10" s="206">
        <f>'Yield-penalty-by-LD-class'!Q6</f>
        <v>0</v>
      </c>
      <c r="AJ10" s="95" t="e">
        <f t="shared" si="0"/>
        <v>#DIV/0!</v>
      </c>
      <c r="AK10" s="95" t="e">
        <f t="shared" si="1"/>
        <v>#DIV/0!</v>
      </c>
      <c r="AL10" s="185">
        <f t="shared" si="2"/>
        <v>0</v>
      </c>
    </row>
    <row r="11" spans="1:38" x14ac:dyDescent="0.25">
      <c r="A11" s="44"/>
      <c r="B11" s="44"/>
      <c r="C11" s="44"/>
      <c r="D11" s="44"/>
      <c r="G11" s="1"/>
      <c r="I11" s="76"/>
      <c r="L11" s="326"/>
      <c r="AB11" s="13" t="s">
        <v>142</v>
      </c>
      <c r="AC11" s="295"/>
      <c r="AD11" s="295"/>
      <c r="AE11" s="295"/>
      <c r="AF11" s="95">
        <f>'Yield-data'!L8</f>
        <v>0</v>
      </c>
      <c r="AG11" s="140">
        <f t="shared" si="3"/>
        <v>0</v>
      </c>
      <c r="AH11" s="206">
        <f>'Yield-penalty-by-LD-class'!P7</f>
        <v>0</v>
      </c>
      <c r="AI11" s="206">
        <f>'Yield-penalty-by-LD-class'!Q7</f>
        <v>0</v>
      </c>
      <c r="AJ11" s="95" t="e">
        <f t="shared" si="0"/>
        <v>#DIV/0!</v>
      </c>
      <c r="AK11" s="95" t="e">
        <f t="shared" si="1"/>
        <v>#DIV/0!</v>
      </c>
      <c r="AL11" s="185">
        <f t="shared" si="2"/>
        <v>0</v>
      </c>
    </row>
    <row r="12" spans="1:38" ht="15.75" thickBot="1" x14ac:dyDescent="0.3">
      <c r="A12" s="443"/>
      <c r="B12" s="444"/>
      <c r="F12" s="59"/>
      <c r="G12" s="59"/>
      <c r="I12" s="76"/>
      <c r="K12" s="18"/>
      <c r="AB12" s="13" t="s">
        <v>143</v>
      </c>
      <c r="AC12" s="295"/>
      <c r="AD12" s="295"/>
      <c r="AE12" s="295"/>
      <c r="AF12" s="95">
        <f>'Yield-data'!L9</f>
        <v>0</v>
      </c>
      <c r="AG12" s="140">
        <f t="shared" si="3"/>
        <v>0</v>
      </c>
      <c r="AH12" s="206">
        <f>'Yield-penalty-by-LD-class'!P8</f>
        <v>0</v>
      </c>
      <c r="AI12" s="206">
        <f>'Yield-penalty-by-LD-class'!Q8</f>
        <v>0</v>
      </c>
      <c r="AJ12" s="95" t="e">
        <f t="shared" si="0"/>
        <v>#DIV/0!</v>
      </c>
      <c r="AK12" s="95" t="e">
        <f t="shared" si="1"/>
        <v>#DIV/0!</v>
      </c>
      <c r="AL12" s="185">
        <f t="shared" si="2"/>
        <v>0</v>
      </c>
    </row>
    <row r="13" spans="1:38" ht="18.600000000000001" customHeight="1" thickBot="1" x14ac:dyDescent="0.3">
      <c r="A13" s="443"/>
      <c r="B13" s="444"/>
      <c r="E13" s="1" t="s">
        <v>163</v>
      </c>
      <c r="F13" s="141"/>
      <c r="G13" s="141"/>
      <c r="H13" s="1"/>
      <c r="I13" s="579"/>
      <c r="J13" s="189"/>
      <c r="AB13" s="13" t="s">
        <v>144</v>
      </c>
      <c r="AC13" s="295"/>
      <c r="AD13" s="295"/>
      <c r="AE13" s="295"/>
      <c r="AF13" s="95">
        <f>'Yield-data'!L10</f>
        <v>0</v>
      </c>
      <c r="AG13" s="140">
        <f t="shared" si="3"/>
        <v>0</v>
      </c>
      <c r="AH13" s="206">
        <f>'Yield-penalty-by-LD-class'!P9</f>
        <v>0</v>
      </c>
      <c r="AI13" s="206">
        <f>'Yield-penalty-by-LD-class'!Q9</f>
        <v>0</v>
      </c>
      <c r="AJ13" s="95" t="e">
        <f t="shared" si="0"/>
        <v>#DIV/0!</v>
      </c>
      <c r="AK13" s="95" t="e">
        <f t="shared" si="1"/>
        <v>#DIV/0!</v>
      </c>
      <c r="AL13" s="185">
        <f t="shared" si="2"/>
        <v>0</v>
      </c>
    </row>
    <row r="14" spans="1:38" ht="15.75" thickBot="1" x14ac:dyDescent="0.3">
      <c r="A14" s="443"/>
      <c r="B14" s="444"/>
      <c r="C14" s="176">
        <f>'Cereals-all-year'!C24</f>
        <v>6.0970000000000003E-2</v>
      </c>
      <c r="D14" s="1"/>
      <c r="E14" t="s">
        <v>813</v>
      </c>
      <c r="F14" s="124">
        <f>1/(1+C14)</f>
        <v>0.94253371914380235</v>
      </c>
      <c r="G14" s="1"/>
      <c r="AB14" s="13" t="s">
        <v>145</v>
      </c>
      <c r="AC14" s="295"/>
      <c r="AD14" s="295"/>
      <c r="AE14" s="295"/>
      <c r="AF14" s="95">
        <f>'Yield-data'!L11</f>
        <v>0</v>
      </c>
      <c r="AG14" s="140">
        <f t="shared" si="3"/>
        <v>0</v>
      </c>
      <c r="AH14" s="206">
        <f>'Yield-penalty-by-LD-class'!P10</f>
        <v>0</v>
      </c>
      <c r="AI14" s="206">
        <f>'Yield-penalty-by-LD-class'!Q10</f>
        <v>0</v>
      </c>
      <c r="AJ14" s="95" t="e">
        <f t="shared" si="0"/>
        <v>#DIV/0!</v>
      </c>
      <c r="AK14" s="95" t="e">
        <f t="shared" si="1"/>
        <v>#DIV/0!</v>
      </c>
      <c r="AL14" s="185">
        <f t="shared" si="2"/>
        <v>0</v>
      </c>
    </row>
    <row r="15" spans="1:38" ht="15.75" thickBot="1" x14ac:dyDescent="0.3">
      <c r="A15" s="443"/>
      <c r="B15" s="444"/>
      <c r="C15" s="1"/>
      <c r="D15" s="1"/>
      <c r="E15" s="1"/>
      <c r="I15" s="94" t="s">
        <v>814</v>
      </c>
      <c r="J15" s="57"/>
      <c r="AB15" s="13" t="s">
        <v>146</v>
      </c>
      <c r="AC15" s="295"/>
      <c r="AD15" s="295"/>
      <c r="AE15" s="295"/>
      <c r="AF15" s="95">
        <f>'Yield-data'!L12</f>
        <v>0</v>
      </c>
      <c r="AG15" s="140">
        <f t="shared" si="3"/>
        <v>0</v>
      </c>
      <c r="AH15" s="206">
        <f>'Yield-penalty-by-LD-class'!P11</f>
        <v>0</v>
      </c>
      <c r="AI15" s="206">
        <f>'Yield-penalty-by-LD-class'!Q11</f>
        <v>0</v>
      </c>
      <c r="AJ15" s="95" t="e">
        <f t="shared" si="0"/>
        <v>#DIV/0!</v>
      </c>
      <c r="AK15" s="95" t="e">
        <f t="shared" si="1"/>
        <v>#DIV/0!</v>
      </c>
      <c r="AL15" s="185">
        <f t="shared" si="2"/>
        <v>0</v>
      </c>
    </row>
    <row r="16" spans="1:38" ht="28.5" customHeight="1" x14ac:dyDescent="0.25">
      <c r="A16" s="844" t="s">
        <v>305</v>
      </c>
      <c r="B16" s="844"/>
      <c r="C16" s="844"/>
      <c r="D16" s="844"/>
      <c r="E16" s="844" t="s">
        <v>95</v>
      </c>
      <c r="F16" s="844"/>
      <c r="G16" s="22">
        <v>48.18</v>
      </c>
      <c r="H16" s="18" t="s">
        <v>96</v>
      </c>
      <c r="I16" s="754" t="s">
        <v>97</v>
      </c>
      <c r="J16" s="754"/>
      <c r="K16" s="754"/>
      <c r="L16" s="754"/>
      <c r="M16" s="754"/>
      <c r="AB16" s="13" t="s">
        <v>147</v>
      </c>
      <c r="AC16" s="295"/>
      <c r="AD16" s="295"/>
      <c r="AE16" s="295"/>
      <c r="AF16" s="95">
        <f>'Yield-data'!L13</f>
        <v>0</v>
      </c>
      <c r="AG16" s="140">
        <f t="shared" si="3"/>
        <v>0</v>
      </c>
      <c r="AH16" s="206">
        <f>'Yield-penalty-by-LD-class'!P12</f>
        <v>0</v>
      </c>
      <c r="AI16" s="206">
        <f>'Yield-penalty-by-LD-class'!Q12</f>
        <v>0</v>
      </c>
      <c r="AJ16" s="95" t="e">
        <f t="shared" si="0"/>
        <v>#DIV/0!</v>
      </c>
      <c r="AK16" s="95" t="e">
        <f t="shared" si="1"/>
        <v>#DIV/0!</v>
      </c>
      <c r="AL16" s="185">
        <f t="shared" si="2"/>
        <v>0</v>
      </c>
    </row>
    <row r="17" spans="1:42" ht="28.5" customHeight="1" x14ac:dyDescent="0.25">
      <c r="A17" s="844" t="s">
        <v>306</v>
      </c>
      <c r="B17" s="844"/>
      <c r="C17" s="18"/>
      <c r="D17" s="18"/>
      <c r="E17" s="18"/>
      <c r="F17" s="18"/>
      <c r="G17" s="18"/>
      <c r="H17" s="18"/>
      <c r="I17" s="18"/>
      <c r="J17" s="18"/>
      <c r="K17" s="18"/>
      <c r="AB17" s="13" t="s">
        <v>148</v>
      </c>
      <c r="AC17" s="295"/>
      <c r="AD17" s="295"/>
      <c r="AE17" s="295"/>
      <c r="AF17" s="95">
        <f>'Yield-data'!L14</f>
        <v>0</v>
      </c>
      <c r="AG17" s="140">
        <f t="shared" si="3"/>
        <v>0</v>
      </c>
      <c r="AH17" s="206">
        <f>'Yield-penalty-by-LD-class'!P13</f>
        <v>0</v>
      </c>
      <c r="AI17" s="206">
        <f>'Yield-penalty-by-LD-class'!Q13</f>
        <v>0</v>
      </c>
      <c r="AJ17" s="95" t="e">
        <f t="shared" si="0"/>
        <v>#DIV/0!</v>
      </c>
      <c r="AK17" s="95" t="e">
        <f t="shared" si="1"/>
        <v>#DIV/0!</v>
      </c>
      <c r="AL17" s="185">
        <f t="shared" si="2"/>
        <v>0</v>
      </c>
    </row>
    <row r="18" spans="1:42" x14ac:dyDescent="0.25">
      <c r="A18" s="3" t="s">
        <v>815</v>
      </c>
      <c r="B18" s="3"/>
      <c r="C18" s="3"/>
      <c r="D18" s="3"/>
      <c r="E18" s="3"/>
      <c r="F18" s="3"/>
      <c r="G18" s="3"/>
      <c r="AB18" s="13" t="s">
        <v>149</v>
      </c>
      <c r="AC18" s="295"/>
      <c r="AD18" s="295"/>
      <c r="AE18" s="295"/>
      <c r="AF18" s="95">
        <f>'Yield-data'!L15</f>
        <v>0</v>
      </c>
      <c r="AG18" s="140">
        <f t="shared" si="3"/>
        <v>0</v>
      </c>
      <c r="AH18" s="206">
        <f>'Yield-penalty-by-LD-class'!P14</f>
        <v>0</v>
      </c>
      <c r="AI18" s="206">
        <f>'Yield-penalty-by-LD-class'!Q14</f>
        <v>0</v>
      </c>
      <c r="AJ18" s="95" t="e">
        <f t="shared" si="0"/>
        <v>#DIV/0!</v>
      </c>
      <c r="AK18" s="95" t="e">
        <f t="shared" si="1"/>
        <v>#DIV/0!</v>
      </c>
      <c r="AL18" s="185">
        <f t="shared" si="2"/>
        <v>0</v>
      </c>
    </row>
    <row r="19" spans="1:42" ht="27.6" customHeight="1" x14ac:dyDescent="0.25">
      <c r="A19" s="1" t="s">
        <v>816</v>
      </c>
      <c r="M19" s="18"/>
      <c r="N19" s="18"/>
      <c r="AB19" s="13" t="s">
        <v>150</v>
      </c>
      <c r="AC19" s="295"/>
      <c r="AD19" s="295"/>
      <c r="AE19" s="295"/>
      <c r="AF19" s="95">
        <f>'Yield-data'!L16</f>
        <v>0</v>
      </c>
      <c r="AG19" s="140">
        <f t="shared" si="3"/>
        <v>0</v>
      </c>
      <c r="AH19" s="206">
        <f>'Yield-penalty-by-LD-class'!P15</f>
        <v>0</v>
      </c>
      <c r="AI19" s="206">
        <f>'Yield-penalty-by-LD-class'!Q15</f>
        <v>0</v>
      </c>
      <c r="AJ19" s="95" t="e">
        <f t="shared" si="0"/>
        <v>#DIV/0!</v>
      </c>
      <c r="AK19" s="95" t="e">
        <f t="shared" si="1"/>
        <v>#DIV/0!</v>
      </c>
      <c r="AL19" s="185">
        <f t="shared" si="2"/>
        <v>0</v>
      </c>
    </row>
    <row r="20" spans="1:42" x14ac:dyDescent="0.25">
      <c r="AB20" s="13" t="s">
        <v>151</v>
      </c>
      <c r="AC20" s="295"/>
      <c r="AD20" s="295"/>
      <c r="AE20" s="295"/>
      <c r="AF20" s="95">
        <f>'Yield-data'!L17</f>
        <v>0</v>
      </c>
      <c r="AG20" s="140">
        <f t="shared" si="3"/>
        <v>0</v>
      </c>
      <c r="AH20" s="206">
        <f>'Yield-penalty-by-LD-class'!P16</f>
        <v>0</v>
      </c>
      <c r="AI20" s="206">
        <f>'Yield-penalty-by-LD-class'!Q16</f>
        <v>0</v>
      </c>
      <c r="AJ20" s="95" t="e">
        <f t="shared" si="0"/>
        <v>#DIV/0!</v>
      </c>
      <c r="AK20" s="95" t="e">
        <f t="shared" si="1"/>
        <v>#DIV/0!</v>
      </c>
      <c r="AL20" s="185">
        <f t="shared" si="2"/>
        <v>0</v>
      </c>
    </row>
    <row r="21" spans="1:42" x14ac:dyDescent="0.25">
      <c r="AB21" s="13" t="s">
        <v>152</v>
      </c>
      <c r="AC21" s="295"/>
      <c r="AD21" s="295"/>
      <c r="AE21" s="295"/>
      <c r="AF21" s="95">
        <f>'Yield-data'!L18</f>
        <v>0</v>
      </c>
      <c r="AG21" s="140">
        <f t="shared" si="3"/>
        <v>0</v>
      </c>
      <c r="AH21" s="206">
        <f>'Yield-penalty-by-LD-class'!P17</f>
        <v>0</v>
      </c>
      <c r="AI21" s="206">
        <f>'Yield-penalty-by-LD-class'!Q17</f>
        <v>0</v>
      </c>
      <c r="AJ21" s="95" t="e">
        <f t="shared" si="0"/>
        <v>#DIV/0!</v>
      </c>
      <c r="AK21" s="95" t="e">
        <f t="shared" si="1"/>
        <v>#DIV/0!</v>
      </c>
      <c r="AL21" s="185">
        <f t="shared" si="2"/>
        <v>0</v>
      </c>
    </row>
    <row r="22" spans="1:42" ht="54" customHeight="1" x14ac:dyDescent="0.25">
      <c r="A22" s="756" t="s">
        <v>101</v>
      </c>
      <c r="B22" s="771" t="s">
        <v>817</v>
      </c>
      <c r="C22" s="762" t="s">
        <v>818</v>
      </c>
      <c r="D22" s="763"/>
      <c r="E22" s="763"/>
      <c r="F22" s="770"/>
      <c r="G22" s="762" t="s">
        <v>1111</v>
      </c>
      <c r="H22" s="763"/>
      <c r="I22" s="763"/>
      <c r="J22" s="770"/>
      <c r="K22" s="759" t="s">
        <v>1112</v>
      </c>
      <c r="L22" s="772"/>
      <c r="M22" s="772"/>
      <c r="N22" s="772"/>
      <c r="O22" s="759" t="s">
        <v>1166</v>
      </c>
      <c r="P22" s="759"/>
      <c r="Q22" s="759"/>
      <c r="R22" s="759"/>
      <c r="S22" s="762" t="s">
        <v>819</v>
      </c>
      <c r="T22" s="763"/>
      <c r="U22" s="763"/>
      <c r="V22" s="770"/>
      <c r="W22" s="1"/>
      <c r="X22" s="44" t="s">
        <v>820</v>
      </c>
      <c r="Y22" s="2" t="s">
        <v>821</v>
      </c>
      <c r="Z22" s="2" t="s">
        <v>822</v>
      </c>
      <c r="AB22" s="13" t="s">
        <v>153</v>
      </c>
      <c r="AC22" s="295"/>
      <c r="AD22" s="295"/>
      <c r="AE22" s="295"/>
      <c r="AF22" s="95">
        <f>'Yield-data'!L19</f>
        <v>0</v>
      </c>
      <c r="AG22" s="140">
        <f t="shared" si="3"/>
        <v>0</v>
      </c>
      <c r="AH22" s="206">
        <f>'Yield-penalty-by-LD-class'!P18</f>
        <v>0</v>
      </c>
      <c r="AI22" s="206">
        <f>'Yield-penalty-by-LD-class'!Q18</f>
        <v>0</v>
      </c>
      <c r="AJ22" s="95" t="e">
        <f t="shared" si="0"/>
        <v>#DIV/0!</v>
      </c>
      <c r="AK22" s="95" t="e">
        <f t="shared" si="1"/>
        <v>#DIV/0!</v>
      </c>
      <c r="AL22" s="185">
        <f t="shared" si="2"/>
        <v>0</v>
      </c>
    </row>
    <row r="23" spans="1:42" x14ac:dyDescent="0.25">
      <c r="A23" s="756"/>
      <c r="B23" s="772"/>
      <c r="C23" s="87" t="s">
        <v>823</v>
      </c>
      <c r="D23" s="87" t="s">
        <v>137</v>
      </c>
      <c r="E23" s="87" t="s">
        <v>289</v>
      </c>
      <c r="F23" s="15" t="s">
        <v>120</v>
      </c>
      <c r="G23" s="15" t="s">
        <v>136</v>
      </c>
      <c r="H23" s="15" t="s">
        <v>137</v>
      </c>
      <c r="I23" s="15" t="s">
        <v>289</v>
      </c>
      <c r="J23" s="15" t="s">
        <v>120</v>
      </c>
      <c r="K23" s="15" t="s">
        <v>136</v>
      </c>
      <c r="L23" s="15" t="s">
        <v>137</v>
      </c>
      <c r="M23" s="15" t="s">
        <v>289</v>
      </c>
      <c r="N23" s="15" t="s">
        <v>120</v>
      </c>
      <c r="O23" s="87" t="s">
        <v>136</v>
      </c>
      <c r="P23" s="87" t="s">
        <v>137</v>
      </c>
      <c r="Q23" s="87" t="s">
        <v>289</v>
      </c>
      <c r="R23" s="87" t="s">
        <v>120</v>
      </c>
      <c r="S23" s="87" t="s">
        <v>136</v>
      </c>
      <c r="T23" s="87" t="s">
        <v>137</v>
      </c>
      <c r="U23" s="87" t="s">
        <v>289</v>
      </c>
      <c r="V23" s="87" t="s">
        <v>120</v>
      </c>
      <c r="AB23" s="13" t="s">
        <v>154</v>
      </c>
      <c r="AC23" s="295"/>
      <c r="AD23" s="295"/>
      <c r="AE23" s="295"/>
      <c r="AF23" s="95">
        <f>'Yield-data'!L20</f>
        <v>0</v>
      </c>
      <c r="AG23" s="140">
        <f t="shared" si="3"/>
        <v>0</v>
      </c>
      <c r="AH23" s="206">
        <f>'Yield-penalty-by-LD-class'!P19</f>
        <v>0</v>
      </c>
      <c r="AI23" s="206">
        <f>'Yield-penalty-by-LD-class'!Q19</f>
        <v>0</v>
      </c>
      <c r="AJ23" s="95" t="e">
        <f t="shared" si="0"/>
        <v>#DIV/0!</v>
      </c>
      <c r="AK23" s="95" t="e">
        <f t="shared" si="1"/>
        <v>#DIV/0!</v>
      </c>
      <c r="AL23" s="185">
        <f t="shared" si="2"/>
        <v>0</v>
      </c>
    </row>
    <row r="24" spans="1:42" x14ac:dyDescent="0.25">
      <c r="A24" s="15" t="str">
        <f>'Cereals-all-year'!A34</f>
        <v>Tunis</v>
      </c>
      <c r="B24" s="242">
        <f>'Area&amp;production data'!O5</f>
        <v>0</v>
      </c>
      <c r="C24" s="206">
        <f>'Area(ha)-by-degradation-level'!AY5</f>
        <v>0</v>
      </c>
      <c r="D24" s="206">
        <f>'Area(ha)-by-degradation-level'!AZ5</f>
        <v>0</v>
      </c>
      <c r="E24" s="206">
        <f>'Area(ha)-by-degradation-level'!BA5</f>
        <v>0</v>
      </c>
      <c r="F24" s="206">
        <f>SUM(C24:E24)</f>
        <v>0</v>
      </c>
      <c r="G24" s="180">
        <f t="shared" ref="G24:G47" si="5">$AC8-AC8</f>
        <v>0</v>
      </c>
      <c r="H24" s="180">
        <f t="shared" ref="H24:H47" si="6">$AC8-AD8</f>
        <v>0</v>
      </c>
      <c r="I24" s="180">
        <f t="shared" ref="I24:I47" si="7">$AC8-AE8</f>
        <v>0</v>
      </c>
      <c r="J24" s="229">
        <f>SUMPRODUCT(C24:E24,G24:I24)</f>
        <v>0</v>
      </c>
      <c r="K24" s="46">
        <f>G24*C24*$B24</f>
        <v>0</v>
      </c>
      <c r="L24" s="46">
        <f t="shared" ref="K24:M39" si="8">H24*D24*$B24</f>
        <v>0</v>
      </c>
      <c r="M24" s="46">
        <f>I24*E24*$B24</f>
        <v>0</v>
      </c>
      <c r="N24" s="46">
        <f>SUM(K24:M24)</f>
        <v>0</v>
      </c>
      <c r="O24" s="214" t="e">
        <f>C24*Deforestation!$B6+K24</f>
        <v>#DIV/0!</v>
      </c>
      <c r="P24" s="214" t="e">
        <f>D24*Deforestation!$B6+L24</f>
        <v>#DIV/0!</v>
      </c>
      <c r="Q24" s="214" t="e">
        <f>E24*Deforestation!$B6+M24</f>
        <v>#DIV/0!</v>
      </c>
      <c r="R24" s="214" t="e">
        <f>SUM(O24:Q24)</f>
        <v>#DIV/0!</v>
      </c>
      <c r="S24" s="48" t="e">
        <f>$C$8*O24</f>
        <v>#DIV/0!</v>
      </c>
      <c r="T24" s="48" t="e">
        <f t="shared" ref="T24" si="9">$C$8*P24</f>
        <v>#DIV/0!</v>
      </c>
      <c r="U24" s="48" t="e">
        <f t="shared" ref="U24" si="10">$C$8*Q24</f>
        <v>#DIV/0!</v>
      </c>
      <c r="V24" s="48" t="e">
        <f t="shared" ref="V24:V47" si="11">$C$8*R24</f>
        <v>#DIV/0!</v>
      </c>
      <c r="W24" s="401"/>
      <c r="X24" s="400" t="str">
        <f t="shared" ref="X24:X47" si="12">IFERROR(R24/(B24*E24),"")</f>
        <v/>
      </c>
      <c r="Y24" s="30" t="e">
        <f t="shared" ref="Y24:Y47" si="13">V24/$V$48</f>
        <v>#DIV/0!</v>
      </c>
      <c r="Z24" s="30" t="str">
        <f t="shared" ref="Z24:Z47" si="14">IFERROR(R24/($G$16*B24*E24),"")</f>
        <v/>
      </c>
      <c r="AB24" s="13" t="s">
        <v>155</v>
      </c>
      <c r="AC24" s="295"/>
      <c r="AD24" s="295"/>
      <c r="AE24" s="295"/>
      <c r="AF24" s="95">
        <f>'Yield-data'!L21</f>
        <v>0</v>
      </c>
      <c r="AG24" s="140">
        <f t="shared" si="3"/>
        <v>0</v>
      </c>
      <c r="AH24" s="206">
        <f>'Yield-penalty-by-LD-class'!P20</f>
        <v>0</v>
      </c>
      <c r="AI24" s="206">
        <f>'Yield-penalty-by-LD-class'!Q20</f>
        <v>0</v>
      </c>
      <c r="AJ24" s="95" t="e">
        <f t="shared" si="0"/>
        <v>#DIV/0!</v>
      </c>
      <c r="AK24" s="95" t="e">
        <f t="shared" si="1"/>
        <v>#DIV/0!</v>
      </c>
      <c r="AL24" s="185">
        <f t="shared" si="2"/>
        <v>0</v>
      </c>
    </row>
    <row r="25" spans="1:42" x14ac:dyDescent="0.25">
      <c r="A25" s="15" t="str">
        <f>'Cereals-all-year'!A35</f>
        <v>Ariana</v>
      </c>
      <c r="B25" s="242">
        <f>'Area&amp;production data'!O6</f>
        <v>0</v>
      </c>
      <c r="C25" s="206">
        <f>'Area(ha)-by-degradation-level'!AY6</f>
        <v>0</v>
      </c>
      <c r="D25" s="206">
        <f>'Area(ha)-by-degradation-level'!AZ6</f>
        <v>0</v>
      </c>
      <c r="E25" s="206">
        <f>'Area(ha)-by-degradation-level'!BA6</f>
        <v>0</v>
      </c>
      <c r="F25" s="206">
        <f t="shared" ref="F25:F47" si="15">SUM(C25:E25)</f>
        <v>0</v>
      </c>
      <c r="G25" s="180">
        <f t="shared" si="5"/>
        <v>0</v>
      </c>
      <c r="H25" s="180">
        <f t="shared" si="6"/>
        <v>0</v>
      </c>
      <c r="I25" s="180">
        <f t="shared" si="7"/>
        <v>0</v>
      </c>
      <c r="J25" s="229">
        <f t="shared" ref="J25:J47" si="16">SUMPRODUCT(C25:E25,G25:I25)</f>
        <v>0</v>
      </c>
      <c r="K25" s="46">
        <f t="shared" si="8"/>
        <v>0</v>
      </c>
      <c r="L25" s="46">
        <f t="shared" si="8"/>
        <v>0</v>
      </c>
      <c r="M25" s="46">
        <f t="shared" si="8"/>
        <v>0</v>
      </c>
      <c r="N25" s="46">
        <f t="shared" ref="N25:N48" si="17">SUM(K25:M25)</f>
        <v>0</v>
      </c>
      <c r="O25" s="214" t="e">
        <f>C25*Deforestation!$B7+K25</f>
        <v>#DIV/0!</v>
      </c>
      <c r="P25" s="214" t="e">
        <f>D25*Deforestation!$B7+L25</f>
        <v>#DIV/0!</v>
      </c>
      <c r="Q25" s="214" t="e">
        <f>E25*Deforestation!$B7+M25</f>
        <v>#DIV/0!</v>
      </c>
      <c r="R25" s="214" t="e">
        <f t="shared" ref="R25:R47" si="18">SUM(O25:Q25)</f>
        <v>#DIV/0!</v>
      </c>
      <c r="S25" s="48" t="e">
        <f t="shared" ref="S25:S47" si="19">$C$8*O25</f>
        <v>#DIV/0!</v>
      </c>
      <c r="T25" s="48" t="e">
        <f t="shared" ref="T25:T47" si="20">$C$8*P25</f>
        <v>#DIV/0!</v>
      </c>
      <c r="U25" s="48" t="e">
        <f t="shared" ref="U25:U47" si="21">$C$8*Q25</f>
        <v>#DIV/0!</v>
      </c>
      <c r="V25" s="48" t="e">
        <f t="shared" si="11"/>
        <v>#DIV/0!</v>
      </c>
      <c r="W25" s="401"/>
      <c r="X25" s="400" t="str">
        <f t="shared" si="12"/>
        <v/>
      </c>
      <c r="Y25" s="30" t="e">
        <f t="shared" si="13"/>
        <v>#DIV/0!</v>
      </c>
      <c r="Z25" s="30" t="str">
        <f t="shared" si="14"/>
        <v/>
      </c>
      <c r="AB25" s="13" t="s">
        <v>156</v>
      </c>
      <c r="AC25" s="295"/>
      <c r="AD25" s="295"/>
      <c r="AE25" s="295"/>
      <c r="AF25" s="95">
        <f>'Yield-data'!L22</f>
        <v>0</v>
      </c>
      <c r="AG25" s="140">
        <f t="shared" si="3"/>
        <v>0</v>
      </c>
      <c r="AH25" s="206">
        <f>'Yield-penalty-by-LD-class'!P21</f>
        <v>0</v>
      </c>
      <c r="AI25" s="206">
        <f>'Yield-penalty-by-LD-class'!Q21</f>
        <v>0</v>
      </c>
      <c r="AJ25" s="95" t="e">
        <f t="shared" si="0"/>
        <v>#DIV/0!</v>
      </c>
      <c r="AK25" s="95" t="e">
        <f t="shared" si="1"/>
        <v>#DIV/0!</v>
      </c>
      <c r="AL25" s="185">
        <f t="shared" si="2"/>
        <v>0</v>
      </c>
      <c r="AM25" s="44"/>
      <c r="AN25" s="1"/>
      <c r="AO25" s="1"/>
      <c r="AP25" s="1"/>
    </row>
    <row r="26" spans="1:42" x14ac:dyDescent="0.25">
      <c r="A26" s="15" t="str">
        <f>'Cereals-all-year'!A36</f>
        <v>La Manouba</v>
      </c>
      <c r="B26" s="242">
        <f>'Area&amp;production data'!O7</f>
        <v>0</v>
      </c>
      <c r="C26" s="206">
        <f>'Area(ha)-by-degradation-level'!AY7</f>
        <v>0</v>
      </c>
      <c r="D26" s="206">
        <f>'Area(ha)-by-degradation-level'!AZ7</f>
        <v>0</v>
      </c>
      <c r="E26" s="206">
        <f>'Area(ha)-by-degradation-level'!BA7</f>
        <v>0</v>
      </c>
      <c r="F26" s="206">
        <f t="shared" si="15"/>
        <v>0</v>
      </c>
      <c r="G26" s="180">
        <f t="shared" si="5"/>
        <v>0</v>
      </c>
      <c r="H26" s="180">
        <f t="shared" si="6"/>
        <v>0</v>
      </c>
      <c r="I26" s="180">
        <f t="shared" si="7"/>
        <v>0</v>
      </c>
      <c r="J26" s="229">
        <f t="shared" si="16"/>
        <v>0</v>
      </c>
      <c r="K26" s="46">
        <f t="shared" si="8"/>
        <v>0</v>
      </c>
      <c r="L26" s="46">
        <f t="shared" si="8"/>
        <v>0</v>
      </c>
      <c r="M26" s="46">
        <f t="shared" si="8"/>
        <v>0</v>
      </c>
      <c r="N26" s="46">
        <f t="shared" si="17"/>
        <v>0</v>
      </c>
      <c r="O26" s="214" t="e">
        <f>C26*Deforestation!$B8+K26</f>
        <v>#DIV/0!</v>
      </c>
      <c r="P26" s="214" t="e">
        <f>D26*Deforestation!$B8+L26</f>
        <v>#DIV/0!</v>
      </c>
      <c r="Q26" s="214" t="e">
        <f>E26*Deforestation!$B8+M26</f>
        <v>#DIV/0!</v>
      </c>
      <c r="R26" s="214" t="e">
        <f t="shared" si="18"/>
        <v>#DIV/0!</v>
      </c>
      <c r="S26" s="48" t="e">
        <f t="shared" si="19"/>
        <v>#DIV/0!</v>
      </c>
      <c r="T26" s="48" t="e">
        <f t="shared" si="20"/>
        <v>#DIV/0!</v>
      </c>
      <c r="U26" s="48" t="e">
        <f t="shared" si="21"/>
        <v>#DIV/0!</v>
      </c>
      <c r="V26" s="48" t="e">
        <f t="shared" si="11"/>
        <v>#DIV/0!</v>
      </c>
      <c r="W26" s="401"/>
      <c r="X26" s="400" t="str">
        <f t="shared" si="12"/>
        <v/>
      </c>
      <c r="Y26" s="30" t="e">
        <f t="shared" si="13"/>
        <v>#DIV/0!</v>
      </c>
      <c r="Z26" s="30" t="str">
        <f t="shared" si="14"/>
        <v/>
      </c>
      <c r="AB26" s="13" t="s">
        <v>157</v>
      </c>
      <c r="AC26" s="295"/>
      <c r="AD26" s="295"/>
      <c r="AE26" s="295"/>
      <c r="AF26" s="95">
        <f>'Yield-data'!L23</f>
        <v>0</v>
      </c>
      <c r="AG26" s="140">
        <f t="shared" si="3"/>
        <v>0</v>
      </c>
      <c r="AH26" s="206">
        <f>'Yield-penalty-by-LD-class'!P22</f>
        <v>0</v>
      </c>
      <c r="AI26" s="206">
        <f>'Yield-penalty-by-LD-class'!Q22</f>
        <v>0</v>
      </c>
      <c r="AJ26" s="95" t="e">
        <f t="shared" si="0"/>
        <v>#DIV/0!</v>
      </c>
      <c r="AK26" s="95" t="e">
        <f t="shared" si="1"/>
        <v>#DIV/0!</v>
      </c>
      <c r="AL26" s="185">
        <f t="shared" si="2"/>
        <v>0</v>
      </c>
      <c r="AM26" s="376"/>
      <c r="AN26" s="52"/>
      <c r="AP26" s="52"/>
    </row>
    <row r="27" spans="1:42" x14ac:dyDescent="0.25">
      <c r="A27" s="15" t="str">
        <f>'Cereals-all-year'!A37</f>
        <v>Ben Arous</v>
      </c>
      <c r="B27" s="242">
        <f>'Area&amp;production data'!O8</f>
        <v>0</v>
      </c>
      <c r="C27" s="206">
        <f>'Area(ha)-by-degradation-level'!AY8</f>
        <v>0</v>
      </c>
      <c r="D27" s="206">
        <f>'Area(ha)-by-degradation-level'!AZ8</f>
        <v>0</v>
      </c>
      <c r="E27" s="206">
        <f>'Area(ha)-by-degradation-level'!BA8</f>
        <v>0</v>
      </c>
      <c r="F27" s="206">
        <f t="shared" si="15"/>
        <v>0</v>
      </c>
      <c r="G27" s="180">
        <f t="shared" si="5"/>
        <v>0</v>
      </c>
      <c r="H27" s="180">
        <f t="shared" si="6"/>
        <v>0</v>
      </c>
      <c r="I27" s="180">
        <f t="shared" si="7"/>
        <v>0</v>
      </c>
      <c r="J27" s="229">
        <f t="shared" si="16"/>
        <v>0</v>
      </c>
      <c r="K27" s="46">
        <f t="shared" si="8"/>
        <v>0</v>
      </c>
      <c r="L27" s="46">
        <f t="shared" si="8"/>
        <v>0</v>
      </c>
      <c r="M27" s="46">
        <f t="shared" si="8"/>
        <v>0</v>
      </c>
      <c r="N27" s="46">
        <f t="shared" si="17"/>
        <v>0</v>
      </c>
      <c r="O27" s="214" t="e">
        <f>C27*Deforestation!$B9+K27</f>
        <v>#DIV/0!</v>
      </c>
      <c r="P27" s="214" t="e">
        <f>D27*Deforestation!$B9+L27</f>
        <v>#DIV/0!</v>
      </c>
      <c r="Q27" s="214" t="e">
        <f>E27*Deforestation!$B9+M27</f>
        <v>#DIV/0!</v>
      </c>
      <c r="R27" s="214" t="e">
        <f t="shared" si="18"/>
        <v>#DIV/0!</v>
      </c>
      <c r="S27" s="48" t="e">
        <f t="shared" si="19"/>
        <v>#DIV/0!</v>
      </c>
      <c r="T27" s="48" t="e">
        <f t="shared" si="20"/>
        <v>#DIV/0!</v>
      </c>
      <c r="U27" s="48" t="e">
        <f t="shared" si="21"/>
        <v>#DIV/0!</v>
      </c>
      <c r="V27" s="48" t="e">
        <f t="shared" si="11"/>
        <v>#DIV/0!</v>
      </c>
      <c r="W27" s="401"/>
      <c r="X27" s="400" t="str">
        <f t="shared" si="12"/>
        <v/>
      </c>
      <c r="Y27" s="30" t="e">
        <f t="shared" si="13"/>
        <v>#DIV/0!</v>
      </c>
      <c r="Z27" s="30" t="str">
        <f t="shared" si="14"/>
        <v/>
      </c>
      <c r="AB27" s="13" t="s">
        <v>158</v>
      </c>
      <c r="AC27" s="295"/>
      <c r="AD27" s="295"/>
      <c r="AE27" s="295"/>
      <c r="AF27" s="95">
        <f>'Yield-data'!L24</f>
        <v>0</v>
      </c>
      <c r="AG27" s="140">
        <f t="shared" si="3"/>
        <v>0</v>
      </c>
      <c r="AH27" s="206">
        <f>'Yield-penalty-by-LD-class'!P23</f>
        <v>0</v>
      </c>
      <c r="AI27" s="206">
        <f>'Yield-penalty-by-LD-class'!Q23</f>
        <v>0</v>
      </c>
      <c r="AJ27" s="95" t="e">
        <f t="shared" si="0"/>
        <v>#DIV/0!</v>
      </c>
      <c r="AK27" s="95" t="e">
        <f t="shared" si="1"/>
        <v>#DIV/0!</v>
      </c>
      <c r="AL27" s="185">
        <f t="shared" si="2"/>
        <v>0</v>
      </c>
      <c r="AM27" s="376"/>
      <c r="AN27" s="52"/>
      <c r="AP27" s="52"/>
    </row>
    <row r="28" spans="1:42" x14ac:dyDescent="0.25">
      <c r="A28" s="15" t="str">
        <f>'Cereals-all-year'!A38</f>
        <v>Nabeul</v>
      </c>
      <c r="B28" s="242">
        <f>'Area&amp;production data'!O9</f>
        <v>0</v>
      </c>
      <c r="C28" s="206">
        <f>'Area(ha)-by-degradation-level'!AY9</f>
        <v>0</v>
      </c>
      <c r="D28" s="206">
        <f>'Area(ha)-by-degradation-level'!AZ9</f>
        <v>0</v>
      </c>
      <c r="E28" s="206">
        <f>'Area(ha)-by-degradation-level'!BA9</f>
        <v>0</v>
      </c>
      <c r="F28" s="206">
        <f t="shared" si="15"/>
        <v>0</v>
      </c>
      <c r="G28" s="180">
        <f t="shared" si="5"/>
        <v>0</v>
      </c>
      <c r="H28" s="180">
        <f t="shared" si="6"/>
        <v>0</v>
      </c>
      <c r="I28" s="180">
        <f t="shared" si="7"/>
        <v>0</v>
      </c>
      <c r="J28" s="229">
        <f t="shared" si="16"/>
        <v>0</v>
      </c>
      <c r="K28" s="46">
        <f t="shared" si="8"/>
        <v>0</v>
      </c>
      <c r="L28" s="46">
        <f t="shared" si="8"/>
        <v>0</v>
      </c>
      <c r="M28" s="46">
        <f t="shared" si="8"/>
        <v>0</v>
      </c>
      <c r="N28" s="46">
        <f t="shared" si="17"/>
        <v>0</v>
      </c>
      <c r="O28" s="214" t="e">
        <f>C28*Deforestation!$B10+K28</f>
        <v>#DIV/0!</v>
      </c>
      <c r="P28" s="214" t="e">
        <f>D28*Deforestation!$B10+L28</f>
        <v>#DIV/0!</v>
      </c>
      <c r="Q28" s="214" t="e">
        <f>E28*Deforestation!$B10+M28</f>
        <v>#DIV/0!</v>
      </c>
      <c r="R28" s="214" t="e">
        <f t="shared" si="18"/>
        <v>#DIV/0!</v>
      </c>
      <c r="S28" s="48" t="e">
        <f t="shared" si="19"/>
        <v>#DIV/0!</v>
      </c>
      <c r="T28" s="48" t="e">
        <f t="shared" si="20"/>
        <v>#DIV/0!</v>
      </c>
      <c r="U28" s="48" t="e">
        <f t="shared" si="21"/>
        <v>#DIV/0!</v>
      </c>
      <c r="V28" s="48" t="e">
        <f t="shared" si="11"/>
        <v>#DIV/0!</v>
      </c>
      <c r="W28" s="401"/>
      <c r="X28" s="400" t="str">
        <f t="shared" si="12"/>
        <v/>
      </c>
      <c r="Y28" s="30" t="e">
        <f t="shared" si="13"/>
        <v>#DIV/0!</v>
      </c>
      <c r="Z28" s="30" t="str">
        <f t="shared" si="14"/>
        <v/>
      </c>
      <c r="AB28" s="13" t="s">
        <v>159</v>
      </c>
      <c r="AC28" s="295"/>
      <c r="AD28" s="295"/>
      <c r="AE28" s="295"/>
      <c r="AF28" s="95">
        <f>'Yield-data'!L25</f>
        <v>0</v>
      </c>
      <c r="AG28" s="140">
        <f t="shared" si="3"/>
        <v>0</v>
      </c>
      <c r="AH28" s="206">
        <f>'Yield-penalty-by-LD-class'!P24</f>
        <v>0</v>
      </c>
      <c r="AI28" s="206">
        <f>'Yield-penalty-by-LD-class'!Q24</f>
        <v>0</v>
      </c>
      <c r="AJ28" s="95" t="e">
        <f t="shared" si="0"/>
        <v>#DIV/0!</v>
      </c>
      <c r="AK28" s="95" t="e">
        <f t="shared" si="1"/>
        <v>#DIV/0!</v>
      </c>
      <c r="AL28" s="185">
        <f t="shared" si="2"/>
        <v>0</v>
      </c>
      <c r="AM28" s="376"/>
      <c r="AN28" s="52"/>
      <c r="AP28" s="52"/>
    </row>
    <row r="29" spans="1:42" x14ac:dyDescent="0.25">
      <c r="A29" s="15" t="str">
        <f>'Cereals-all-year'!A39</f>
        <v>Bizerte</v>
      </c>
      <c r="B29" s="242">
        <f>'Area&amp;production data'!O10</f>
        <v>0</v>
      </c>
      <c r="C29" s="206">
        <f>'Area(ha)-by-degradation-level'!AY10</f>
        <v>0</v>
      </c>
      <c r="D29" s="206">
        <f>'Area(ha)-by-degradation-level'!AZ10</f>
        <v>0</v>
      </c>
      <c r="E29" s="206">
        <f>'Area(ha)-by-degradation-level'!BA10</f>
        <v>0</v>
      </c>
      <c r="F29" s="206">
        <f t="shared" si="15"/>
        <v>0</v>
      </c>
      <c r="G29" s="180">
        <f t="shared" si="5"/>
        <v>0</v>
      </c>
      <c r="H29" s="180">
        <f t="shared" si="6"/>
        <v>0</v>
      </c>
      <c r="I29" s="180">
        <f t="shared" si="7"/>
        <v>0</v>
      </c>
      <c r="J29" s="229">
        <f t="shared" si="16"/>
        <v>0</v>
      </c>
      <c r="K29" s="46">
        <f t="shared" si="8"/>
        <v>0</v>
      </c>
      <c r="L29" s="46">
        <f t="shared" si="8"/>
        <v>0</v>
      </c>
      <c r="M29" s="46">
        <f t="shared" si="8"/>
        <v>0</v>
      </c>
      <c r="N29" s="46">
        <f t="shared" si="17"/>
        <v>0</v>
      </c>
      <c r="O29" s="214" t="e">
        <f>C29*Deforestation!$B11+K29</f>
        <v>#DIV/0!</v>
      </c>
      <c r="P29" s="214" t="e">
        <f>D29*Deforestation!$B11+L29</f>
        <v>#DIV/0!</v>
      </c>
      <c r="Q29" s="214" t="e">
        <f>E29*Deforestation!$B11+M29</f>
        <v>#DIV/0!</v>
      </c>
      <c r="R29" s="214" t="e">
        <f t="shared" si="18"/>
        <v>#DIV/0!</v>
      </c>
      <c r="S29" s="48" t="e">
        <f t="shared" si="19"/>
        <v>#DIV/0!</v>
      </c>
      <c r="T29" s="48" t="e">
        <f t="shared" si="20"/>
        <v>#DIV/0!</v>
      </c>
      <c r="U29" s="48" t="e">
        <f t="shared" si="21"/>
        <v>#DIV/0!</v>
      </c>
      <c r="V29" s="48" t="e">
        <f t="shared" si="11"/>
        <v>#DIV/0!</v>
      </c>
      <c r="W29" s="401"/>
      <c r="X29" s="400" t="str">
        <f t="shared" si="12"/>
        <v/>
      </c>
      <c r="Y29" s="30" t="e">
        <f t="shared" si="13"/>
        <v>#DIV/0!</v>
      </c>
      <c r="Z29" s="30" t="str">
        <f t="shared" si="14"/>
        <v/>
      </c>
      <c r="AB29" s="13" t="s">
        <v>160</v>
      </c>
      <c r="AC29" s="295"/>
      <c r="AD29" s="295"/>
      <c r="AE29" s="295"/>
      <c r="AF29" s="95">
        <f>'Yield-data'!L26</f>
        <v>0</v>
      </c>
      <c r="AG29" s="140">
        <f t="shared" si="3"/>
        <v>0</v>
      </c>
      <c r="AH29" s="206">
        <f>'Yield-penalty-by-LD-class'!P25</f>
        <v>0</v>
      </c>
      <c r="AI29" s="206">
        <f>'Yield-penalty-by-LD-class'!Q25</f>
        <v>0</v>
      </c>
      <c r="AJ29" s="95" t="e">
        <f t="shared" si="0"/>
        <v>#DIV/0!</v>
      </c>
      <c r="AK29" s="95" t="e">
        <f t="shared" si="1"/>
        <v>#DIV/0!</v>
      </c>
      <c r="AL29" s="185">
        <f t="shared" si="2"/>
        <v>0</v>
      </c>
      <c r="AM29" s="376"/>
      <c r="AN29" s="52"/>
      <c r="AP29" s="52"/>
    </row>
    <row r="30" spans="1:42" x14ac:dyDescent="0.25">
      <c r="A30" s="15" t="str">
        <f>'Cereals-all-year'!A40</f>
        <v>Zaghouan</v>
      </c>
      <c r="B30" s="242">
        <f>'Area&amp;production data'!O11</f>
        <v>0</v>
      </c>
      <c r="C30" s="206">
        <f>'Area(ha)-by-degradation-level'!AY11</f>
        <v>0</v>
      </c>
      <c r="D30" s="206">
        <f>'Area(ha)-by-degradation-level'!AZ11</f>
        <v>0</v>
      </c>
      <c r="E30" s="206">
        <f>'Area(ha)-by-degradation-level'!BA11</f>
        <v>0</v>
      </c>
      <c r="F30" s="206">
        <f t="shared" si="15"/>
        <v>0</v>
      </c>
      <c r="G30" s="180">
        <f t="shared" si="5"/>
        <v>0</v>
      </c>
      <c r="H30" s="180">
        <f t="shared" si="6"/>
        <v>0</v>
      </c>
      <c r="I30" s="180">
        <f t="shared" si="7"/>
        <v>0</v>
      </c>
      <c r="J30" s="229">
        <f t="shared" si="16"/>
        <v>0</v>
      </c>
      <c r="K30" s="46">
        <f t="shared" si="8"/>
        <v>0</v>
      </c>
      <c r="L30" s="46">
        <f t="shared" si="8"/>
        <v>0</v>
      </c>
      <c r="M30" s="46">
        <f t="shared" si="8"/>
        <v>0</v>
      </c>
      <c r="N30" s="46">
        <f t="shared" si="17"/>
        <v>0</v>
      </c>
      <c r="O30" s="214" t="e">
        <f>C30*Deforestation!$B12+K30</f>
        <v>#DIV/0!</v>
      </c>
      <c r="P30" s="214" t="e">
        <f>D30*Deforestation!$B12+L30</f>
        <v>#DIV/0!</v>
      </c>
      <c r="Q30" s="214" t="e">
        <f>E30*Deforestation!$B12+M30</f>
        <v>#DIV/0!</v>
      </c>
      <c r="R30" s="214" t="e">
        <f t="shared" si="18"/>
        <v>#DIV/0!</v>
      </c>
      <c r="S30" s="48" t="e">
        <f t="shared" si="19"/>
        <v>#DIV/0!</v>
      </c>
      <c r="T30" s="48" t="e">
        <f t="shared" si="20"/>
        <v>#DIV/0!</v>
      </c>
      <c r="U30" s="48" t="e">
        <f t="shared" si="21"/>
        <v>#DIV/0!</v>
      </c>
      <c r="V30" s="48" t="e">
        <f t="shared" si="11"/>
        <v>#DIV/0!</v>
      </c>
      <c r="W30" s="401"/>
      <c r="X30" s="400" t="str">
        <f t="shared" si="12"/>
        <v/>
      </c>
      <c r="Y30" s="30" t="e">
        <f t="shared" si="13"/>
        <v>#DIV/0!</v>
      </c>
      <c r="Z30" s="30" t="str">
        <f t="shared" si="14"/>
        <v/>
      </c>
      <c r="AB30" s="13" t="s">
        <v>161</v>
      </c>
      <c r="AC30" s="295"/>
      <c r="AD30" s="295"/>
      <c r="AE30" s="295"/>
      <c r="AF30" s="95">
        <f>'Yield-data'!L27</f>
        <v>0</v>
      </c>
      <c r="AG30" s="140">
        <f t="shared" si="3"/>
        <v>0</v>
      </c>
      <c r="AH30" s="206">
        <f>'Yield-penalty-by-LD-class'!P26</f>
        <v>0</v>
      </c>
      <c r="AI30" s="206">
        <f>'Yield-penalty-by-LD-class'!Q26</f>
        <v>0</v>
      </c>
      <c r="AJ30" s="95" t="e">
        <f t="shared" si="0"/>
        <v>#DIV/0!</v>
      </c>
      <c r="AK30" s="95" t="e">
        <f t="shared" si="1"/>
        <v>#DIV/0!</v>
      </c>
      <c r="AL30" s="185">
        <f t="shared" si="2"/>
        <v>0</v>
      </c>
      <c r="AM30" s="376"/>
      <c r="AN30" s="52"/>
      <c r="AP30" s="52"/>
    </row>
    <row r="31" spans="1:42" x14ac:dyDescent="0.25">
      <c r="A31" s="15" t="str">
        <f>'Cereals-all-year'!A41</f>
        <v>Béja</v>
      </c>
      <c r="B31" s="242">
        <f>'Area&amp;production data'!O12</f>
        <v>0</v>
      </c>
      <c r="C31" s="206">
        <f>'Area(ha)-by-degradation-level'!AY12</f>
        <v>0</v>
      </c>
      <c r="D31" s="206">
        <f>'Area(ha)-by-degradation-level'!AZ12</f>
        <v>0</v>
      </c>
      <c r="E31" s="206">
        <f>'Area(ha)-by-degradation-level'!BA12</f>
        <v>0</v>
      </c>
      <c r="F31" s="206">
        <f t="shared" si="15"/>
        <v>0</v>
      </c>
      <c r="G31" s="180">
        <f t="shared" si="5"/>
        <v>0</v>
      </c>
      <c r="H31" s="180">
        <f t="shared" si="6"/>
        <v>0</v>
      </c>
      <c r="I31" s="180">
        <f t="shared" si="7"/>
        <v>0</v>
      </c>
      <c r="J31" s="229">
        <f t="shared" si="16"/>
        <v>0</v>
      </c>
      <c r="K31" s="46">
        <f t="shared" si="8"/>
        <v>0</v>
      </c>
      <c r="L31" s="46">
        <f t="shared" si="8"/>
        <v>0</v>
      </c>
      <c r="M31" s="46">
        <f t="shared" si="8"/>
        <v>0</v>
      </c>
      <c r="N31" s="46">
        <f t="shared" si="17"/>
        <v>0</v>
      </c>
      <c r="O31" s="214" t="e">
        <f>C31*Deforestation!$B13+K31</f>
        <v>#DIV/0!</v>
      </c>
      <c r="P31" s="214" t="e">
        <f>D31*Deforestation!$B13+L31</f>
        <v>#DIV/0!</v>
      </c>
      <c r="Q31" s="214" t="e">
        <f>E31*Deforestation!$B13+M31</f>
        <v>#DIV/0!</v>
      </c>
      <c r="R31" s="214" t="e">
        <f t="shared" si="18"/>
        <v>#DIV/0!</v>
      </c>
      <c r="S31" s="48" t="e">
        <f t="shared" si="19"/>
        <v>#DIV/0!</v>
      </c>
      <c r="T31" s="48" t="e">
        <f t="shared" si="20"/>
        <v>#DIV/0!</v>
      </c>
      <c r="U31" s="48" t="e">
        <f t="shared" si="21"/>
        <v>#DIV/0!</v>
      </c>
      <c r="V31" s="48" t="e">
        <f t="shared" si="11"/>
        <v>#DIV/0!</v>
      </c>
      <c r="W31" s="401"/>
      <c r="X31" s="400" t="str">
        <f t="shared" si="12"/>
        <v/>
      </c>
      <c r="Y31" s="30" t="e">
        <f t="shared" si="13"/>
        <v>#DIV/0!</v>
      </c>
      <c r="Z31" s="30" t="str">
        <f t="shared" si="14"/>
        <v/>
      </c>
      <c r="AB31" s="13" t="s">
        <v>162</v>
      </c>
      <c r="AC31" s="295"/>
      <c r="AD31" s="295"/>
      <c r="AE31" s="295"/>
      <c r="AF31" s="95">
        <f>'Yield-data'!L28</f>
        <v>0</v>
      </c>
      <c r="AG31" s="140">
        <f t="shared" si="3"/>
        <v>0</v>
      </c>
      <c r="AH31" s="206">
        <f>'Yield-penalty-by-LD-class'!P27</f>
        <v>0</v>
      </c>
      <c r="AI31" s="206">
        <f>'Yield-penalty-by-LD-class'!Q27</f>
        <v>0</v>
      </c>
      <c r="AJ31" s="95" t="e">
        <f t="shared" si="0"/>
        <v>#DIV/0!</v>
      </c>
      <c r="AK31" s="95" t="e">
        <f t="shared" si="1"/>
        <v>#DIV/0!</v>
      </c>
      <c r="AL31" s="185">
        <f t="shared" si="2"/>
        <v>0</v>
      </c>
      <c r="AM31" s="376"/>
      <c r="AN31" s="52"/>
      <c r="AP31" s="52"/>
    </row>
    <row r="32" spans="1:42" x14ac:dyDescent="0.25">
      <c r="A32" s="15" t="str">
        <f>'Cereals-all-year'!A42</f>
        <v>Jendouba</v>
      </c>
      <c r="B32" s="242">
        <f>'Area&amp;production data'!O13</f>
        <v>0</v>
      </c>
      <c r="C32" s="206">
        <f>'Area(ha)-by-degradation-level'!AY13</f>
        <v>0</v>
      </c>
      <c r="D32" s="206">
        <f>'Area(ha)-by-degradation-level'!AZ13</f>
        <v>0</v>
      </c>
      <c r="E32" s="206">
        <f>'Area(ha)-by-degradation-level'!BA13</f>
        <v>0</v>
      </c>
      <c r="F32" s="206">
        <f t="shared" si="15"/>
        <v>0</v>
      </c>
      <c r="G32" s="180">
        <f t="shared" si="5"/>
        <v>0</v>
      </c>
      <c r="H32" s="180">
        <f t="shared" si="6"/>
        <v>0</v>
      </c>
      <c r="I32" s="180">
        <f t="shared" si="7"/>
        <v>0</v>
      </c>
      <c r="J32" s="229">
        <f t="shared" si="16"/>
        <v>0</v>
      </c>
      <c r="K32" s="46">
        <f t="shared" si="8"/>
        <v>0</v>
      </c>
      <c r="L32" s="46">
        <f t="shared" si="8"/>
        <v>0</v>
      </c>
      <c r="M32" s="46">
        <f t="shared" si="8"/>
        <v>0</v>
      </c>
      <c r="N32" s="46">
        <f t="shared" si="17"/>
        <v>0</v>
      </c>
      <c r="O32" s="214" t="e">
        <f>C32*Deforestation!$B14+K32</f>
        <v>#DIV/0!</v>
      </c>
      <c r="P32" s="214" t="e">
        <f>D32*Deforestation!$B14+L32</f>
        <v>#DIV/0!</v>
      </c>
      <c r="Q32" s="214" t="e">
        <f>E32*Deforestation!$B14+M32</f>
        <v>#DIV/0!</v>
      </c>
      <c r="R32" s="214" t="e">
        <f t="shared" si="18"/>
        <v>#DIV/0!</v>
      </c>
      <c r="S32" s="48" t="e">
        <f t="shared" si="19"/>
        <v>#DIV/0!</v>
      </c>
      <c r="T32" s="48" t="e">
        <f t="shared" si="20"/>
        <v>#DIV/0!</v>
      </c>
      <c r="U32" s="48" t="e">
        <f t="shared" si="21"/>
        <v>#DIV/0!</v>
      </c>
      <c r="V32" s="48" t="e">
        <f t="shared" si="11"/>
        <v>#DIV/0!</v>
      </c>
      <c r="W32" s="401"/>
      <c r="X32" s="400" t="str">
        <f t="shared" si="12"/>
        <v/>
      </c>
      <c r="Y32" s="30" t="e">
        <f t="shared" si="13"/>
        <v>#DIV/0!</v>
      </c>
      <c r="Z32" s="30" t="str">
        <f t="shared" si="14"/>
        <v/>
      </c>
      <c r="AB32" s="13"/>
      <c r="AC32" s="26" t="e">
        <f t="shared" ref="AC32:AE32" si="22">SUMPRODUCT($B24:$B47,AC8:AC31)/$B$48</f>
        <v>#DIV/0!</v>
      </c>
      <c r="AD32" s="26" t="e">
        <f t="shared" si="22"/>
        <v>#DIV/0!</v>
      </c>
      <c r="AE32" s="26" t="e">
        <f t="shared" si="22"/>
        <v>#DIV/0!</v>
      </c>
      <c r="AF32" s="26" t="e">
        <f>SUMPRODUCT($B24:$B47,AF8:AF31)/$B$48</f>
        <v>#DIV/0!</v>
      </c>
      <c r="AG32" s="23" t="e">
        <f>SUM(Y8:Y31)</f>
        <v>#DIV/0!</v>
      </c>
      <c r="AH32" s="37" t="e">
        <f t="shared" ref="AH32:AI32" si="23">SUMPRODUCT($B24:$B47,AH8:AH31)/$B$48</f>
        <v>#DIV/0!</v>
      </c>
      <c r="AI32" s="37" t="e">
        <f t="shared" si="23"/>
        <v>#DIV/0!</v>
      </c>
      <c r="AJ32" s="124">
        <f>SUM(AB8:AB31)</f>
        <v>0</v>
      </c>
      <c r="AK32" s="124">
        <f>SUM(AC8:AC31)</f>
        <v>0</v>
      </c>
      <c r="AL32" s="124">
        <f>SUM(AL8:AL31)</f>
        <v>0</v>
      </c>
      <c r="AM32" s="376"/>
      <c r="AN32" s="52"/>
      <c r="AP32" s="52"/>
    </row>
    <row r="33" spans="1:42" x14ac:dyDescent="0.25">
      <c r="A33" s="15" t="str">
        <f>'Cereals-all-year'!A43</f>
        <v>Le Kef</v>
      </c>
      <c r="B33" s="242">
        <f>'Area&amp;production data'!O14</f>
        <v>0</v>
      </c>
      <c r="C33" s="206">
        <f>'Area(ha)-by-degradation-level'!AY14</f>
        <v>0</v>
      </c>
      <c r="D33" s="206">
        <f>'Area(ha)-by-degradation-level'!AZ14</f>
        <v>0</v>
      </c>
      <c r="E33" s="206">
        <f>'Area(ha)-by-degradation-level'!BA14</f>
        <v>0</v>
      </c>
      <c r="F33" s="206">
        <f t="shared" si="15"/>
        <v>0</v>
      </c>
      <c r="G33" s="180">
        <f t="shared" si="5"/>
        <v>0</v>
      </c>
      <c r="H33" s="180">
        <f t="shared" si="6"/>
        <v>0</v>
      </c>
      <c r="I33" s="180">
        <f t="shared" si="7"/>
        <v>0</v>
      </c>
      <c r="J33" s="229">
        <f t="shared" si="16"/>
        <v>0</v>
      </c>
      <c r="K33" s="46">
        <f t="shared" si="8"/>
        <v>0</v>
      </c>
      <c r="L33" s="46">
        <f t="shared" si="8"/>
        <v>0</v>
      </c>
      <c r="M33" s="46">
        <f t="shared" si="8"/>
        <v>0</v>
      </c>
      <c r="N33" s="46">
        <f t="shared" si="17"/>
        <v>0</v>
      </c>
      <c r="O33" s="214" t="e">
        <f>C33*Deforestation!$B15+K33</f>
        <v>#DIV/0!</v>
      </c>
      <c r="P33" s="214" t="e">
        <f>D33*Deforestation!$B15+L33</f>
        <v>#DIV/0!</v>
      </c>
      <c r="Q33" s="214" t="e">
        <f>E33*Deforestation!$B15+M33</f>
        <v>#DIV/0!</v>
      </c>
      <c r="R33" s="214" t="e">
        <f t="shared" si="18"/>
        <v>#DIV/0!</v>
      </c>
      <c r="S33" s="48" t="e">
        <f t="shared" si="19"/>
        <v>#DIV/0!</v>
      </c>
      <c r="T33" s="48" t="e">
        <f t="shared" si="20"/>
        <v>#DIV/0!</v>
      </c>
      <c r="U33" s="48" t="e">
        <f t="shared" si="21"/>
        <v>#DIV/0!</v>
      </c>
      <c r="V33" s="48" t="e">
        <f t="shared" si="11"/>
        <v>#DIV/0!</v>
      </c>
      <c r="W33" s="401"/>
      <c r="X33" s="400" t="str">
        <f t="shared" si="12"/>
        <v/>
      </c>
      <c r="Y33" s="30" t="e">
        <f t="shared" si="13"/>
        <v>#DIV/0!</v>
      </c>
      <c r="Z33" s="30" t="str">
        <f t="shared" si="14"/>
        <v/>
      </c>
      <c r="AG33" s="50"/>
      <c r="AH33" s="50"/>
      <c r="AI33" s="50"/>
      <c r="AJ33" s="52"/>
      <c r="AK33" s="76"/>
      <c r="AL33" s="376"/>
      <c r="AM33" s="376"/>
      <c r="AN33" s="52"/>
      <c r="AP33" s="52"/>
    </row>
    <row r="34" spans="1:42" x14ac:dyDescent="0.25">
      <c r="A34" s="15" t="str">
        <f>'Cereals-all-year'!A44</f>
        <v>Siliana</v>
      </c>
      <c r="B34" s="242">
        <f>'Area&amp;production data'!O15</f>
        <v>0</v>
      </c>
      <c r="C34" s="206">
        <f>'Area(ha)-by-degradation-level'!AY15</f>
        <v>0</v>
      </c>
      <c r="D34" s="206">
        <f>'Area(ha)-by-degradation-level'!AZ15</f>
        <v>0</v>
      </c>
      <c r="E34" s="206">
        <f>'Area(ha)-by-degradation-level'!BA15</f>
        <v>0</v>
      </c>
      <c r="F34" s="206">
        <f t="shared" si="15"/>
        <v>0</v>
      </c>
      <c r="G34" s="180">
        <f t="shared" si="5"/>
        <v>0</v>
      </c>
      <c r="H34" s="180">
        <f t="shared" si="6"/>
        <v>0</v>
      </c>
      <c r="I34" s="180">
        <f t="shared" si="7"/>
        <v>0</v>
      </c>
      <c r="J34" s="229">
        <f t="shared" si="16"/>
        <v>0</v>
      </c>
      <c r="K34" s="46">
        <f t="shared" si="8"/>
        <v>0</v>
      </c>
      <c r="L34" s="46">
        <f t="shared" si="8"/>
        <v>0</v>
      </c>
      <c r="M34" s="46">
        <f t="shared" si="8"/>
        <v>0</v>
      </c>
      <c r="N34" s="46">
        <f t="shared" si="17"/>
        <v>0</v>
      </c>
      <c r="O34" s="214" t="e">
        <f>C34*Deforestation!$B16+K34</f>
        <v>#DIV/0!</v>
      </c>
      <c r="P34" s="214" t="e">
        <f>D34*Deforestation!$B16+L34</f>
        <v>#DIV/0!</v>
      </c>
      <c r="Q34" s="214" t="e">
        <f>E34*Deforestation!$B16+M34</f>
        <v>#DIV/0!</v>
      </c>
      <c r="R34" s="214" t="e">
        <f t="shared" si="18"/>
        <v>#DIV/0!</v>
      </c>
      <c r="S34" s="48" t="e">
        <f t="shared" si="19"/>
        <v>#DIV/0!</v>
      </c>
      <c r="T34" s="48" t="e">
        <f t="shared" si="20"/>
        <v>#DIV/0!</v>
      </c>
      <c r="U34" s="48" t="e">
        <f t="shared" si="21"/>
        <v>#DIV/0!</v>
      </c>
      <c r="V34" s="48" t="e">
        <f t="shared" si="11"/>
        <v>#DIV/0!</v>
      </c>
      <c r="W34" s="401"/>
      <c r="X34" s="400" t="str">
        <f t="shared" si="12"/>
        <v/>
      </c>
      <c r="Y34" s="30" t="e">
        <f t="shared" si="13"/>
        <v>#DIV/0!</v>
      </c>
      <c r="Z34" s="30" t="str">
        <f t="shared" si="14"/>
        <v/>
      </c>
      <c r="AG34" s="50"/>
      <c r="AH34" s="50"/>
      <c r="AI34" s="50"/>
      <c r="AJ34" s="52"/>
      <c r="AK34" s="76"/>
      <c r="AL34" s="376"/>
      <c r="AM34" s="376"/>
      <c r="AN34" s="52"/>
      <c r="AP34" s="52"/>
    </row>
    <row r="35" spans="1:42" x14ac:dyDescent="0.25">
      <c r="A35" s="15" t="str">
        <f>'Cereals-all-year'!A45</f>
        <v>Sousse</v>
      </c>
      <c r="B35" s="242">
        <f>'Area&amp;production data'!O16</f>
        <v>0</v>
      </c>
      <c r="C35" s="206">
        <f>'Area(ha)-by-degradation-level'!AY16</f>
        <v>0</v>
      </c>
      <c r="D35" s="206">
        <f>'Area(ha)-by-degradation-level'!AZ16</f>
        <v>0</v>
      </c>
      <c r="E35" s="206">
        <f>'Area(ha)-by-degradation-level'!BA16</f>
        <v>0</v>
      </c>
      <c r="F35" s="206">
        <f t="shared" si="15"/>
        <v>0</v>
      </c>
      <c r="G35" s="180">
        <f t="shared" si="5"/>
        <v>0</v>
      </c>
      <c r="H35" s="180">
        <f t="shared" si="6"/>
        <v>0</v>
      </c>
      <c r="I35" s="180">
        <f t="shared" si="7"/>
        <v>0</v>
      </c>
      <c r="J35" s="229">
        <f t="shared" si="16"/>
        <v>0</v>
      </c>
      <c r="K35" s="46">
        <f t="shared" si="8"/>
        <v>0</v>
      </c>
      <c r="L35" s="46">
        <f t="shared" si="8"/>
        <v>0</v>
      </c>
      <c r="M35" s="46">
        <f t="shared" si="8"/>
        <v>0</v>
      </c>
      <c r="N35" s="46">
        <f t="shared" si="17"/>
        <v>0</v>
      </c>
      <c r="O35" s="214" t="e">
        <f>C35*Deforestation!$B17+K35</f>
        <v>#DIV/0!</v>
      </c>
      <c r="P35" s="214" t="e">
        <f>D35*Deforestation!$B17+L35</f>
        <v>#DIV/0!</v>
      </c>
      <c r="Q35" s="214" t="e">
        <f>E35*Deforestation!$B17+M35</f>
        <v>#DIV/0!</v>
      </c>
      <c r="R35" s="214" t="e">
        <f t="shared" si="18"/>
        <v>#DIV/0!</v>
      </c>
      <c r="S35" s="48" t="e">
        <f t="shared" si="19"/>
        <v>#DIV/0!</v>
      </c>
      <c r="T35" s="48" t="e">
        <f t="shared" si="20"/>
        <v>#DIV/0!</v>
      </c>
      <c r="U35" s="48" t="e">
        <f t="shared" si="21"/>
        <v>#DIV/0!</v>
      </c>
      <c r="V35" s="48" t="e">
        <f t="shared" si="11"/>
        <v>#DIV/0!</v>
      </c>
      <c r="W35" s="401"/>
      <c r="X35" s="400" t="str">
        <f t="shared" si="12"/>
        <v/>
      </c>
      <c r="Y35" s="30" t="e">
        <f t="shared" si="13"/>
        <v>#DIV/0!</v>
      </c>
      <c r="Z35" s="30" t="str">
        <f t="shared" si="14"/>
        <v/>
      </c>
      <c r="AG35" s="50"/>
      <c r="AH35" s="50"/>
      <c r="AI35" s="50"/>
      <c r="AJ35" s="52"/>
      <c r="AK35" s="76"/>
      <c r="AL35" s="376"/>
      <c r="AM35" s="376"/>
      <c r="AN35" s="52"/>
      <c r="AP35" s="52"/>
    </row>
    <row r="36" spans="1:42" x14ac:dyDescent="0.25">
      <c r="A36" s="15" t="str">
        <f>'Cereals-all-year'!A46</f>
        <v>Monastir</v>
      </c>
      <c r="B36" s="242">
        <f>'Area&amp;production data'!O17</f>
        <v>0</v>
      </c>
      <c r="C36" s="206">
        <f>'Area(ha)-by-degradation-level'!AY17</f>
        <v>0</v>
      </c>
      <c r="D36" s="206">
        <f>'Area(ha)-by-degradation-level'!AZ17</f>
        <v>0</v>
      </c>
      <c r="E36" s="206">
        <f>'Area(ha)-by-degradation-level'!BA17</f>
        <v>0</v>
      </c>
      <c r="F36" s="206">
        <f t="shared" si="15"/>
        <v>0</v>
      </c>
      <c r="G36" s="180">
        <f t="shared" si="5"/>
        <v>0</v>
      </c>
      <c r="H36" s="180">
        <f t="shared" si="6"/>
        <v>0</v>
      </c>
      <c r="I36" s="180">
        <f t="shared" si="7"/>
        <v>0</v>
      </c>
      <c r="J36" s="229">
        <f t="shared" si="16"/>
        <v>0</v>
      </c>
      <c r="K36" s="46">
        <f t="shared" si="8"/>
        <v>0</v>
      </c>
      <c r="L36" s="46">
        <f t="shared" si="8"/>
        <v>0</v>
      </c>
      <c r="M36" s="46">
        <f t="shared" si="8"/>
        <v>0</v>
      </c>
      <c r="N36" s="46">
        <f t="shared" si="17"/>
        <v>0</v>
      </c>
      <c r="O36" s="214" t="e">
        <f>C36*Deforestation!$B18+K36</f>
        <v>#DIV/0!</v>
      </c>
      <c r="P36" s="214" t="e">
        <f>D36*Deforestation!$B18+L36</f>
        <v>#DIV/0!</v>
      </c>
      <c r="Q36" s="214" t="e">
        <f>E36*Deforestation!$B18+M36</f>
        <v>#DIV/0!</v>
      </c>
      <c r="R36" s="214" t="e">
        <f t="shared" si="18"/>
        <v>#DIV/0!</v>
      </c>
      <c r="S36" s="48" t="e">
        <f t="shared" si="19"/>
        <v>#DIV/0!</v>
      </c>
      <c r="T36" s="48" t="e">
        <f t="shared" si="20"/>
        <v>#DIV/0!</v>
      </c>
      <c r="U36" s="48" t="e">
        <f t="shared" si="21"/>
        <v>#DIV/0!</v>
      </c>
      <c r="V36" s="48" t="e">
        <f t="shared" si="11"/>
        <v>#DIV/0!</v>
      </c>
      <c r="W36" s="401"/>
      <c r="X36" s="400" t="str">
        <f t="shared" si="12"/>
        <v/>
      </c>
      <c r="Y36" s="30" t="e">
        <f t="shared" si="13"/>
        <v>#DIV/0!</v>
      </c>
      <c r="Z36" s="30" t="str">
        <f t="shared" si="14"/>
        <v/>
      </c>
      <c r="AG36" s="50"/>
      <c r="AH36" s="50"/>
      <c r="AI36" s="50"/>
      <c r="AJ36" s="52"/>
      <c r="AK36" s="76"/>
      <c r="AL36" s="376"/>
      <c r="AM36" s="376"/>
      <c r="AN36" s="52"/>
      <c r="AP36" s="52"/>
    </row>
    <row r="37" spans="1:42" x14ac:dyDescent="0.25">
      <c r="A37" s="15" t="str">
        <f>'Cereals-all-year'!A47</f>
        <v>Mahdia</v>
      </c>
      <c r="B37" s="242">
        <f>'Area&amp;production data'!O18</f>
        <v>0</v>
      </c>
      <c r="C37" s="206">
        <f>'Area(ha)-by-degradation-level'!AY18</f>
        <v>0</v>
      </c>
      <c r="D37" s="206">
        <f>'Area(ha)-by-degradation-level'!AZ18</f>
        <v>0</v>
      </c>
      <c r="E37" s="206">
        <f>'Area(ha)-by-degradation-level'!BA18</f>
        <v>0</v>
      </c>
      <c r="F37" s="206">
        <f t="shared" si="15"/>
        <v>0</v>
      </c>
      <c r="G37" s="180">
        <f t="shared" si="5"/>
        <v>0</v>
      </c>
      <c r="H37" s="180">
        <f t="shared" si="6"/>
        <v>0</v>
      </c>
      <c r="I37" s="180">
        <f t="shared" si="7"/>
        <v>0</v>
      </c>
      <c r="J37" s="229">
        <f t="shared" si="16"/>
        <v>0</v>
      </c>
      <c r="K37" s="46">
        <f t="shared" si="8"/>
        <v>0</v>
      </c>
      <c r="L37" s="46">
        <f t="shared" si="8"/>
        <v>0</v>
      </c>
      <c r="M37" s="46">
        <f t="shared" si="8"/>
        <v>0</v>
      </c>
      <c r="N37" s="46">
        <f t="shared" si="17"/>
        <v>0</v>
      </c>
      <c r="O37" s="214" t="e">
        <f>C37*Deforestation!$B19+K37</f>
        <v>#DIV/0!</v>
      </c>
      <c r="P37" s="214" t="e">
        <f>D37*Deforestation!$B19+L37</f>
        <v>#DIV/0!</v>
      </c>
      <c r="Q37" s="214" t="e">
        <f>E37*Deforestation!$B19+M37</f>
        <v>#DIV/0!</v>
      </c>
      <c r="R37" s="214" t="e">
        <f t="shared" si="18"/>
        <v>#DIV/0!</v>
      </c>
      <c r="S37" s="48" t="e">
        <f t="shared" si="19"/>
        <v>#DIV/0!</v>
      </c>
      <c r="T37" s="48" t="e">
        <f t="shared" si="20"/>
        <v>#DIV/0!</v>
      </c>
      <c r="U37" s="48" t="e">
        <f t="shared" si="21"/>
        <v>#DIV/0!</v>
      </c>
      <c r="V37" s="48" t="e">
        <f t="shared" si="11"/>
        <v>#DIV/0!</v>
      </c>
      <c r="W37" s="401"/>
      <c r="X37" s="400" t="str">
        <f t="shared" si="12"/>
        <v/>
      </c>
      <c r="Y37" s="30" t="e">
        <f t="shared" si="13"/>
        <v>#DIV/0!</v>
      </c>
      <c r="Z37" s="30" t="str">
        <f t="shared" si="14"/>
        <v/>
      </c>
      <c r="AG37" s="50"/>
      <c r="AH37" s="50"/>
      <c r="AI37" s="50"/>
      <c r="AJ37" s="52"/>
      <c r="AK37" s="76"/>
      <c r="AL37" s="376"/>
      <c r="AM37" s="376"/>
      <c r="AN37" s="52"/>
      <c r="AP37" s="52"/>
    </row>
    <row r="38" spans="1:42" x14ac:dyDescent="0.25">
      <c r="A38" s="15" t="str">
        <f>'Cereals-all-year'!A48</f>
        <v>Sfax</v>
      </c>
      <c r="B38" s="242">
        <f>'Area&amp;production data'!O19</f>
        <v>0</v>
      </c>
      <c r="C38" s="206">
        <f>'Area(ha)-by-degradation-level'!AY19</f>
        <v>0</v>
      </c>
      <c r="D38" s="206">
        <f>'Area(ha)-by-degradation-level'!AZ19</f>
        <v>0</v>
      </c>
      <c r="E38" s="206">
        <f>'Area(ha)-by-degradation-level'!BA19</f>
        <v>0</v>
      </c>
      <c r="F38" s="206">
        <f t="shared" si="15"/>
        <v>0</v>
      </c>
      <c r="G38" s="180">
        <f t="shared" si="5"/>
        <v>0</v>
      </c>
      <c r="H38" s="180">
        <f t="shared" si="6"/>
        <v>0</v>
      </c>
      <c r="I38" s="180">
        <f t="shared" si="7"/>
        <v>0</v>
      </c>
      <c r="J38" s="229">
        <f t="shared" si="16"/>
        <v>0</v>
      </c>
      <c r="K38" s="46">
        <f t="shared" si="8"/>
        <v>0</v>
      </c>
      <c r="L38" s="46">
        <f t="shared" si="8"/>
        <v>0</v>
      </c>
      <c r="M38" s="46">
        <f t="shared" si="8"/>
        <v>0</v>
      </c>
      <c r="N38" s="46">
        <f t="shared" si="17"/>
        <v>0</v>
      </c>
      <c r="O38" s="214" t="e">
        <f>C38*Deforestation!$B20+K38</f>
        <v>#DIV/0!</v>
      </c>
      <c r="P38" s="214" t="e">
        <f>D38*Deforestation!$B20+L38</f>
        <v>#DIV/0!</v>
      </c>
      <c r="Q38" s="214" t="e">
        <f>E38*Deforestation!$B20+M38</f>
        <v>#DIV/0!</v>
      </c>
      <c r="R38" s="214" t="e">
        <f t="shared" si="18"/>
        <v>#DIV/0!</v>
      </c>
      <c r="S38" s="48" t="e">
        <f t="shared" si="19"/>
        <v>#DIV/0!</v>
      </c>
      <c r="T38" s="48" t="e">
        <f t="shared" si="20"/>
        <v>#DIV/0!</v>
      </c>
      <c r="U38" s="48" t="e">
        <f t="shared" si="21"/>
        <v>#DIV/0!</v>
      </c>
      <c r="V38" s="48" t="e">
        <f t="shared" si="11"/>
        <v>#DIV/0!</v>
      </c>
      <c r="W38" s="401"/>
      <c r="X38" s="400" t="str">
        <f t="shared" si="12"/>
        <v/>
      </c>
      <c r="Y38" s="30" t="e">
        <f t="shared" si="13"/>
        <v>#DIV/0!</v>
      </c>
      <c r="Z38" s="30" t="str">
        <f t="shared" si="14"/>
        <v/>
      </c>
      <c r="AG38" s="50"/>
      <c r="AH38" s="50"/>
      <c r="AI38" s="50"/>
      <c r="AJ38" s="52"/>
      <c r="AK38" s="76"/>
      <c r="AL38" s="376"/>
      <c r="AM38" s="376"/>
      <c r="AN38" s="52"/>
      <c r="AP38" s="52"/>
    </row>
    <row r="39" spans="1:42" x14ac:dyDescent="0.25">
      <c r="A39" s="15" t="str">
        <f>'Cereals-all-year'!A49</f>
        <v>Kairouan</v>
      </c>
      <c r="B39" s="242">
        <f>'Area&amp;production data'!O20</f>
        <v>0</v>
      </c>
      <c r="C39" s="206">
        <f>'Area(ha)-by-degradation-level'!AY20</f>
        <v>0</v>
      </c>
      <c r="D39" s="206">
        <f>'Area(ha)-by-degradation-level'!AZ20</f>
        <v>0</v>
      </c>
      <c r="E39" s="206">
        <f>'Area(ha)-by-degradation-level'!BA20</f>
        <v>0</v>
      </c>
      <c r="F39" s="206">
        <f t="shared" si="15"/>
        <v>0</v>
      </c>
      <c r="G39" s="180">
        <f t="shared" si="5"/>
        <v>0</v>
      </c>
      <c r="H39" s="180">
        <f t="shared" si="6"/>
        <v>0</v>
      </c>
      <c r="I39" s="180">
        <f t="shared" si="7"/>
        <v>0</v>
      </c>
      <c r="J39" s="229">
        <f t="shared" si="16"/>
        <v>0</v>
      </c>
      <c r="K39" s="46">
        <f t="shared" si="8"/>
        <v>0</v>
      </c>
      <c r="L39" s="46">
        <f t="shared" si="8"/>
        <v>0</v>
      </c>
      <c r="M39" s="46">
        <f t="shared" si="8"/>
        <v>0</v>
      </c>
      <c r="N39" s="46">
        <f t="shared" si="17"/>
        <v>0</v>
      </c>
      <c r="O39" s="214" t="e">
        <f>C39*Deforestation!$B21+K39</f>
        <v>#DIV/0!</v>
      </c>
      <c r="P39" s="214" t="e">
        <f>D39*Deforestation!$B21+L39</f>
        <v>#DIV/0!</v>
      </c>
      <c r="Q39" s="214" t="e">
        <f>E39*Deforestation!$B21+M39</f>
        <v>#DIV/0!</v>
      </c>
      <c r="R39" s="214" t="e">
        <f t="shared" si="18"/>
        <v>#DIV/0!</v>
      </c>
      <c r="S39" s="48" t="e">
        <f t="shared" si="19"/>
        <v>#DIV/0!</v>
      </c>
      <c r="T39" s="48" t="e">
        <f t="shared" si="20"/>
        <v>#DIV/0!</v>
      </c>
      <c r="U39" s="48" t="e">
        <f t="shared" si="21"/>
        <v>#DIV/0!</v>
      </c>
      <c r="V39" s="48" t="e">
        <f t="shared" si="11"/>
        <v>#DIV/0!</v>
      </c>
      <c r="W39" s="401"/>
      <c r="X39" s="400" t="str">
        <f t="shared" si="12"/>
        <v/>
      </c>
      <c r="Y39" s="30" t="e">
        <f t="shared" si="13"/>
        <v>#DIV/0!</v>
      </c>
      <c r="Z39" s="30" t="str">
        <f t="shared" si="14"/>
        <v/>
      </c>
      <c r="AG39" s="50"/>
      <c r="AH39" s="50"/>
      <c r="AI39" s="50"/>
      <c r="AJ39" s="52"/>
      <c r="AK39" s="76"/>
      <c r="AL39" s="376"/>
      <c r="AM39" s="376"/>
      <c r="AN39" s="52"/>
      <c r="AP39" s="52"/>
    </row>
    <row r="40" spans="1:42" x14ac:dyDescent="0.25">
      <c r="A40" s="15" t="str">
        <f>'Cereals-all-year'!A50</f>
        <v>Kasserine</v>
      </c>
      <c r="B40" s="242">
        <f>'Area&amp;production data'!O21</f>
        <v>0</v>
      </c>
      <c r="C40" s="206">
        <f>'Area(ha)-by-degradation-level'!AY21</f>
        <v>0</v>
      </c>
      <c r="D40" s="206">
        <f>'Area(ha)-by-degradation-level'!AZ21</f>
        <v>0</v>
      </c>
      <c r="E40" s="206">
        <f>'Area(ha)-by-degradation-level'!BA21</f>
        <v>0</v>
      </c>
      <c r="F40" s="206">
        <f t="shared" si="15"/>
        <v>0</v>
      </c>
      <c r="G40" s="180">
        <f t="shared" si="5"/>
        <v>0</v>
      </c>
      <c r="H40" s="180">
        <f t="shared" si="6"/>
        <v>0</v>
      </c>
      <c r="I40" s="180">
        <f t="shared" si="7"/>
        <v>0</v>
      </c>
      <c r="J40" s="229">
        <f t="shared" si="16"/>
        <v>0</v>
      </c>
      <c r="K40" s="46">
        <f t="shared" ref="K40:M47" si="24">G40*C40*$B40</f>
        <v>0</v>
      </c>
      <c r="L40" s="46">
        <f t="shared" si="24"/>
        <v>0</v>
      </c>
      <c r="M40" s="46">
        <f t="shared" si="24"/>
        <v>0</v>
      </c>
      <c r="N40" s="46">
        <f t="shared" si="17"/>
        <v>0</v>
      </c>
      <c r="O40" s="214" t="e">
        <f>C40*Deforestation!$B22+K40</f>
        <v>#DIV/0!</v>
      </c>
      <c r="P40" s="214" t="e">
        <f>D40*Deforestation!$B22+L40</f>
        <v>#DIV/0!</v>
      </c>
      <c r="Q40" s="214" t="e">
        <f>E40*Deforestation!$B22+M40</f>
        <v>#DIV/0!</v>
      </c>
      <c r="R40" s="214" t="e">
        <f t="shared" si="18"/>
        <v>#DIV/0!</v>
      </c>
      <c r="S40" s="48" t="e">
        <f t="shared" si="19"/>
        <v>#DIV/0!</v>
      </c>
      <c r="T40" s="48" t="e">
        <f t="shared" si="20"/>
        <v>#DIV/0!</v>
      </c>
      <c r="U40" s="48" t="e">
        <f t="shared" si="21"/>
        <v>#DIV/0!</v>
      </c>
      <c r="V40" s="48" t="e">
        <f t="shared" si="11"/>
        <v>#DIV/0!</v>
      </c>
      <c r="W40" s="401"/>
      <c r="X40" s="400" t="str">
        <f t="shared" si="12"/>
        <v/>
      </c>
      <c r="Y40" s="30" t="e">
        <f t="shared" si="13"/>
        <v>#DIV/0!</v>
      </c>
      <c r="Z40" s="30" t="str">
        <f t="shared" si="14"/>
        <v/>
      </c>
      <c r="AG40" s="50"/>
      <c r="AH40" s="50"/>
      <c r="AI40" s="50"/>
      <c r="AJ40" s="52"/>
      <c r="AK40" s="76"/>
      <c r="AL40" s="376"/>
      <c r="AM40" s="376"/>
      <c r="AN40" s="52"/>
      <c r="AP40" s="52"/>
    </row>
    <row r="41" spans="1:42" x14ac:dyDescent="0.25">
      <c r="A41" s="15" t="str">
        <f>'Cereals-all-year'!A51</f>
        <v>Sidi Bouzid</v>
      </c>
      <c r="B41" s="242">
        <f>'Area&amp;production data'!O22</f>
        <v>0</v>
      </c>
      <c r="C41" s="206">
        <f>'Area(ha)-by-degradation-level'!AY22</f>
        <v>0</v>
      </c>
      <c r="D41" s="206">
        <f>'Area(ha)-by-degradation-level'!AZ22</f>
        <v>0</v>
      </c>
      <c r="E41" s="206">
        <f>'Area(ha)-by-degradation-level'!BA22</f>
        <v>0</v>
      </c>
      <c r="F41" s="206">
        <f t="shared" si="15"/>
        <v>0</v>
      </c>
      <c r="G41" s="180">
        <f t="shared" si="5"/>
        <v>0</v>
      </c>
      <c r="H41" s="180">
        <f t="shared" si="6"/>
        <v>0</v>
      </c>
      <c r="I41" s="180">
        <f t="shared" si="7"/>
        <v>0</v>
      </c>
      <c r="J41" s="229">
        <f t="shared" si="16"/>
        <v>0</v>
      </c>
      <c r="K41" s="46">
        <f t="shared" si="24"/>
        <v>0</v>
      </c>
      <c r="L41" s="46">
        <f t="shared" si="24"/>
        <v>0</v>
      </c>
      <c r="M41" s="46">
        <f t="shared" si="24"/>
        <v>0</v>
      </c>
      <c r="N41" s="46">
        <f t="shared" si="17"/>
        <v>0</v>
      </c>
      <c r="O41" s="214" t="e">
        <f>C41*Deforestation!$B23+K41</f>
        <v>#DIV/0!</v>
      </c>
      <c r="P41" s="214" t="e">
        <f>D41*Deforestation!$B23+L41</f>
        <v>#DIV/0!</v>
      </c>
      <c r="Q41" s="214" t="e">
        <f>E41*Deforestation!$B23+M41</f>
        <v>#DIV/0!</v>
      </c>
      <c r="R41" s="214" t="e">
        <f t="shared" si="18"/>
        <v>#DIV/0!</v>
      </c>
      <c r="S41" s="48" t="e">
        <f t="shared" si="19"/>
        <v>#DIV/0!</v>
      </c>
      <c r="T41" s="48" t="e">
        <f t="shared" si="20"/>
        <v>#DIV/0!</v>
      </c>
      <c r="U41" s="48" t="e">
        <f t="shared" si="21"/>
        <v>#DIV/0!</v>
      </c>
      <c r="V41" s="48" t="e">
        <f t="shared" si="11"/>
        <v>#DIV/0!</v>
      </c>
      <c r="W41" s="401"/>
      <c r="X41" s="400" t="str">
        <f t="shared" si="12"/>
        <v/>
      </c>
      <c r="Y41" s="30" t="e">
        <f t="shared" si="13"/>
        <v>#DIV/0!</v>
      </c>
      <c r="Z41" s="30" t="str">
        <f t="shared" si="14"/>
        <v/>
      </c>
      <c r="AG41" s="50"/>
      <c r="AH41" s="50"/>
      <c r="AI41" s="50"/>
      <c r="AJ41" s="52"/>
      <c r="AK41" s="76"/>
      <c r="AL41" s="376"/>
      <c r="AM41" s="376"/>
      <c r="AN41" s="52"/>
      <c r="AP41" s="52"/>
    </row>
    <row r="42" spans="1:42" x14ac:dyDescent="0.25">
      <c r="A42" s="15" t="str">
        <f>'Cereals-all-year'!A52</f>
        <v>Gafsa</v>
      </c>
      <c r="B42" s="242">
        <f>'Area&amp;production data'!O23</f>
        <v>0</v>
      </c>
      <c r="C42" s="206">
        <f>'Area(ha)-by-degradation-level'!AY23</f>
        <v>0</v>
      </c>
      <c r="D42" s="206">
        <f>'Area(ha)-by-degradation-level'!AZ23</f>
        <v>0</v>
      </c>
      <c r="E42" s="206">
        <f>'Area(ha)-by-degradation-level'!BA23</f>
        <v>0</v>
      </c>
      <c r="F42" s="206">
        <f t="shared" si="15"/>
        <v>0</v>
      </c>
      <c r="G42" s="180">
        <f t="shared" si="5"/>
        <v>0</v>
      </c>
      <c r="H42" s="180">
        <f t="shared" si="6"/>
        <v>0</v>
      </c>
      <c r="I42" s="180">
        <f t="shared" si="7"/>
        <v>0</v>
      </c>
      <c r="J42" s="229">
        <f t="shared" si="16"/>
        <v>0</v>
      </c>
      <c r="K42" s="46">
        <f t="shared" si="24"/>
        <v>0</v>
      </c>
      <c r="L42" s="46">
        <f t="shared" si="24"/>
        <v>0</v>
      </c>
      <c r="M42" s="46">
        <f t="shared" si="24"/>
        <v>0</v>
      </c>
      <c r="N42" s="46">
        <f t="shared" si="17"/>
        <v>0</v>
      </c>
      <c r="O42" s="214" t="e">
        <f>C42*Deforestation!$B24+K42</f>
        <v>#DIV/0!</v>
      </c>
      <c r="P42" s="214" t="e">
        <f>D42*Deforestation!$B24+L42</f>
        <v>#DIV/0!</v>
      </c>
      <c r="Q42" s="214" t="e">
        <f>E42*Deforestation!$B24+M42</f>
        <v>#DIV/0!</v>
      </c>
      <c r="R42" s="214" t="e">
        <f t="shared" si="18"/>
        <v>#DIV/0!</v>
      </c>
      <c r="S42" s="48" t="e">
        <f t="shared" si="19"/>
        <v>#DIV/0!</v>
      </c>
      <c r="T42" s="48" t="e">
        <f t="shared" si="20"/>
        <v>#DIV/0!</v>
      </c>
      <c r="U42" s="48" t="e">
        <f t="shared" si="21"/>
        <v>#DIV/0!</v>
      </c>
      <c r="V42" s="48" t="e">
        <f t="shared" si="11"/>
        <v>#DIV/0!</v>
      </c>
      <c r="W42" s="401"/>
      <c r="X42" s="400" t="str">
        <f t="shared" si="12"/>
        <v/>
      </c>
      <c r="Y42" s="30" t="e">
        <f t="shared" si="13"/>
        <v>#DIV/0!</v>
      </c>
      <c r="Z42" s="30" t="str">
        <f t="shared" si="14"/>
        <v/>
      </c>
      <c r="AG42" s="50"/>
      <c r="AH42" s="50"/>
      <c r="AI42" s="50"/>
      <c r="AJ42" s="52"/>
      <c r="AK42" s="76"/>
      <c r="AL42" s="376"/>
      <c r="AM42" s="376"/>
      <c r="AN42" s="52"/>
      <c r="AP42" s="52"/>
    </row>
    <row r="43" spans="1:42" x14ac:dyDescent="0.25">
      <c r="A43" s="15" t="str">
        <f>'Cereals-all-year'!A53</f>
        <v>Gabès</v>
      </c>
      <c r="B43" s="242">
        <f>'Area&amp;production data'!O24</f>
        <v>0</v>
      </c>
      <c r="C43" s="206">
        <f>'Area(ha)-by-degradation-level'!AY24</f>
        <v>0</v>
      </c>
      <c r="D43" s="206">
        <f>'Area(ha)-by-degradation-level'!AZ24</f>
        <v>0</v>
      </c>
      <c r="E43" s="206">
        <f>'Area(ha)-by-degradation-level'!BA24</f>
        <v>0</v>
      </c>
      <c r="F43" s="206">
        <f t="shared" si="15"/>
        <v>0</v>
      </c>
      <c r="G43" s="180">
        <f t="shared" si="5"/>
        <v>0</v>
      </c>
      <c r="H43" s="180">
        <f t="shared" si="6"/>
        <v>0</v>
      </c>
      <c r="I43" s="180">
        <f t="shared" si="7"/>
        <v>0</v>
      </c>
      <c r="J43" s="229">
        <f t="shared" si="16"/>
        <v>0</v>
      </c>
      <c r="K43" s="46">
        <f t="shared" si="24"/>
        <v>0</v>
      </c>
      <c r="L43" s="46">
        <f t="shared" si="24"/>
        <v>0</v>
      </c>
      <c r="M43" s="46">
        <f t="shared" si="24"/>
        <v>0</v>
      </c>
      <c r="N43" s="46">
        <f t="shared" si="17"/>
        <v>0</v>
      </c>
      <c r="O43" s="214" t="e">
        <f>C43*Deforestation!$B25+K43</f>
        <v>#DIV/0!</v>
      </c>
      <c r="P43" s="214" t="e">
        <f>D43*Deforestation!$B25+L43</f>
        <v>#DIV/0!</v>
      </c>
      <c r="Q43" s="214" t="e">
        <f>E43*Deforestation!$B25+M43</f>
        <v>#DIV/0!</v>
      </c>
      <c r="R43" s="214" t="e">
        <f t="shared" si="18"/>
        <v>#DIV/0!</v>
      </c>
      <c r="S43" s="48" t="e">
        <f t="shared" si="19"/>
        <v>#DIV/0!</v>
      </c>
      <c r="T43" s="48" t="e">
        <f t="shared" si="20"/>
        <v>#DIV/0!</v>
      </c>
      <c r="U43" s="48" t="e">
        <f t="shared" si="21"/>
        <v>#DIV/0!</v>
      </c>
      <c r="V43" s="48" t="e">
        <f t="shared" si="11"/>
        <v>#DIV/0!</v>
      </c>
      <c r="W43" s="401"/>
      <c r="X43" s="400" t="str">
        <f t="shared" si="12"/>
        <v/>
      </c>
      <c r="Y43" s="30" t="e">
        <f t="shared" si="13"/>
        <v>#DIV/0!</v>
      </c>
      <c r="Z43" s="30" t="str">
        <f t="shared" si="14"/>
        <v/>
      </c>
      <c r="AG43" s="50"/>
      <c r="AH43" s="50"/>
      <c r="AI43" s="50"/>
      <c r="AJ43" s="52"/>
      <c r="AK43" s="76"/>
      <c r="AL43" s="376"/>
      <c r="AM43" s="376"/>
      <c r="AN43" s="52"/>
      <c r="AP43" s="52"/>
    </row>
    <row r="44" spans="1:42" x14ac:dyDescent="0.25">
      <c r="A44" s="15" t="str">
        <f>'Cereals-all-year'!A54</f>
        <v>Médenine</v>
      </c>
      <c r="B44" s="242">
        <f>'Area&amp;production data'!O25</f>
        <v>0</v>
      </c>
      <c r="C44" s="206">
        <f>'Area(ha)-by-degradation-level'!AY25</f>
        <v>0</v>
      </c>
      <c r="D44" s="206">
        <f>'Area(ha)-by-degradation-level'!AZ25</f>
        <v>0</v>
      </c>
      <c r="E44" s="206">
        <f>'Area(ha)-by-degradation-level'!BA25</f>
        <v>0</v>
      </c>
      <c r="F44" s="206">
        <f t="shared" si="15"/>
        <v>0</v>
      </c>
      <c r="G44" s="180">
        <f t="shared" si="5"/>
        <v>0</v>
      </c>
      <c r="H44" s="180">
        <f t="shared" si="6"/>
        <v>0</v>
      </c>
      <c r="I44" s="180">
        <f t="shared" si="7"/>
        <v>0</v>
      </c>
      <c r="J44" s="229">
        <f t="shared" si="16"/>
        <v>0</v>
      </c>
      <c r="K44" s="46">
        <f t="shared" si="24"/>
        <v>0</v>
      </c>
      <c r="L44" s="46">
        <f t="shared" si="24"/>
        <v>0</v>
      </c>
      <c r="M44" s="46">
        <f t="shared" si="24"/>
        <v>0</v>
      </c>
      <c r="N44" s="46">
        <f t="shared" si="17"/>
        <v>0</v>
      </c>
      <c r="O44" s="214" t="e">
        <f>C44*Deforestation!$B26+K44</f>
        <v>#DIV/0!</v>
      </c>
      <c r="P44" s="214" t="e">
        <f>D44*Deforestation!$B26+L44</f>
        <v>#DIV/0!</v>
      </c>
      <c r="Q44" s="214" t="e">
        <f>E44*Deforestation!$B26+M44</f>
        <v>#DIV/0!</v>
      </c>
      <c r="R44" s="214" t="e">
        <f t="shared" si="18"/>
        <v>#DIV/0!</v>
      </c>
      <c r="S44" s="48" t="e">
        <f t="shared" si="19"/>
        <v>#DIV/0!</v>
      </c>
      <c r="T44" s="48" t="e">
        <f t="shared" si="20"/>
        <v>#DIV/0!</v>
      </c>
      <c r="U44" s="48" t="e">
        <f t="shared" si="21"/>
        <v>#DIV/0!</v>
      </c>
      <c r="V44" s="48" t="e">
        <f t="shared" si="11"/>
        <v>#DIV/0!</v>
      </c>
      <c r="W44" s="401"/>
      <c r="X44" s="400" t="str">
        <f t="shared" si="12"/>
        <v/>
      </c>
      <c r="Y44" s="30" t="e">
        <f t="shared" si="13"/>
        <v>#DIV/0!</v>
      </c>
      <c r="Z44" s="30" t="str">
        <f t="shared" si="14"/>
        <v/>
      </c>
      <c r="AG44" s="50"/>
      <c r="AH44" s="50"/>
      <c r="AI44" s="50"/>
      <c r="AJ44" s="52"/>
      <c r="AK44" s="76"/>
      <c r="AL44" s="376"/>
      <c r="AM44" s="376"/>
      <c r="AN44" s="52"/>
      <c r="AP44" s="52"/>
    </row>
    <row r="45" spans="1:42" x14ac:dyDescent="0.25">
      <c r="A45" s="15" t="str">
        <f>'Cereals-all-year'!A55</f>
        <v>Tataouine</v>
      </c>
      <c r="B45" s="242">
        <f>'Area&amp;production data'!O26</f>
        <v>0</v>
      </c>
      <c r="C45" s="206">
        <f>'Area(ha)-by-degradation-level'!AY26</f>
        <v>0</v>
      </c>
      <c r="D45" s="206">
        <f>'Area(ha)-by-degradation-level'!AZ26</f>
        <v>0</v>
      </c>
      <c r="E45" s="206">
        <f>'Area(ha)-by-degradation-level'!BA26</f>
        <v>0</v>
      </c>
      <c r="F45" s="206">
        <f t="shared" si="15"/>
        <v>0</v>
      </c>
      <c r="G45" s="180">
        <f t="shared" si="5"/>
        <v>0</v>
      </c>
      <c r="H45" s="180">
        <f t="shared" si="6"/>
        <v>0</v>
      </c>
      <c r="I45" s="180">
        <f t="shared" si="7"/>
        <v>0</v>
      </c>
      <c r="J45" s="229">
        <f t="shared" si="16"/>
        <v>0</v>
      </c>
      <c r="K45" s="46">
        <f t="shared" si="24"/>
        <v>0</v>
      </c>
      <c r="L45" s="46">
        <f t="shared" si="24"/>
        <v>0</v>
      </c>
      <c r="M45" s="46">
        <f t="shared" si="24"/>
        <v>0</v>
      </c>
      <c r="N45" s="46">
        <f t="shared" si="17"/>
        <v>0</v>
      </c>
      <c r="O45" s="214" t="e">
        <f>C45*Deforestation!$B27+K45</f>
        <v>#DIV/0!</v>
      </c>
      <c r="P45" s="214" t="e">
        <f>D45*Deforestation!$B27+L45</f>
        <v>#DIV/0!</v>
      </c>
      <c r="Q45" s="214" t="e">
        <f>E45*Deforestation!$B27+M45</f>
        <v>#DIV/0!</v>
      </c>
      <c r="R45" s="214" t="e">
        <f t="shared" si="18"/>
        <v>#DIV/0!</v>
      </c>
      <c r="S45" s="48" t="e">
        <f t="shared" si="19"/>
        <v>#DIV/0!</v>
      </c>
      <c r="T45" s="48" t="e">
        <f t="shared" si="20"/>
        <v>#DIV/0!</v>
      </c>
      <c r="U45" s="48" t="e">
        <f t="shared" si="21"/>
        <v>#DIV/0!</v>
      </c>
      <c r="V45" s="48" t="e">
        <f t="shared" si="11"/>
        <v>#DIV/0!</v>
      </c>
      <c r="W45" s="401"/>
      <c r="X45" s="400" t="str">
        <f t="shared" si="12"/>
        <v/>
      </c>
      <c r="Y45" s="30" t="e">
        <f t="shared" si="13"/>
        <v>#DIV/0!</v>
      </c>
      <c r="Z45" s="30" t="str">
        <f t="shared" si="14"/>
        <v/>
      </c>
      <c r="AG45" s="50"/>
      <c r="AH45" s="50"/>
      <c r="AI45" s="50"/>
      <c r="AJ45" s="52"/>
      <c r="AK45" s="76"/>
      <c r="AL45" s="376"/>
      <c r="AM45" s="376"/>
      <c r="AN45" s="52"/>
      <c r="AP45" s="52"/>
    </row>
    <row r="46" spans="1:42" x14ac:dyDescent="0.25">
      <c r="A46" s="15" t="str">
        <f>'Cereals-all-year'!A56</f>
        <v>Tozeur</v>
      </c>
      <c r="B46" s="242">
        <f>'Area&amp;production data'!O27</f>
        <v>0</v>
      </c>
      <c r="C46" s="206">
        <f>'Area(ha)-by-degradation-level'!AY27</f>
        <v>0</v>
      </c>
      <c r="D46" s="206">
        <f>'Area(ha)-by-degradation-level'!AZ27</f>
        <v>0</v>
      </c>
      <c r="E46" s="206">
        <f>'Area(ha)-by-degradation-level'!BA27</f>
        <v>0</v>
      </c>
      <c r="F46" s="206">
        <f t="shared" si="15"/>
        <v>0</v>
      </c>
      <c r="G46" s="180">
        <f t="shared" si="5"/>
        <v>0</v>
      </c>
      <c r="H46" s="180">
        <f t="shared" si="6"/>
        <v>0</v>
      </c>
      <c r="I46" s="180">
        <f t="shared" si="7"/>
        <v>0</v>
      </c>
      <c r="J46" s="229">
        <f t="shared" si="16"/>
        <v>0</v>
      </c>
      <c r="K46" s="46">
        <f t="shared" si="24"/>
        <v>0</v>
      </c>
      <c r="L46" s="46">
        <f t="shared" si="24"/>
        <v>0</v>
      </c>
      <c r="M46" s="46">
        <f t="shared" si="24"/>
        <v>0</v>
      </c>
      <c r="N46" s="46">
        <f t="shared" si="17"/>
        <v>0</v>
      </c>
      <c r="O46" s="214" t="e">
        <f>C46*Deforestation!$B28+K46</f>
        <v>#DIV/0!</v>
      </c>
      <c r="P46" s="214" t="e">
        <f>D46*Deforestation!$B28+L46</f>
        <v>#DIV/0!</v>
      </c>
      <c r="Q46" s="214" t="e">
        <f>E46*Deforestation!$B28+M46</f>
        <v>#DIV/0!</v>
      </c>
      <c r="R46" s="214" t="e">
        <f t="shared" si="18"/>
        <v>#DIV/0!</v>
      </c>
      <c r="S46" s="48" t="e">
        <f t="shared" si="19"/>
        <v>#DIV/0!</v>
      </c>
      <c r="T46" s="48" t="e">
        <f t="shared" si="20"/>
        <v>#DIV/0!</v>
      </c>
      <c r="U46" s="48" t="e">
        <f t="shared" si="21"/>
        <v>#DIV/0!</v>
      </c>
      <c r="V46" s="48" t="e">
        <f t="shared" si="11"/>
        <v>#DIV/0!</v>
      </c>
      <c r="W46" s="401"/>
      <c r="X46" s="400" t="str">
        <f t="shared" si="12"/>
        <v/>
      </c>
      <c r="Y46" s="30" t="e">
        <f t="shared" si="13"/>
        <v>#DIV/0!</v>
      </c>
      <c r="Z46" s="30" t="str">
        <f t="shared" si="14"/>
        <v/>
      </c>
      <c r="AG46" s="50"/>
      <c r="AH46" s="50"/>
      <c r="AI46" s="50"/>
      <c r="AJ46" s="52"/>
      <c r="AK46" s="76"/>
      <c r="AL46" s="376"/>
      <c r="AM46" s="376"/>
      <c r="AN46" s="52"/>
      <c r="AP46" s="52"/>
    </row>
    <row r="47" spans="1:42" x14ac:dyDescent="0.25">
      <c r="A47" s="15" t="str">
        <f>'Cereals-all-year'!A57</f>
        <v>Kébili</v>
      </c>
      <c r="B47" s="242">
        <f>'Area&amp;production data'!O28</f>
        <v>0</v>
      </c>
      <c r="C47" s="206">
        <f>'Area(ha)-by-degradation-level'!AY28</f>
        <v>0</v>
      </c>
      <c r="D47" s="206">
        <f>'Area(ha)-by-degradation-level'!AZ28</f>
        <v>0</v>
      </c>
      <c r="E47" s="206">
        <f>'Area(ha)-by-degradation-level'!BA28</f>
        <v>0</v>
      </c>
      <c r="F47" s="206">
        <f t="shared" si="15"/>
        <v>0</v>
      </c>
      <c r="G47" s="180">
        <f t="shared" si="5"/>
        <v>0</v>
      </c>
      <c r="H47" s="180">
        <f t="shared" si="6"/>
        <v>0</v>
      </c>
      <c r="I47" s="180">
        <f t="shared" si="7"/>
        <v>0</v>
      </c>
      <c r="J47" s="229">
        <f t="shared" si="16"/>
        <v>0</v>
      </c>
      <c r="K47" s="46">
        <f t="shared" si="24"/>
        <v>0</v>
      </c>
      <c r="L47" s="46">
        <f t="shared" si="24"/>
        <v>0</v>
      </c>
      <c r="M47" s="46">
        <f t="shared" si="24"/>
        <v>0</v>
      </c>
      <c r="N47" s="46">
        <f t="shared" si="17"/>
        <v>0</v>
      </c>
      <c r="O47" s="214" t="e">
        <f>C47*Deforestation!$B29+K47</f>
        <v>#DIV/0!</v>
      </c>
      <c r="P47" s="214" t="e">
        <f>D47*Deforestation!$B29+L47</f>
        <v>#DIV/0!</v>
      </c>
      <c r="Q47" s="214" t="e">
        <f>E47*Deforestation!$B29+M47</f>
        <v>#DIV/0!</v>
      </c>
      <c r="R47" s="214" t="e">
        <f t="shared" si="18"/>
        <v>#DIV/0!</v>
      </c>
      <c r="S47" s="48" t="e">
        <f t="shared" si="19"/>
        <v>#DIV/0!</v>
      </c>
      <c r="T47" s="48" t="e">
        <f t="shared" si="20"/>
        <v>#DIV/0!</v>
      </c>
      <c r="U47" s="48" t="e">
        <f t="shared" si="21"/>
        <v>#DIV/0!</v>
      </c>
      <c r="V47" s="48" t="e">
        <f t="shared" si="11"/>
        <v>#DIV/0!</v>
      </c>
      <c r="W47" s="401"/>
      <c r="X47" s="400" t="str">
        <f t="shared" si="12"/>
        <v/>
      </c>
      <c r="Y47" s="30" t="e">
        <f t="shared" si="13"/>
        <v>#DIV/0!</v>
      </c>
      <c r="Z47" s="30" t="str">
        <f t="shared" si="14"/>
        <v/>
      </c>
      <c r="AG47" s="50"/>
      <c r="AH47" s="50"/>
      <c r="AI47" s="50"/>
      <c r="AJ47" s="52"/>
      <c r="AK47" s="76"/>
      <c r="AL47" s="376"/>
      <c r="AM47" s="376"/>
      <c r="AN47" s="52"/>
      <c r="AP47" s="52"/>
    </row>
    <row r="48" spans="1:42" s="1" customFormat="1" x14ac:dyDescent="0.25">
      <c r="A48" s="15" t="s">
        <v>163</v>
      </c>
      <c r="B48" s="214">
        <f>SUM(B24:B47)</f>
        <v>0</v>
      </c>
      <c r="C48" s="172" t="e">
        <f>SUMPRODUCT($B24:$B47,C24:C47)/$B$48</f>
        <v>#DIV/0!</v>
      </c>
      <c r="D48" s="172" t="e">
        <f t="shared" ref="D48:E48" si="25">SUMPRODUCT($B24:$B47,D24:D47)/$B$48</f>
        <v>#DIV/0!</v>
      </c>
      <c r="E48" s="172" t="e">
        <f t="shared" si="25"/>
        <v>#DIV/0!</v>
      </c>
      <c r="F48" s="172" t="e">
        <f t="shared" ref="F48" si="26">SUM(C48:E48)</f>
        <v>#DIV/0!</v>
      </c>
      <c r="G48" s="336" t="e">
        <f>SUMPRODUCT($B24:$B47,C24:C47,G24:G47)/($B48*C48)</f>
        <v>#DIV/0!</v>
      </c>
      <c r="H48" s="336" t="e">
        <f>SUMPRODUCT($B24:$B47,D24:D47,H24:H47)/($B48*D48)</f>
        <v>#DIV/0!</v>
      </c>
      <c r="I48" s="336" t="e">
        <f>SUMPRODUCT($B24:$B47,E24:E47,I24:I47)/($B48*E48)</f>
        <v>#DIV/0!</v>
      </c>
      <c r="J48" s="336" t="e">
        <f>SUMPRODUCT($B24:$B47,F24:F47,J24:J47)/($B48*F48)</f>
        <v>#DIV/0!</v>
      </c>
      <c r="K48" s="46">
        <f>SUM(K24:K47)</f>
        <v>0</v>
      </c>
      <c r="L48" s="46">
        <f>SUM(L24:L47)</f>
        <v>0</v>
      </c>
      <c r="M48" s="46">
        <f>SUM(M24:M47)</f>
        <v>0</v>
      </c>
      <c r="N48" s="46">
        <f t="shared" si="17"/>
        <v>0</v>
      </c>
      <c r="O48" s="214" t="e">
        <f>SUM(O24:O47)</f>
        <v>#DIV/0!</v>
      </c>
      <c r="P48" s="214" t="e">
        <f t="shared" ref="P48:Q48" si="27">SUM(P24:P47)</f>
        <v>#DIV/0!</v>
      </c>
      <c r="Q48" s="214" t="e">
        <f t="shared" si="27"/>
        <v>#DIV/0!</v>
      </c>
      <c r="R48" s="214" t="e">
        <f>SUM(R24:R47)</f>
        <v>#DIV/0!</v>
      </c>
      <c r="S48" s="214" t="e">
        <f>SUM(S24:S47)</f>
        <v>#DIV/0!</v>
      </c>
      <c r="T48" s="214" t="e">
        <f t="shared" ref="T48:U48" si="28">SUM(T24:T47)</f>
        <v>#DIV/0!</v>
      </c>
      <c r="U48" s="214" t="e">
        <f t="shared" si="28"/>
        <v>#DIV/0!</v>
      </c>
      <c r="V48" s="48" t="e">
        <f>SUM(V24:V47)</f>
        <v>#DIV/0!</v>
      </c>
      <c r="W48" s="62"/>
      <c r="X48" s="400" t="e">
        <f>R48/(B25*E25+B39*E39+B40*E40+B41*E41+B43*E43+B47*E47)</f>
        <v>#DIV/0!</v>
      </c>
      <c r="Z48" s="68" t="e">
        <f>R48/($G$16*B48*E48)</f>
        <v>#DIV/0!</v>
      </c>
      <c r="AF48"/>
      <c r="AG48" s="50"/>
      <c r="AH48" s="50"/>
      <c r="AI48" s="50"/>
      <c r="AJ48" s="52"/>
      <c r="AK48" s="76"/>
      <c r="AL48" s="376"/>
      <c r="AM48" s="376"/>
      <c r="AN48" s="52"/>
      <c r="AO48"/>
      <c r="AP48" s="52"/>
    </row>
    <row r="49" spans="1:42" x14ac:dyDescent="0.25">
      <c r="A49" s="17" t="s">
        <v>8</v>
      </c>
      <c r="C49" s="881"/>
      <c r="D49" s="881"/>
      <c r="E49" s="881"/>
      <c r="F49" s="62"/>
      <c r="K49" s="335" t="e">
        <f>K48/$N$48</f>
        <v>#DIV/0!</v>
      </c>
      <c r="L49" s="335" t="e">
        <f t="shared" ref="L49:N49" si="29">L48/$N$48</f>
        <v>#DIV/0!</v>
      </c>
      <c r="M49" s="335" t="e">
        <f t="shared" si="29"/>
        <v>#DIV/0!</v>
      </c>
      <c r="N49" s="335" t="e">
        <f t="shared" si="29"/>
        <v>#DIV/0!</v>
      </c>
      <c r="O49" s="615" t="e">
        <f>O48/$R$48</f>
        <v>#DIV/0!</v>
      </c>
      <c r="P49" s="615" t="e">
        <f t="shared" ref="P49:R49" si="30">P48/$R$48</f>
        <v>#DIV/0!</v>
      </c>
      <c r="Q49" s="615" t="e">
        <f t="shared" si="30"/>
        <v>#DIV/0!</v>
      </c>
      <c r="R49" s="615" t="e">
        <f t="shared" si="30"/>
        <v>#DIV/0!</v>
      </c>
      <c r="S49" s="615" t="e">
        <f>S48/$V$48</f>
        <v>#DIV/0!</v>
      </c>
      <c r="T49" s="615" t="e">
        <f t="shared" ref="T49:V49" si="31">T48/$V$48</f>
        <v>#DIV/0!</v>
      </c>
      <c r="U49" s="615" t="e">
        <f t="shared" si="31"/>
        <v>#DIV/0!</v>
      </c>
      <c r="V49" s="615" t="e">
        <f t="shared" si="31"/>
        <v>#DIV/0!</v>
      </c>
      <c r="AG49" s="50"/>
      <c r="AH49" s="50"/>
      <c r="AI49" s="50"/>
      <c r="AJ49" s="52"/>
      <c r="AK49" s="76"/>
      <c r="AL49" s="376"/>
      <c r="AM49" s="376"/>
      <c r="AN49" s="52"/>
      <c r="AP49" s="52"/>
    </row>
    <row r="50" spans="1:42" x14ac:dyDescent="0.25">
      <c r="O50" s="1" t="s">
        <v>1157</v>
      </c>
      <c r="R50" s="51" t="e">
        <f>R48/'Area&amp;production data'!AF30</f>
        <v>#DIV/0!</v>
      </c>
      <c r="Y50" s="480"/>
      <c r="Z50" s="480"/>
      <c r="AA50" s="480"/>
      <c r="AB50" s="480"/>
      <c r="AC50" s="35"/>
      <c r="AD50" s="189"/>
      <c r="AE50" s="189"/>
      <c r="AF50" s="324"/>
      <c r="AG50" s="324"/>
      <c r="AH50" s="324"/>
    </row>
    <row r="51" spans="1:42" x14ac:dyDescent="0.25">
      <c r="U51" t="s">
        <v>373</v>
      </c>
      <c r="W51" s="41">
        <f>C152</f>
        <v>46690000000</v>
      </c>
      <c r="AK51" s="35"/>
    </row>
    <row r="52" spans="1:42" x14ac:dyDescent="0.25">
      <c r="A52" s="3" t="s">
        <v>824</v>
      </c>
      <c r="Q52" t="s">
        <v>825</v>
      </c>
      <c r="W52" s="68" t="e">
        <f>V48/W51</f>
        <v>#DIV/0!</v>
      </c>
    </row>
    <row r="53" spans="1:42" x14ac:dyDescent="0.25">
      <c r="A53" s="875" t="s">
        <v>826</v>
      </c>
      <c r="B53" s="875"/>
      <c r="C53" s="875"/>
      <c r="D53" s="875"/>
      <c r="E53" s="875"/>
      <c r="F53" s="875"/>
      <c r="G53" s="875"/>
      <c r="H53" s="875"/>
      <c r="I53" s="875"/>
      <c r="J53" s="875"/>
      <c r="K53" s="875"/>
      <c r="L53" s="875"/>
      <c r="M53" s="875"/>
      <c r="N53" s="875"/>
    </row>
    <row r="54" spans="1:42" ht="38.450000000000003" customHeight="1" x14ac:dyDescent="0.25">
      <c r="A54" s="756" t="s">
        <v>101</v>
      </c>
      <c r="B54" s="771" t="s">
        <v>327</v>
      </c>
      <c r="C54" s="762" t="s">
        <v>827</v>
      </c>
      <c r="D54" s="763"/>
      <c r="E54" s="763"/>
      <c r="F54" s="770"/>
      <c r="G54" s="762" t="s">
        <v>828</v>
      </c>
      <c r="H54" s="763"/>
      <c r="I54" s="763"/>
      <c r="J54" s="770"/>
      <c r="K54" s="759" t="s">
        <v>829</v>
      </c>
      <c r="L54" s="759"/>
      <c r="M54" s="759"/>
      <c r="N54" s="759"/>
    </row>
    <row r="55" spans="1:42" ht="48.6" customHeight="1" x14ac:dyDescent="0.25">
      <c r="A55" s="756"/>
      <c r="B55" s="772"/>
      <c r="C55" s="16" t="s">
        <v>830</v>
      </c>
      <c r="D55" s="15" t="s">
        <v>137</v>
      </c>
      <c r="E55" s="15" t="s">
        <v>289</v>
      </c>
      <c r="F55" s="15" t="s">
        <v>120</v>
      </c>
      <c r="G55" s="15" t="s">
        <v>136</v>
      </c>
      <c r="H55" s="15" t="s">
        <v>137</v>
      </c>
      <c r="I55" s="15" t="s">
        <v>289</v>
      </c>
      <c r="J55" s="15" t="s">
        <v>120</v>
      </c>
      <c r="K55" s="15" t="s">
        <v>136</v>
      </c>
      <c r="L55" s="15" t="s">
        <v>137</v>
      </c>
      <c r="M55" s="15" t="s">
        <v>289</v>
      </c>
      <c r="N55" s="15" t="s">
        <v>120</v>
      </c>
    </row>
    <row r="56" spans="1:42" x14ac:dyDescent="0.25">
      <c r="A56" s="13" t="str">
        <f>A24</f>
        <v>Tunis</v>
      </c>
      <c r="B56" s="313"/>
      <c r="C56" s="172">
        <f>C24</f>
        <v>0</v>
      </c>
      <c r="D56" s="172">
        <f t="shared" ref="D56:E56" si="32">D24</f>
        <v>0</v>
      </c>
      <c r="E56" s="172">
        <f t="shared" si="32"/>
        <v>0</v>
      </c>
      <c r="F56" s="206">
        <f>SUM(C56:E56)</f>
        <v>0</v>
      </c>
      <c r="G56" s="215">
        <f>IFERROR($B56/(C56*$B24),0)</f>
        <v>0</v>
      </c>
      <c r="H56" s="215">
        <f t="shared" ref="H56:I56" si="33">IFERROR($B56/(D56*$B24),0)</f>
        <v>0</v>
      </c>
      <c r="I56" s="215">
        <f t="shared" si="33"/>
        <v>0</v>
      </c>
      <c r="J56" s="215">
        <f>SUMPRODUCT(C56:E56,G56:I56)</f>
        <v>0</v>
      </c>
      <c r="K56" s="215">
        <f t="shared" ref="K56:K79" si="34">ABS(($G56-G56)*(C24*$B24))</f>
        <v>0</v>
      </c>
      <c r="L56" s="215">
        <f t="shared" ref="L56:L79" si="35">ABS(($G56-H56)*(D24*$B24))</f>
        <v>0</v>
      </c>
      <c r="M56" s="215">
        <f t="shared" ref="M56:M79" si="36">ABS(($G56-I56)*(E24*$B24))</f>
        <v>0</v>
      </c>
      <c r="N56" s="215">
        <f>SUM(K56:M56)</f>
        <v>0</v>
      </c>
    </row>
    <row r="57" spans="1:42" x14ac:dyDescent="0.25">
      <c r="A57" s="13" t="str">
        <f t="shared" ref="A57:A79" si="37">A25</f>
        <v>Ariana</v>
      </c>
      <c r="B57" s="313"/>
      <c r="C57" s="172">
        <f t="shared" ref="C57:E57" si="38">C25</f>
        <v>0</v>
      </c>
      <c r="D57" s="172">
        <f t="shared" si="38"/>
        <v>0</v>
      </c>
      <c r="E57" s="172">
        <f t="shared" si="38"/>
        <v>0</v>
      </c>
      <c r="F57" s="206">
        <f t="shared" ref="F57:F79" si="39">SUM(C57:E57)</f>
        <v>0</v>
      </c>
      <c r="G57" s="215">
        <f t="shared" ref="G57:G79" si="40">IFERROR($B57/(C57*$B25),0)</f>
        <v>0</v>
      </c>
      <c r="H57" s="215">
        <f t="shared" ref="H57:H79" si="41">IFERROR($B57/(D57*$B25),0)</f>
        <v>0</v>
      </c>
      <c r="I57" s="215">
        <f t="shared" ref="I57:I79" si="42">IFERROR($B57/(E57*$B25),0)</f>
        <v>0</v>
      </c>
      <c r="J57" s="215">
        <f t="shared" ref="J57:J79" si="43">SUMPRODUCT(C57:E57,G57:I57)</f>
        <v>0</v>
      </c>
      <c r="K57" s="215">
        <f t="shared" si="34"/>
        <v>0</v>
      </c>
      <c r="L57" s="215">
        <f t="shared" si="35"/>
        <v>0</v>
      </c>
      <c r="M57" s="215">
        <f t="shared" si="36"/>
        <v>0</v>
      </c>
      <c r="N57" s="215">
        <f t="shared" ref="N57:N79" si="44">SUM(K57:M57)</f>
        <v>0</v>
      </c>
    </row>
    <row r="58" spans="1:42" x14ac:dyDescent="0.25">
      <c r="A58" s="13" t="str">
        <f t="shared" si="37"/>
        <v>La Manouba</v>
      </c>
      <c r="B58" s="313"/>
      <c r="C58" s="172">
        <f t="shared" ref="C58:E58" si="45">C26</f>
        <v>0</v>
      </c>
      <c r="D58" s="172">
        <f t="shared" si="45"/>
        <v>0</v>
      </c>
      <c r="E58" s="172">
        <f t="shared" si="45"/>
        <v>0</v>
      </c>
      <c r="F58" s="206">
        <f t="shared" si="39"/>
        <v>0</v>
      </c>
      <c r="G58" s="215">
        <f t="shared" si="40"/>
        <v>0</v>
      </c>
      <c r="H58" s="215">
        <f t="shared" si="41"/>
        <v>0</v>
      </c>
      <c r="I58" s="215">
        <f t="shared" si="42"/>
        <v>0</v>
      </c>
      <c r="J58" s="215">
        <f t="shared" si="43"/>
        <v>0</v>
      </c>
      <c r="K58" s="215">
        <f t="shared" si="34"/>
        <v>0</v>
      </c>
      <c r="L58" s="215">
        <f t="shared" si="35"/>
        <v>0</v>
      </c>
      <c r="M58" s="215">
        <f t="shared" si="36"/>
        <v>0</v>
      </c>
      <c r="N58" s="215">
        <f t="shared" si="44"/>
        <v>0</v>
      </c>
    </row>
    <row r="59" spans="1:42" x14ac:dyDescent="0.25">
      <c r="A59" s="13" t="str">
        <f t="shared" si="37"/>
        <v>Ben Arous</v>
      </c>
      <c r="B59" s="313"/>
      <c r="C59" s="172">
        <f t="shared" ref="C59:E59" si="46">C27</f>
        <v>0</v>
      </c>
      <c r="D59" s="172">
        <f t="shared" si="46"/>
        <v>0</v>
      </c>
      <c r="E59" s="172">
        <f t="shared" si="46"/>
        <v>0</v>
      </c>
      <c r="F59" s="206">
        <f t="shared" si="39"/>
        <v>0</v>
      </c>
      <c r="G59" s="215">
        <f t="shared" si="40"/>
        <v>0</v>
      </c>
      <c r="H59" s="215">
        <f t="shared" si="41"/>
        <v>0</v>
      </c>
      <c r="I59" s="215">
        <f t="shared" si="42"/>
        <v>0</v>
      </c>
      <c r="J59" s="215">
        <f t="shared" si="43"/>
        <v>0</v>
      </c>
      <c r="K59" s="215">
        <f t="shared" si="34"/>
        <v>0</v>
      </c>
      <c r="L59" s="215">
        <f t="shared" si="35"/>
        <v>0</v>
      </c>
      <c r="M59" s="215">
        <f t="shared" si="36"/>
        <v>0</v>
      </c>
      <c r="N59" s="215">
        <f t="shared" si="44"/>
        <v>0</v>
      </c>
    </row>
    <row r="60" spans="1:42" x14ac:dyDescent="0.25">
      <c r="A60" s="13" t="str">
        <f t="shared" si="37"/>
        <v>Nabeul</v>
      </c>
      <c r="B60" s="313"/>
      <c r="C60" s="172">
        <f t="shared" ref="C60:E60" si="47">C28</f>
        <v>0</v>
      </c>
      <c r="D60" s="172">
        <f t="shared" si="47"/>
        <v>0</v>
      </c>
      <c r="E60" s="172">
        <f t="shared" si="47"/>
        <v>0</v>
      </c>
      <c r="F60" s="206">
        <f t="shared" si="39"/>
        <v>0</v>
      </c>
      <c r="G60" s="215">
        <f t="shared" si="40"/>
        <v>0</v>
      </c>
      <c r="H60" s="215">
        <f t="shared" si="41"/>
        <v>0</v>
      </c>
      <c r="I60" s="215">
        <f t="shared" si="42"/>
        <v>0</v>
      </c>
      <c r="J60" s="215">
        <f t="shared" si="43"/>
        <v>0</v>
      </c>
      <c r="K60" s="215">
        <f t="shared" si="34"/>
        <v>0</v>
      </c>
      <c r="L60" s="215">
        <f t="shared" si="35"/>
        <v>0</v>
      </c>
      <c r="M60" s="215">
        <f t="shared" si="36"/>
        <v>0</v>
      </c>
      <c r="N60" s="215">
        <f t="shared" si="44"/>
        <v>0</v>
      </c>
    </row>
    <row r="61" spans="1:42" x14ac:dyDescent="0.25">
      <c r="A61" s="13" t="str">
        <f t="shared" si="37"/>
        <v>Bizerte</v>
      </c>
      <c r="B61" s="313"/>
      <c r="C61" s="172">
        <f t="shared" ref="C61:E61" si="48">C29</f>
        <v>0</v>
      </c>
      <c r="D61" s="172">
        <f t="shared" si="48"/>
        <v>0</v>
      </c>
      <c r="E61" s="172">
        <f t="shared" si="48"/>
        <v>0</v>
      </c>
      <c r="F61" s="206">
        <f t="shared" si="39"/>
        <v>0</v>
      </c>
      <c r="G61" s="215">
        <f t="shared" si="40"/>
        <v>0</v>
      </c>
      <c r="H61" s="215">
        <f t="shared" si="41"/>
        <v>0</v>
      </c>
      <c r="I61" s="215">
        <f t="shared" si="42"/>
        <v>0</v>
      </c>
      <c r="J61" s="215">
        <f t="shared" si="43"/>
        <v>0</v>
      </c>
      <c r="K61" s="215">
        <f t="shared" si="34"/>
        <v>0</v>
      </c>
      <c r="L61" s="215">
        <f t="shared" si="35"/>
        <v>0</v>
      </c>
      <c r="M61" s="215">
        <f t="shared" si="36"/>
        <v>0</v>
      </c>
      <c r="N61" s="215">
        <f t="shared" si="44"/>
        <v>0</v>
      </c>
    </row>
    <row r="62" spans="1:42" x14ac:dyDescent="0.25">
      <c r="A62" s="13" t="str">
        <f t="shared" si="37"/>
        <v>Zaghouan</v>
      </c>
      <c r="B62" s="313"/>
      <c r="C62" s="172">
        <f t="shared" ref="C62:E62" si="49">C30</f>
        <v>0</v>
      </c>
      <c r="D62" s="172">
        <f t="shared" si="49"/>
        <v>0</v>
      </c>
      <c r="E62" s="172">
        <f t="shared" si="49"/>
        <v>0</v>
      </c>
      <c r="F62" s="206">
        <f t="shared" si="39"/>
        <v>0</v>
      </c>
      <c r="G62" s="215">
        <f t="shared" si="40"/>
        <v>0</v>
      </c>
      <c r="H62" s="215">
        <f t="shared" si="41"/>
        <v>0</v>
      </c>
      <c r="I62" s="215">
        <f t="shared" si="42"/>
        <v>0</v>
      </c>
      <c r="J62" s="215">
        <f t="shared" si="43"/>
        <v>0</v>
      </c>
      <c r="K62" s="215">
        <f t="shared" si="34"/>
        <v>0</v>
      </c>
      <c r="L62" s="215">
        <f t="shared" si="35"/>
        <v>0</v>
      </c>
      <c r="M62" s="215">
        <f t="shared" si="36"/>
        <v>0</v>
      </c>
      <c r="N62" s="215">
        <f t="shared" si="44"/>
        <v>0</v>
      </c>
    </row>
    <row r="63" spans="1:42" x14ac:dyDescent="0.25">
      <c r="A63" s="13" t="str">
        <f t="shared" si="37"/>
        <v>Béja</v>
      </c>
      <c r="B63" s="313"/>
      <c r="C63" s="172">
        <f t="shared" ref="C63:E63" si="50">C31</f>
        <v>0</v>
      </c>
      <c r="D63" s="172">
        <f t="shared" si="50"/>
        <v>0</v>
      </c>
      <c r="E63" s="172">
        <f t="shared" si="50"/>
        <v>0</v>
      </c>
      <c r="F63" s="206">
        <f t="shared" si="39"/>
        <v>0</v>
      </c>
      <c r="G63" s="215">
        <f t="shared" si="40"/>
        <v>0</v>
      </c>
      <c r="H63" s="215">
        <f t="shared" si="41"/>
        <v>0</v>
      </c>
      <c r="I63" s="215">
        <f t="shared" si="42"/>
        <v>0</v>
      </c>
      <c r="J63" s="215">
        <f t="shared" si="43"/>
        <v>0</v>
      </c>
      <c r="K63" s="215">
        <f t="shared" si="34"/>
        <v>0</v>
      </c>
      <c r="L63" s="215">
        <f t="shared" si="35"/>
        <v>0</v>
      </c>
      <c r="M63" s="215">
        <f t="shared" si="36"/>
        <v>0</v>
      </c>
      <c r="N63" s="215">
        <f t="shared" si="44"/>
        <v>0</v>
      </c>
    </row>
    <row r="64" spans="1:42" x14ac:dyDescent="0.25">
      <c r="A64" s="13" t="str">
        <f t="shared" si="37"/>
        <v>Jendouba</v>
      </c>
      <c r="B64" s="313"/>
      <c r="C64" s="172">
        <f t="shared" ref="C64:E64" si="51">C32</f>
        <v>0</v>
      </c>
      <c r="D64" s="172">
        <f t="shared" si="51"/>
        <v>0</v>
      </c>
      <c r="E64" s="172">
        <f t="shared" si="51"/>
        <v>0</v>
      </c>
      <c r="F64" s="206">
        <f t="shared" si="39"/>
        <v>0</v>
      </c>
      <c r="G64" s="215">
        <f t="shared" si="40"/>
        <v>0</v>
      </c>
      <c r="H64" s="215">
        <f t="shared" si="41"/>
        <v>0</v>
      </c>
      <c r="I64" s="215">
        <f t="shared" si="42"/>
        <v>0</v>
      </c>
      <c r="J64" s="215">
        <f t="shared" si="43"/>
        <v>0</v>
      </c>
      <c r="K64" s="215">
        <f t="shared" si="34"/>
        <v>0</v>
      </c>
      <c r="L64" s="215">
        <f t="shared" si="35"/>
        <v>0</v>
      </c>
      <c r="M64" s="215">
        <f t="shared" si="36"/>
        <v>0</v>
      </c>
      <c r="N64" s="215">
        <f t="shared" si="44"/>
        <v>0</v>
      </c>
    </row>
    <row r="65" spans="1:19" x14ac:dyDescent="0.25">
      <c r="A65" s="13" t="str">
        <f t="shared" si="37"/>
        <v>Le Kef</v>
      </c>
      <c r="B65" s="313"/>
      <c r="C65" s="172">
        <f t="shared" ref="C65:E65" si="52">C33</f>
        <v>0</v>
      </c>
      <c r="D65" s="172">
        <f t="shared" si="52"/>
        <v>0</v>
      </c>
      <c r="E65" s="172">
        <f t="shared" si="52"/>
        <v>0</v>
      </c>
      <c r="F65" s="206">
        <f t="shared" si="39"/>
        <v>0</v>
      </c>
      <c r="G65" s="215">
        <f t="shared" si="40"/>
        <v>0</v>
      </c>
      <c r="H65" s="215">
        <f t="shared" si="41"/>
        <v>0</v>
      </c>
      <c r="I65" s="215">
        <f t="shared" si="42"/>
        <v>0</v>
      </c>
      <c r="J65" s="215">
        <f t="shared" si="43"/>
        <v>0</v>
      </c>
      <c r="K65" s="215">
        <f t="shared" si="34"/>
        <v>0</v>
      </c>
      <c r="L65" s="215">
        <f t="shared" si="35"/>
        <v>0</v>
      </c>
      <c r="M65" s="215">
        <f t="shared" si="36"/>
        <v>0</v>
      </c>
      <c r="N65" s="215">
        <f t="shared" si="44"/>
        <v>0</v>
      </c>
    </row>
    <row r="66" spans="1:19" x14ac:dyDescent="0.25">
      <c r="A66" s="13" t="str">
        <f t="shared" si="37"/>
        <v>Siliana</v>
      </c>
      <c r="B66" s="313"/>
      <c r="C66" s="172">
        <f t="shared" ref="C66:E66" si="53">C34</f>
        <v>0</v>
      </c>
      <c r="D66" s="172">
        <f t="shared" si="53"/>
        <v>0</v>
      </c>
      <c r="E66" s="172">
        <f t="shared" si="53"/>
        <v>0</v>
      </c>
      <c r="F66" s="206">
        <f t="shared" si="39"/>
        <v>0</v>
      </c>
      <c r="G66" s="215">
        <f t="shared" si="40"/>
        <v>0</v>
      </c>
      <c r="H66" s="215">
        <f t="shared" si="41"/>
        <v>0</v>
      </c>
      <c r="I66" s="215">
        <f t="shared" si="42"/>
        <v>0</v>
      </c>
      <c r="J66" s="215">
        <f t="shared" si="43"/>
        <v>0</v>
      </c>
      <c r="K66" s="215">
        <f t="shared" si="34"/>
        <v>0</v>
      </c>
      <c r="L66" s="215">
        <f t="shared" si="35"/>
        <v>0</v>
      </c>
      <c r="M66" s="215">
        <f t="shared" si="36"/>
        <v>0</v>
      </c>
      <c r="N66" s="215">
        <f t="shared" si="44"/>
        <v>0</v>
      </c>
    </row>
    <row r="67" spans="1:19" x14ac:dyDescent="0.25">
      <c r="A67" s="13" t="str">
        <f t="shared" si="37"/>
        <v>Sousse</v>
      </c>
      <c r="B67" s="313"/>
      <c r="C67" s="172">
        <f t="shared" ref="C67:E67" si="54">C35</f>
        <v>0</v>
      </c>
      <c r="D67" s="172">
        <f t="shared" si="54"/>
        <v>0</v>
      </c>
      <c r="E67" s="172">
        <f t="shared" si="54"/>
        <v>0</v>
      </c>
      <c r="F67" s="206">
        <f t="shared" si="39"/>
        <v>0</v>
      </c>
      <c r="G67" s="215">
        <f t="shared" si="40"/>
        <v>0</v>
      </c>
      <c r="H67" s="215">
        <f t="shared" si="41"/>
        <v>0</v>
      </c>
      <c r="I67" s="215">
        <f t="shared" si="42"/>
        <v>0</v>
      </c>
      <c r="J67" s="215">
        <f t="shared" si="43"/>
        <v>0</v>
      </c>
      <c r="K67" s="215">
        <f t="shared" si="34"/>
        <v>0</v>
      </c>
      <c r="L67" s="215">
        <f t="shared" si="35"/>
        <v>0</v>
      </c>
      <c r="M67" s="215">
        <f t="shared" si="36"/>
        <v>0</v>
      </c>
      <c r="N67" s="215">
        <f t="shared" si="44"/>
        <v>0</v>
      </c>
    </row>
    <row r="68" spans="1:19" x14ac:dyDescent="0.25">
      <c r="A68" s="13" t="str">
        <f t="shared" si="37"/>
        <v>Monastir</v>
      </c>
      <c r="B68" s="313"/>
      <c r="C68" s="172">
        <f t="shared" ref="C68:E68" si="55">C36</f>
        <v>0</v>
      </c>
      <c r="D68" s="172">
        <f t="shared" si="55"/>
        <v>0</v>
      </c>
      <c r="E68" s="172">
        <f t="shared" si="55"/>
        <v>0</v>
      </c>
      <c r="F68" s="206">
        <f t="shared" si="39"/>
        <v>0</v>
      </c>
      <c r="G68" s="215">
        <f t="shared" si="40"/>
        <v>0</v>
      </c>
      <c r="H68" s="215">
        <f t="shared" si="41"/>
        <v>0</v>
      </c>
      <c r="I68" s="215">
        <f t="shared" si="42"/>
        <v>0</v>
      </c>
      <c r="J68" s="215">
        <f t="shared" si="43"/>
        <v>0</v>
      </c>
      <c r="K68" s="215">
        <f t="shared" si="34"/>
        <v>0</v>
      </c>
      <c r="L68" s="215">
        <f t="shared" si="35"/>
        <v>0</v>
      </c>
      <c r="M68" s="215">
        <f t="shared" si="36"/>
        <v>0</v>
      </c>
      <c r="N68" s="215">
        <f t="shared" si="44"/>
        <v>0</v>
      </c>
    </row>
    <row r="69" spans="1:19" x14ac:dyDescent="0.25">
      <c r="A69" s="13" t="str">
        <f t="shared" si="37"/>
        <v>Mahdia</v>
      </c>
      <c r="B69" s="313"/>
      <c r="C69" s="172">
        <f t="shared" ref="C69:E69" si="56">C37</f>
        <v>0</v>
      </c>
      <c r="D69" s="172">
        <f t="shared" si="56"/>
        <v>0</v>
      </c>
      <c r="E69" s="172">
        <f t="shared" si="56"/>
        <v>0</v>
      </c>
      <c r="F69" s="206">
        <f t="shared" si="39"/>
        <v>0</v>
      </c>
      <c r="G69" s="215">
        <f t="shared" si="40"/>
        <v>0</v>
      </c>
      <c r="H69" s="215">
        <f t="shared" si="41"/>
        <v>0</v>
      </c>
      <c r="I69" s="215">
        <f t="shared" si="42"/>
        <v>0</v>
      </c>
      <c r="J69" s="215">
        <f t="shared" si="43"/>
        <v>0</v>
      </c>
      <c r="K69" s="215">
        <f t="shared" si="34"/>
        <v>0</v>
      </c>
      <c r="L69" s="215">
        <f t="shared" si="35"/>
        <v>0</v>
      </c>
      <c r="M69" s="215">
        <f t="shared" si="36"/>
        <v>0</v>
      </c>
      <c r="N69" s="215">
        <f t="shared" si="44"/>
        <v>0</v>
      </c>
    </row>
    <row r="70" spans="1:19" x14ac:dyDescent="0.25">
      <c r="A70" s="13" t="str">
        <f t="shared" si="37"/>
        <v>Sfax</v>
      </c>
      <c r="B70" s="313"/>
      <c r="C70" s="172">
        <f t="shared" ref="C70:E70" si="57">C38</f>
        <v>0</v>
      </c>
      <c r="D70" s="172">
        <f t="shared" si="57"/>
        <v>0</v>
      </c>
      <c r="E70" s="172">
        <f t="shared" si="57"/>
        <v>0</v>
      </c>
      <c r="F70" s="206">
        <f t="shared" si="39"/>
        <v>0</v>
      </c>
      <c r="G70" s="215">
        <f t="shared" si="40"/>
        <v>0</v>
      </c>
      <c r="H70" s="215">
        <f t="shared" si="41"/>
        <v>0</v>
      </c>
      <c r="I70" s="215">
        <f t="shared" si="42"/>
        <v>0</v>
      </c>
      <c r="J70" s="215">
        <f t="shared" si="43"/>
        <v>0</v>
      </c>
      <c r="K70" s="215">
        <f t="shared" si="34"/>
        <v>0</v>
      </c>
      <c r="L70" s="215">
        <f t="shared" si="35"/>
        <v>0</v>
      </c>
      <c r="M70" s="215">
        <f t="shared" si="36"/>
        <v>0</v>
      </c>
      <c r="N70" s="215">
        <f t="shared" si="44"/>
        <v>0</v>
      </c>
    </row>
    <row r="71" spans="1:19" x14ac:dyDescent="0.25">
      <c r="A71" s="13" t="str">
        <f t="shared" si="37"/>
        <v>Kairouan</v>
      </c>
      <c r="B71" s="313"/>
      <c r="C71" s="172">
        <f t="shared" ref="C71:E71" si="58">C39</f>
        <v>0</v>
      </c>
      <c r="D71" s="172">
        <f t="shared" si="58"/>
        <v>0</v>
      </c>
      <c r="E71" s="172">
        <f t="shared" si="58"/>
        <v>0</v>
      </c>
      <c r="F71" s="206">
        <f t="shared" si="39"/>
        <v>0</v>
      </c>
      <c r="G71" s="215">
        <f t="shared" si="40"/>
        <v>0</v>
      </c>
      <c r="H71" s="215">
        <f t="shared" si="41"/>
        <v>0</v>
      </c>
      <c r="I71" s="215">
        <f t="shared" si="42"/>
        <v>0</v>
      </c>
      <c r="J71" s="215">
        <f t="shared" si="43"/>
        <v>0</v>
      </c>
      <c r="K71" s="215">
        <f t="shared" si="34"/>
        <v>0</v>
      </c>
      <c r="L71" s="215">
        <f t="shared" si="35"/>
        <v>0</v>
      </c>
      <c r="M71" s="215">
        <f t="shared" si="36"/>
        <v>0</v>
      </c>
      <c r="N71" s="215">
        <f t="shared" si="44"/>
        <v>0</v>
      </c>
    </row>
    <row r="72" spans="1:19" x14ac:dyDescent="0.25">
      <c r="A72" s="13" t="str">
        <f t="shared" si="37"/>
        <v>Kasserine</v>
      </c>
      <c r="B72" s="313"/>
      <c r="C72" s="172">
        <f t="shared" ref="C72:E72" si="59">C40</f>
        <v>0</v>
      </c>
      <c r="D72" s="172">
        <f t="shared" si="59"/>
        <v>0</v>
      </c>
      <c r="E72" s="172">
        <f t="shared" si="59"/>
        <v>0</v>
      </c>
      <c r="F72" s="206">
        <f t="shared" si="39"/>
        <v>0</v>
      </c>
      <c r="G72" s="215">
        <f t="shared" si="40"/>
        <v>0</v>
      </c>
      <c r="H72" s="215">
        <f t="shared" si="41"/>
        <v>0</v>
      </c>
      <c r="I72" s="215">
        <f t="shared" si="42"/>
        <v>0</v>
      </c>
      <c r="J72" s="215">
        <f t="shared" si="43"/>
        <v>0</v>
      </c>
      <c r="K72" s="215">
        <f t="shared" si="34"/>
        <v>0</v>
      </c>
      <c r="L72" s="215">
        <f t="shared" si="35"/>
        <v>0</v>
      </c>
      <c r="M72" s="215">
        <f t="shared" si="36"/>
        <v>0</v>
      </c>
      <c r="N72" s="215">
        <f t="shared" si="44"/>
        <v>0</v>
      </c>
    </row>
    <row r="73" spans="1:19" x14ac:dyDescent="0.25">
      <c r="A73" s="13" t="str">
        <f t="shared" si="37"/>
        <v>Sidi Bouzid</v>
      </c>
      <c r="B73" s="313"/>
      <c r="C73" s="172">
        <f t="shared" ref="C73:E73" si="60">C41</f>
        <v>0</v>
      </c>
      <c r="D73" s="172">
        <f t="shared" si="60"/>
        <v>0</v>
      </c>
      <c r="E73" s="172">
        <f t="shared" si="60"/>
        <v>0</v>
      </c>
      <c r="F73" s="206">
        <f t="shared" si="39"/>
        <v>0</v>
      </c>
      <c r="G73" s="215">
        <f t="shared" si="40"/>
        <v>0</v>
      </c>
      <c r="H73" s="215">
        <f t="shared" si="41"/>
        <v>0</v>
      </c>
      <c r="I73" s="215">
        <f t="shared" si="42"/>
        <v>0</v>
      </c>
      <c r="J73" s="215">
        <f t="shared" si="43"/>
        <v>0</v>
      </c>
      <c r="K73" s="215">
        <f t="shared" si="34"/>
        <v>0</v>
      </c>
      <c r="L73" s="215">
        <f t="shared" si="35"/>
        <v>0</v>
      </c>
      <c r="M73" s="215">
        <f t="shared" si="36"/>
        <v>0</v>
      </c>
      <c r="N73" s="215">
        <f t="shared" si="44"/>
        <v>0</v>
      </c>
      <c r="P73" s="1" t="s">
        <v>831</v>
      </c>
    </row>
    <row r="74" spans="1:19" x14ac:dyDescent="0.25">
      <c r="A74" s="13" t="str">
        <f t="shared" si="37"/>
        <v>Gafsa</v>
      </c>
      <c r="B74" s="313"/>
      <c r="C74" s="172">
        <f t="shared" ref="C74:E74" si="61">C42</f>
        <v>0</v>
      </c>
      <c r="D74" s="172">
        <f t="shared" si="61"/>
        <v>0</v>
      </c>
      <c r="E74" s="172">
        <f t="shared" si="61"/>
        <v>0</v>
      </c>
      <c r="F74" s="206">
        <f t="shared" si="39"/>
        <v>0</v>
      </c>
      <c r="G74" s="215">
        <f t="shared" si="40"/>
        <v>0</v>
      </c>
      <c r="H74" s="215">
        <f t="shared" si="41"/>
        <v>0</v>
      </c>
      <c r="I74" s="215">
        <f t="shared" si="42"/>
        <v>0</v>
      </c>
      <c r="J74" s="215">
        <f t="shared" si="43"/>
        <v>0</v>
      </c>
      <c r="K74" s="215">
        <f t="shared" si="34"/>
        <v>0</v>
      </c>
      <c r="L74" s="215">
        <f t="shared" si="35"/>
        <v>0</v>
      </c>
      <c r="M74" s="215">
        <f t="shared" si="36"/>
        <v>0</v>
      </c>
      <c r="N74" s="215">
        <f t="shared" si="44"/>
        <v>0</v>
      </c>
      <c r="P74" s="1" t="s">
        <v>832</v>
      </c>
      <c r="Q74" s="1" t="s">
        <v>833</v>
      </c>
    </row>
    <row r="75" spans="1:19" x14ac:dyDescent="0.25">
      <c r="A75" s="13" t="str">
        <f t="shared" si="37"/>
        <v>Gabès</v>
      </c>
      <c r="B75" s="313"/>
      <c r="C75" s="172">
        <f t="shared" ref="C75:E75" si="62">C43</f>
        <v>0</v>
      </c>
      <c r="D75" s="172">
        <f t="shared" si="62"/>
        <v>0</v>
      </c>
      <c r="E75" s="172">
        <f t="shared" si="62"/>
        <v>0</v>
      </c>
      <c r="F75" s="206">
        <f t="shared" si="39"/>
        <v>0</v>
      </c>
      <c r="G75" s="215">
        <f t="shared" si="40"/>
        <v>0</v>
      </c>
      <c r="H75" s="215">
        <f t="shared" si="41"/>
        <v>0</v>
      </c>
      <c r="I75" s="215">
        <f t="shared" si="42"/>
        <v>0</v>
      </c>
      <c r="J75" s="215">
        <f t="shared" si="43"/>
        <v>0</v>
      </c>
      <c r="K75" s="215">
        <f t="shared" si="34"/>
        <v>0</v>
      </c>
      <c r="L75" s="215">
        <f t="shared" si="35"/>
        <v>0</v>
      </c>
      <c r="M75" s="215">
        <f t="shared" si="36"/>
        <v>0</v>
      </c>
      <c r="N75" s="215">
        <f t="shared" si="44"/>
        <v>0</v>
      </c>
      <c r="P75" s="4" t="s">
        <v>834</v>
      </c>
      <c r="Q75" s="4"/>
    </row>
    <row r="76" spans="1:19" x14ac:dyDescent="0.25">
      <c r="A76" s="13" t="str">
        <f t="shared" si="37"/>
        <v>Médenine</v>
      </c>
      <c r="B76" s="313"/>
      <c r="C76" s="172">
        <f t="shared" ref="C76:E76" si="63">C44</f>
        <v>0</v>
      </c>
      <c r="D76" s="172">
        <f t="shared" si="63"/>
        <v>0</v>
      </c>
      <c r="E76" s="172">
        <f t="shared" si="63"/>
        <v>0</v>
      </c>
      <c r="F76" s="206">
        <f t="shared" si="39"/>
        <v>0</v>
      </c>
      <c r="G76" s="215">
        <f t="shared" si="40"/>
        <v>0</v>
      </c>
      <c r="H76" s="215">
        <f t="shared" si="41"/>
        <v>0</v>
      </c>
      <c r="I76" s="215">
        <f t="shared" si="42"/>
        <v>0</v>
      </c>
      <c r="J76" s="215">
        <f t="shared" si="43"/>
        <v>0</v>
      </c>
      <c r="K76" s="215">
        <f t="shared" si="34"/>
        <v>0</v>
      </c>
      <c r="L76" s="215">
        <f t="shared" si="35"/>
        <v>0</v>
      </c>
      <c r="M76" s="215">
        <f t="shared" si="36"/>
        <v>0</v>
      </c>
      <c r="N76" s="215">
        <f t="shared" si="44"/>
        <v>0</v>
      </c>
      <c r="P76" s="4" t="s">
        <v>835</v>
      </c>
      <c r="Q76" s="4"/>
    </row>
    <row r="77" spans="1:19" x14ac:dyDescent="0.25">
      <c r="A77" s="13" t="str">
        <f t="shared" si="37"/>
        <v>Tataouine</v>
      </c>
      <c r="B77" s="313"/>
      <c r="C77" s="172">
        <f t="shared" ref="C77:E77" si="64">C45</f>
        <v>0</v>
      </c>
      <c r="D77" s="172">
        <f t="shared" si="64"/>
        <v>0</v>
      </c>
      <c r="E77" s="172">
        <f t="shared" si="64"/>
        <v>0</v>
      </c>
      <c r="F77" s="206">
        <f t="shared" si="39"/>
        <v>0</v>
      </c>
      <c r="G77" s="215">
        <f t="shared" si="40"/>
        <v>0</v>
      </c>
      <c r="H77" s="215">
        <f t="shared" si="41"/>
        <v>0</v>
      </c>
      <c r="I77" s="215">
        <f t="shared" si="42"/>
        <v>0</v>
      </c>
      <c r="J77" s="215">
        <f t="shared" si="43"/>
        <v>0</v>
      </c>
      <c r="K77" s="215">
        <f t="shared" si="34"/>
        <v>0</v>
      </c>
      <c r="L77" s="215">
        <f t="shared" si="35"/>
        <v>0</v>
      </c>
      <c r="M77" s="215">
        <f t="shared" si="36"/>
        <v>0</v>
      </c>
      <c r="N77" s="215">
        <f t="shared" si="44"/>
        <v>0</v>
      </c>
      <c r="P77" s="4" t="s">
        <v>836</v>
      </c>
      <c r="Q77" s="4"/>
    </row>
    <row r="78" spans="1:19" x14ac:dyDescent="0.25">
      <c r="A78" s="13" t="str">
        <f t="shared" si="37"/>
        <v>Tozeur</v>
      </c>
      <c r="B78" s="313"/>
      <c r="C78" s="172">
        <f t="shared" ref="C78:E78" si="65">C46</f>
        <v>0</v>
      </c>
      <c r="D78" s="172">
        <f t="shared" si="65"/>
        <v>0</v>
      </c>
      <c r="E78" s="172">
        <f t="shared" si="65"/>
        <v>0</v>
      </c>
      <c r="F78" s="206">
        <f t="shared" si="39"/>
        <v>0</v>
      </c>
      <c r="G78" s="215">
        <f t="shared" si="40"/>
        <v>0</v>
      </c>
      <c r="H78" s="215">
        <f t="shared" si="41"/>
        <v>0</v>
      </c>
      <c r="I78" s="215">
        <f t="shared" si="42"/>
        <v>0</v>
      </c>
      <c r="J78" s="215">
        <f t="shared" si="43"/>
        <v>0</v>
      </c>
      <c r="K78" s="215">
        <f t="shared" si="34"/>
        <v>0</v>
      </c>
      <c r="L78" s="215">
        <f t="shared" si="35"/>
        <v>0</v>
      </c>
      <c r="M78" s="215">
        <f t="shared" si="36"/>
        <v>0</v>
      </c>
      <c r="N78" s="215">
        <f t="shared" si="44"/>
        <v>0</v>
      </c>
      <c r="P78" s="4" t="s">
        <v>837</v>
      </c>
      <c r="Q78" s="75"/>
    </row>
    <row r="79" spans="1:19" x14ac:dyDescent="0.25">
      <c r="A79" s="13" t="str">
        <f t="shared" si="37"/>
        <v>Kébili</v>
      </c>
      <c r="B79" s="313"/>
      <c r="C79" s="172">
        <f t="shared" ref="C79:E79" si="66">C47</f>
        <v>0</v>
      </c>
      <c r="D79" s="172">
        <f t="shared" si="66"/>
        <v>0</v>
      </c>
      <c r="E79" s="172">
        <f t="shared" si="66"/>
        <v>0</v>
      </c>
      <c r="F79" s="206">
        <f t="shared" si="39"/>
        <v>0</v>
      </c>
      <c r="G79" s="215">
        <f t="shared" si="40"/>
        <v>0</v>
      </c>
      <c r="H79" s="215">
        <f t="shared" si="41"/>
        <v>0</v>
      </c>
      <c r="I79" s="215">
        <f t="shared" si="42"/>
        <v>0</v>
      </c>
      <c r="J79" s="215">
        <f t="shared" si="43"/>
        <v>0</v>
      </c>
      <c r="K79" s="215">
        <f t="shared" si="34"/>
        <v>0</v>
      </c>
      <c r="L79" s="215">
        <f t="shared" si="35"/>
        <v>0</v>
      </c>
      <c r="M79" s="215">
        <f t="shared" si="36"/>
        <v>0</v>
      </c>
      <c r="N79" s="215">
        <f t="shared" si="44"/>
        <v>0</v>
      </c>
      <c r="P79" s="4" t="s">
        <v>838</v>
      </c>
      <c r="Q79" s="137"/>
      <c r="R79" s="2"/>
      <c r="S79" s="2"/>
    </row>
    <row r="80" spans="1:19" x14ac:dyDescent="0.25">
      <c r="A80" s="15" t="s">
        <v>163</v>
      </c>
      <c r="B80" s="14">
        <f>SUM(B56:B79)+0.00000001</f>
        <v>1E-8</v>
      </c>
      <c r="C80" s="206">
        <f>SUMPRODUCT($B$56:$B$79,C56:C79)/$B$80</f>
        <v>0</v>
      </c>
      <c r="D80" s="206">
        <f t="shared" ref="D80" si="67">SUMPRODUCT($B$56:$B$79,D56:D79)/$B$80</f>
        <v>0</v>
      </c>
      <c r="E80" s="172" t="e">
        <f>F48</f>
        <v>#DIV/0!</v>
      </c>
      <c r="F80" s="172" t="e">
        <f>SUM(C80:E80)</f>
        <v>#DIV/0!</v>
      </c>
      <c r="G80" s="215">
        <f>SUMPRODUCT($B$56:$B$79,G56:G79)/$B$80</f>
        <v>0</v>
      </c>
      <c r="H80" s="215">
        <f>SUMPRODUCT($B$56:$B$79,H56:H79)/$B$80</f>
        <v>0</v>
      </c>
      <c r="I80" s="215">
        <f>SUMPRODUCT($B$56:$B$79,I56:I79)/$B$80</f>
        <v>0</v>
      </c>
      <c r="J80" s="215">
        <f>SUMPRODUCT($B$56:$B$79,J56:J79)/$B$80</f>
        <v>0</v>
      </c>
      <c r="K80" s="215">
        <f>SUM(K56:K79)</f>
        <v>0</v>
      </c>
      <c r="L80" s="215">
        <f t="shared" ref="L80" si="68">SUM(L56:L79)</f>
        <v>0</v>
      </c>
      <c r="M80" s="215">
        <f>SUM(M56:M79)</f>
        <v>0</v>
      </c>
      <c r="N80" s="316">
        <f>SUM(K80:M80)+Q81</f>
        <v>0</v>
      </c>
      <c r="P80" s="4" t="s">
        <v>839</v>
      </c>
      <c r="Q80" s="4"/>
    </row>
    <row r="81" spans="1:24" x14ac:dyDescent="0.25">
      <c r="P81" s="17" t="s">
        <v>120</v>
      </c>
      <c r="Q81" s="96">
        <f>SUM(Q75:Q80)</f>
        <v>0</v>
      </c>
      <c r="R81" s="1" t="s">
        <v>840</v>
      </c>
    </row>
    <row r="82" spans="1:24" x14ac:dyDescent="0.25">
      <c r="P82" s="17"/>
      <c r="Q82" s="96"/>
      <c r="R82" s="1"/>
    </row>
    <row r="83" spans="1:24" x14ac:dyDescent="0.25">
      <c r="P83" s="17"/>
      <c r="Q83" s="96"/>
      <c r="R83" s="1"/>
    </row>
    <row r="84" spans="1:24" x14ac:dyDescent="0.25">
      <c r="A84" s="1" t="s">
        <v>332</v>
      </c>
      <c r="D84" s="2"/>
      <c r="E84" s="2"/>
      <c r="H84" s="20" t="s">
        <v>333</v>
      </c>
    </row>
    <row r="85" spans="1:24" ht="18" x14ac:dyDescent="0.35">
      <c r="A85" s="1"/>
      <c r="B85" s="1" t="s">
        <v>334</v>
      </c>
      <c r="D85" s="124">
        <f>44*F85/12</f>
        <v>187</v>
      </c>
      <c r="E85" s="73" t="s">
        <v>335</v>
      </c>
      <c r="F85" s="62">
        <v>51</v>
      </c>
      <c r="G85" t="s">
        <v>96</v>
      </c>
      <c r="H85" s="20" t="s">
        <v>336</v>
      </c>
    </row>
    <row r="86" spans="1:24" x14ac:dyDescent="0.25">
      <c r="A86" s="1"/>
      <c r="B86" s="1" t="s">
        <v>426</v>
      </c>
      <c r="D86" s="703">
        <v>5.7999999999999996E-3</v>
      </c>
      <c r="E86" s="1"/>
      <c r="F86" s="74" t="s">
        <v>338</v>
      </c>
      <c r="H86" s="20" t="s">
        <v>339</v>
      </c>
    </row>
    <row r="87" spans="1:24" x14ac:dyDescent="0.25">
      <c r="A87" s="1"/>
      <c r="B87" s="1" t="s">
        <v>427</v>
      </c>
      <c r="C87" s="1"/>
      <c r="D87" s="5">
        <v>30</v>
      </c>
      <c r="E87" s="1"/>
      <c r="F87" s="63" t="s">
        <v>239</v>
      </c>
      <c r="G87" s="69">
        <f>10000*(D87/100)*D89</f>
        <v>4500</v>
      </c>
      <c r="H87" s="77"/>
    </row>
    <row r="88" spans="1:24" x14ac:dyDescent="0.25">
      <c r="A88" s="1"/>
      <c r="B88" s="1" t="s">
        <v>428</v>
      </c>
      <c r="C88" s="1"/>
      <c r="D88" s="72" t="e">
        <f>G88/G87</f>
        <v>#DIV/0!</v>
      </c>
      <c r="E88" s="1"/>
      <c r="F88" s="63" t="s">
        <v>429</v>
      </c>
      <c r="G88" s="95" t="e">
        <f>'Soil-errosion2'!AV28</f>
        <v>#DIV/0!</v>
      </c>
      <c r="H88" t="s">
        <v>345</v>
      </c>
      <c r="I88" t="s">
        <v>346</v>
      </c>
    </row>
    <row r="89" spans="1:24" ht="17.25" x14ac:dyDescent="0.25">
      <c r="A89" s="1"/>
      <c r="B89" s="1" t="s">
        <v>430</v>
      </c>
      <c r="C89" s="1"/>
      <c r="D89" s="5">
        <v>1.5</v>
      </c>
      <c r="E89" s="1"/>
      <c r="F89" t="s">
        <v>350</v>
      </c>
      <c r="G89" s="140" t="e">
        <f>D87*G88/G87</f>
        <v>#DIV/0!</v>
      </c>
      <c r="I89" s="20" t="s">
        <v>351</v>
      </c>
    </row>
    <row r="90" spans="1:24" ht="36" customHeight="1" x14ac:dyDescent="0.25">
      <c r="A90" s="838" t="s">
        <v>101</v>
      </c>
      <c r="B90" s="814" t="s">
        <v>729</v>
      </c>
      <c r="C90" s="814"/>
      <c r="D90" s="814"/>
      <c r="E90" s="814"/>
      <c r="F90" s="814"/>
      <c r="H90" s="76"/>
      <c r="R90" s="872" t="s">
        <v>841</v>
      </c>
      <c r="S90" s="839" t="s">
        <v>842</v>
      </c>
    </row>
    <row r="91" spans="1:24" ht="57.95" customHeight="1" x14ac:dyDescent="0.25">
      <c r="A91" s="838"/>
      <c r="B91" s="11" t="s">
        <v>353</v>
      </c>
      <c r="C91" s="839" t="s">
        <v>354</v>
      </c>
      <c r="D91" s="839"/>
      <c r="E91" s="839"/>
      <c r="F91" s="839" t="s">
        <v>355</v>
      </c>
      <c r="G91" s="839"/>
      <c r="H91" s="839"/>
      <c r="I91" s="839"/>
      <c r="J91" s="839" t="s">
        <v>356</v>
      </c>
      <c r="K91" s="839"/>
      <c r="L91" s="839"/>
      <c r="M91" s="839"/>
      <c r="N91" s="839" t="s">
        <v>357</v>
      </c>
      <c r="O91" s="839"/>
      <c r="P91" s="839"/>
      <c r="Q91" s="839"/>
      <c r="R91" s="872"/>
      <c r="S91" s="839"/>
      <c r="T91" s="839" t="s">
        <v>363</v>
      </c>
      <c r="U91" s="11" t="s">
        <v>364</v>
      </c>
      <c r="V91" s="11" t="s">
        <v>365</v>
      </c>
      <c r="W91" s="839" t="s">
        <v>366</v>
      </c>
      <c r="X91" s="11" t="s">
        <v>367</v>
      </c>
    </row>
    <row r="92" spans="1:24" ht="14.45" customHeight="1" x14ac:dyDescent="0.25">
      <c r="A92" s="17"/>
      <c r="B92" s="11"/>
      <c r="C92" s="11" t="s">
        <v>234</v>
      </c>
      <c r="D92" s="11" t="s">
        <v>368</v>
      </c>
      <c r="E92" s="11" t="s">
        <v>238</v>
      </c>
      <c r="F92" s="11" t="s">
        <v>234</v>
      </c>
      <c r="G92" s="11" t="s">
        <v>368</v>
      </c>
      <c r="H92" s="11" t="s">
        <v>238</v>
      </c>
      <c r="I92" s="11" t="s">
        <v>120</v>
      </c>
      <c r="J92" s="11" t="s">
        <v>234</v>
      </c>
      <c r="K92" s="11" t="s">
        <v>368</v>
      </c>
      <c r="L92" s="11" t="s">
        <v>238</v>
      </c>
      <c r="M92" s="11" t="s">
        <v>120</v>
      </c>
      <c r="N92" s="11" t="s">
        <v>234</v>
      </c>
      <c r="O92" s="11" t="s">
        <v>368</v>
      </c>
      <c r="P92" s="11" t="s">
        <v>238</v>
      </c>
      <c r="Q92" s="11" t="s">
        <v>120</v>
      </c>
      <c r="R92" s="872"/>
      <c r="S92" s="839"/>
      <c r="T92" s="839"/>
      <c r="U92" s="11"/>
      <c r="V92" s="11"/>
      <c r="W92" s="839"/>
    </row>
    <row r="93" spans="1:24" x14ac:dyDescent="0.25">
      <c r="A93" t="str">
        <f>A24</f>
        <v>Tunis</v>
      </c>
      <c r="B93" s="4"/>
      <c r="C93" s="64"/>
      <c r="D93" s="64"/>
      <c r="E93" s="64"/>
      <c r="F93" s="185">
        <f>'Percent-Soil-Carbon-Content'!L4*'Soil-errosion2'!L4</f>
        <v>0</v>
      </c>
      <c r="G93" s="185">
        <f>'Percent-Soil-Carbon-Content'!W4*'Soil-errosion2'!X4</f>
        <v>0</v>
      </c>
      <c r="H93" s="185">
        <f>'Percent-Soil-Carbon-Content'!AH4*'Soil-errosion2'!AJ4</f>
        <v>0</v>
      </c>
      <c r="I93" s="185">
        <f>SUMPRODUCT(F93:H93,$C$24:$E$24)</f>
        <v>0</v>
      </c>
      <c r="J93" s="185">
        <f>F93</f>
        <v>0</v>
      </c>
      <c r="K93" s="185">
        <f>G93</f>
        <v>0</v>
      </c>
      <c r="L93" s="185">
        <f>H93</f>
        <v>0</v>
      </c>
      <c r="M93" s="185">
        <f t="shared" ref="M93:M116" si="69">SUMPRODUCT(J93:L93,C56:E56)</f>
        <v>0</v>
      </c>
      <c r="N93" s="67">
        <f t="shared" ref="N93:N116" si="70">J93*C24*$B24</f>
        <v>0</v>
      </c>
      <c r="O93" s="67">
        <f t="shared" ref="O93:O116" si="71">K93*D24*$B24</f>
        <v>0</v>
      </c>
      <c r="P93" s="67">
        <f t="shared" ref="P93:P116" si="72">L93*E24*$B24</f>
        <v>0</v>
      </c>
      <c r="Q93" s="24">
        <f>SUM(N93:P93)</f>
        <v>0</v>
      </c>
      <c r="R93" s="24" t="e">
        <f>Deforestation!D6</f>
        <v>#DIV/0!</v>
      </c>
      <c r="S93" s="24" t="e">
        <f>Q93+R93</f>
        <v>#DIV/0!</v>
      </c>
      <c r="T93" s="38" t="e">
        <f>S93*$D$85</f>
        <v>#DIV/0!</v>
      </c>
      <c r="U93" s="9">
        <v>0</v>
      </c>
      <c r="V93" s="9">
        <v>0</v>
      </c>
      <c r="W93" s="38" t="e">
        <f t="shared" ref="W93:W117" si="73">B93+T93+U93+V93</f>
        <v>#DIV/0!</v>
      </c>
    </row>
    <row r="94" spans="1:24" x14ac:dyDescent="0.25">
      <c r="A94" t="str">
        <f t="shared" ref="A94:A116" si="74">A25</f>
        <v>Ariana</v>
      </c>
      <c r="B94" s="4"/>
      <c r="C94" s="64"/>
      <c r="D94" s="64"/>
      <c r="E94" s="64"/>
      <c r="F94" s="185">
        <f>'Percent-Soil-Carbon-Content'!L5*'Soil-errosion2'!L5</f>
        <v>0</v>
      </c>
      <c r="G94" s="185">
        <f>'Percent-Soil-Carbon-Content'!W5*'Soil-errosion2'!X5</f>
        <v>0</v>
      </c>
      <c r="H94" s="185">
        <f>'Percent-Soil-Carbon-Content'!AH5*'Soil-errosion2'!AJ5</f>
        <v>0</v>
      </c>
      <c r="I94" s="185">
        <f t="shared" ref="I94:I116" si="75">SUMPRODUCT(F94:H94,$C$24:$E$24)</f>
        <v>0</v>
      </c>
      <c r="J94" s="185">
        <f t="shared" ref="J94:J116" si="76">F94</f>
        <v>0</v>
      </c>
      <c r="K94" s="185">
        <f t="shared" ref="K94:K116" si="77">G94</f>
        <v>0</v>
      </c>
      <c r="L94" s="185">
        <f t="shared" ref="L94:L116" si="78">H94</f>
        <v>0</v>
      </c>
      <c r="M94" s="185">
        <f t="shared" si="69"/>
        <v>0</v>
      </c>
      <c r="N94" s="67">
        <f t="shared" si="70"/>
        <v>0</v>
      </c>
      <c r="O94" s="67">
        <f t="shared" si="71"/>
        <v>0</v>
      </c>
      <c r="P94" s="67">
        <f t="shared" si="72"/>
        <v>0</v>
      </c>
      <c r="Q94" s="24">
        <f t="shared" ref="Q94:Q116" si="79">SUM(N94:P94)</f>
        <v>0</v>
      </c>
      <c r="R94" s="24" t="e">
        <f>Deforestation!D7</f>
        <v>#DIV/0!</v>
      </c>
      <c r="S94" s="24" t="e">
        <f t="shared" ref="S94:S116" si="80">Q94+R94</f>
        <v>#DIV/0!</v>
      </c>
      <c r="T94" s="38" t="e">
        <f t="shared" ref="T94:T116" si="81">S94*$D$85</f>
        <v>#DIV/0!</v>
      </c>
      <c r="U94" s="9">
        <v>0</v>
      </c>
      <c r="V94" s="9">
        <v>0</v>
      </c>
      <c r="W94" s="38" t="e">
        <f t="shared" ref="W94:W116" si="82">B94+T94+U94+V94</f>
        <v>#DIV/0!</v>
      </c>
    </row>
    <row r="95" spans="1:24" x14ac:dyDescent="0.25">
      <c r="A95" t="str">
        <f t="shared" si="74"/>
        <v>La Manouba</v>
      </c>
      <c r="B95" s="4"/>
      <c r="C95" s="64"/>
      <c r="D95" s="64"/>
      <c r="E95" s="64"/>
      <c r="F95" s="185">
        <f>'Percent-Soil-Carbon-Content'!L6*'Soil-errosion2'!L6</f>
        <v>0</v>
      </c>
      <c r="G95" s="185">
        <f>'Percent-Soil-Carbon-Content'!W6*'Soil-errosion2'!X6</f>
        <v>0</v>
      </c>
      <c r="H95" s="185">
        <f>'Percent-Soil-Carbon-Content'!AH6*'Soil-errosion2'!AJ6</f>
        <v>0</v>
      </c>
      <c r="I95" s="185">
        <f t="shared" si="75"/>
        <v>0</v>
      </c>
      <c r="J95" s="185">
        <f t="shared" si="76"/>
        <v>0</v>
      </c>
      <c r="K95" s="185">
        <f t="shared" si="77"/>
        <v>0</v>
      </c>
      <c r="L95" s="185">
        <f t="shared" si="78"/>
        <v>0</v>
      </c>
      <c r="M95" s="185">
        <f t="shared" si="69"/>
        <v>0</v>
      </c>
      <c r="N95" s="67">
        <f t="shared" si="70"/>
        <v>0</v>
      </c>
      <c r="O95" s="67">
        <f t="shared" si="71"/>
        <v>0</v>
      </c>
      <c r="P95" s="67">
        <f t="shared" si="72"/>
        <v>0</v>
      </c>
      <c r="Q95" s="24">
        <f t="shared" si="79"/>
        <v>0</v>
      </c>
      <c r="R95" s="24" t="e">
        <f>Deforestation!D8</f>
        <v>#DIV/0!</v>
      </c>
      <c r="S95" s="24" t="e">
        <f t="shared" si="80"/>
        <v>#DIV/0!</v>
      </c>
      <c r="T95" s="38" t="e">
        <f t="shared" si="81"/>
        <v>#DIV/0!</v>
      </c>
      <c r="U95" s="9">
        <v>0</v>
      </c>
      <c r="V95" s="9">
        <v>0</v>
      </c>
      <c r="W95" s="38" t="e">
        <f t="shared" si="82"/>
        <v>#DIV/0!</v>
      </c>
    </row>
    <row r="96" spans="1:24" x14ac:dyDescent="0.25">
      <c r="A96" t="str">
        <f t="shared" si="74"/>
        <v>Ben Arous</v>
      </c>
      <c r="B96" s="4"/>
      <c r="C96" s="64"/>
      <c r="D96" s="64"/>
      <c r="E96" s="64"/>
      <c r="F96" s="185">
        <f>'Percent-Soil-Carbon-Content'!L7*'Soil-errosion2'!L7</f>
        <v>0</v>
      </c>
      <c r="G96" s="185">
        <f>'Percent-Soil-Carbon-Content'!W7*'Soil-errosion2'!X7</f>
        <v>0</v>
      </c>
      <c r="H96" s="185">
        <f>'Percent-Soil-Carbon-Content'!AH7*'Soil-errosion2'!AJ7</f>
        <v>0</v>
      </c>
      <c r="I96" s="185">
        <f t="shared" si="75"/>
        <v>0</v>
      </c>
      <c r="J96" s="185">
        <f t="shared" si="76"/>
        <v>0</v>
      </c>
      <c r="K96" s="185">
        <f t="shared" si="77"/>
        <v>0</v>
      </c>
      <c r="L96" s="185">
        <f t="shared" si="78"/>
        <v>0</v>
      </c>
      <c r="M96" s="185">
        <f t="shared" si="69"/>
        <v>0</v>
      </c>
      <c r="N96" s="67">
        <f t="shared" si="70"/>
        <v>0</v>
      </c>
      <c r="O96" s="67">
        <f t="shared" si="71"/>
        <v>0</v>
      </c>
      <c r="P96" s="67">
        <f t="shared" si="72"/>
        <v>0</v>
      </c>
      <c r="Q96" s="24">
        <f t="shared" si="79"/>
        <v>0</v>
      </c>
      <c r="R96" s="24" t="e">
        <f>Deforestation!D9</f>
        <v>#DIV/0!</v>
      </c>
      <c r="S96" s="24" t="e">
        <f t="shared" si="80"/>
        <v>#DIV/0!</v>
      </c>
      <c r="T96" s="38" t="e">
        <f t="shared" si="81"/>
        <v>#DIV/0!</v>
      </c>
      <c r="U96" s="9">
        <v>0</v>
      </c>
      <c r="V96" s="9">
        <v>0</v>
      </c>
      <c r="W96" s="38" t="e">
        <f t="shared" si="82"/>
        <v>#DIV/0!</v>
      </c>
    </row>
    <row r="97" spans="1:23" x14ac:dyDescent="0.25">
      <c r="A97" t="str">
        <f t="shared" si="74"/>
        <v>Nabeul</v>
      </c>
      <c r="B97" s="4"/>
      <c r="C97" s="64"/>
      <c r="D97" s="64"/>
      <c r="E97" s="64"/>
      <c r="F97" s="185">
        <f>'Percent-Soil-Carbon-Content'!L8*'Soil-errosion2'!L8</f>
        <v>0</v>
      </c>
      <c r="G97" s="185">
        <f>'Percent-Soil-Carbon-Content'!W8*'Soil-errosion2'!X8</f>
        <v>0</v>
      </c>
      <c r="H97" s="185">
        <f>'Percent-Soil-Carbon-Content'!AH8*'Soil-errosion2'!AJ8</f>
        <v>0</v>
      </c>
      <c r="I97" s="185">
        <f t="shared" si="75"/>
        <v>0</v>
      </c>
      <c r="J97" s="185">
        <f t="shared" si="76"/>
        <v>0</v>
      </c>
      <c r="K97" s="185">
        <f t="shared" si="77"/>
        <v>0</v>
      </c>
      <c r="L97" s="185">
        <f t="shared" si="78"/>
        <v>0</v>
      </c>
      <c r="M97" s="185">
        <f t="shared" si="69"/>
        <v>0</v>
      </c>
      <c r="N97" s="67">
        <f t="shared" si="70"/>
        <v>0</v>
      </c>
      <c r="O97" s="67">
        <f t="shared" si="71"/>
        <v>0</v>
      </c>
      <c r="P97" s="67">
        <f t="shared" si="72"/>
        <v>0</v>
      </c>
      <c r="Q97" s="24">
        <f t="shared" si="79"/>
        <v>0</v>
      </c>
      <c r="R97" s="24" t="e">
        <f>Deforestation!D10</f>
        <v>#DIV/0!</v>
      </c>
      <c r="S97" s="24" t="e">
        <f t="shared" si="80"/>
        <v>#DIV/0!</v>
      </c>
      <c r="T97" s="38" t="e">
        <f t="shared" si="81"/>
        <v>#DIV/0!</v>
      </c>
      <c r="U97" s="9">
        <v>0</v>
      </c>
      <c r="V97" s="9">
        <v>0</v>
      </c>
      <c r="W97" s="38" t="e">
        <f t="shared" si="82"/>
        <v>#DIV/0!</v>
      </c>
    </row>
    <row r="98" spans="1:23" x14ac:dyDescent="0.25">
      <c r="A98" t="str">
        <f t="shared" si="74"/>
        <v>Bizerte</v>
      </c>
      <c r="B98" s="4"/>
      <c r="C98" s="64"/>
      <c r="D98" s="64"/>
      <c r="E98" s="64"/>
      <c r="F98" s="185">
        <f>'Percent-Soil-Carbon-Content'!L9*'Soil-errosion2'!L9</f>
        <v>0</v>
      </c>
      <c r="G98" s="185">
        <f>'Percent-Soil-Carbon-Content'!W9*'Soil-errosion2'!X9</f>
        <v>0</v>
      </c>
      <c r="H98" s="185">
        <f>'Percent-Soil-Carbon-Content'!AH9*'Soil-errosion2'!AJ9</f>
        <v>0</v>
      </c>
      <c r="I98" s="185">
        <f t="shared" si="75"/>
        <v>0</v>
      </c>
      <c r="J98" s="185">
        <f t="shared" si="76"/>
        <v>0</v>
      </c>
      <c r="K98" s="185">
        <f t="shared" si="77"/>
        <v>0</v>
      </c>
      <c r="L98" s="185">
        <f t="shared" si="78"/>
        <v>0</v>
      </c>
      <c r="M98" s="185">
        <f t="shared" si="69"/>
        <v>0</v>
      </c>
      <c r="N98" s="67">
        <f t="shared" si="70"/>
        <v>0</v>
      </c>
      <c r="O98" s="67">
        <f t="shared" si="71"/>
        <v>0</v>
      </c>
      <c r="P98" s="67">
        <f t="shared" si="72"/>
        <v>0</v>
      </c>
      <c r="Q98" s="24">
        <f t="shared" si="79"/>
        <v>0</v>
      </c>
      <c r="R98" s="24" t="e">
        <f>Deforestation!D11</f>
        <v>#DIV/0!</v>
      </c>
      <c r="S98" s="24" t="e">
        <f t="shared" si="80"/>
        <v>#DIV/0!</v>
      </c>
      <c r="T98" s="38" t="e">
        <f t="shared" si="81"/>
        <v>#DIV/0!</v>
      </c>
      <c r="U98" s="9">
        <v>0</v>
      </c>
      <c r="V98" s="9">
        <v>0</v>
      </c>
      <c r="W98" s="38" t="e">
        <f t="shared" si="82"/>
        <v>#DIV/0!</v>
      </c>
    </row>
    <row r="99" spans="1:23" x14ac:dyDescent="0.25">
      <c r="A99" t="str">
        <f t="shared" si="74"/>
        <v>Zaghouan</v>
      </c>
      <c r="B99" s="4"/>
      <c r="C99" s="64"/>
      <c r="D99" s="64"/>
      <c r="E99" s="64"/>
      <c r="F99" s="185">
        <f>'Percent-Soil-Carbon-Content'!L10*'Soil-errosion2'!L10</f>
        <v>0</v>
      </c>
      <c r="G99" s="185">
        <f>'Percent-Soil-Carbon-Content'!W10*'Soil-errosion2'!X10</f>
        <v>0</v>
      </c>
      <c r="H99" s="185">
        <f>'Percent-Soil-Carbon-Content'!AH10*'Soil-errosion2'!AJ10</f>
        <v>0</v>
      </c>
      <c r="I99" s="185">
        <f t="shared" si="75"/>
        <v>0</v>
      </c>
      <c r="J99" s="185">
        <f t="shared" si="76"/>
        <v>0</v>
      </c>
      <c r="K99" s="185">
        <f t="shared" si="77"/>
        <v>0</v>
      </c>
      <c r="L99" s="185">
        <f t="shared" si="78"/>
        <v>0</v>
      </c>
      <c r="M99" s="185">
        <f t="shared" si="69"/>
        <v>0</v>
      </c>
      <c r="N99" s="67">
        <f t="shared" si="70"/>
        <v>0</v>
      </c>
      <c r="O99" s="67">
        <f t="shared" si="71"/>
        <v>0</v>
      </c>
      <c r="P99" s="67">
        <f t="shared" si="72"/>
        <v>0</v>
      </c>
      <c r="Q99" s="24">
        <f t="shared" si="79"/>
        <v>0</v>
      </c>
      <c r="R99" s="24" t="e">
        <f>Deforestation!D12</f>
        <v>#DIV/0!</v>
      </c>
      <c r="S99" s="24" t="e">
        <f t="shared" si="80"/>
        <v>#DIV/0!</v>
      </c>
      <c r="T99" s="38" t="e">
        <f t="shared" si="81"/>
        <v>#DIV/0!</v>
      </c>
      <c r="U99" s="9">
        <v>0</v>
      </c>
      <c r="V99" s="9">
        <v>0</v>
      </c>
      <c r="W99" s="38" t="e">
        <f t="shared" si="82"/>
        <v>#DIV/0!</v>
      </c>
    </row>
    <row r="100" spans="1:23" x14ac:dyDescent="0.25">
      <c r="A100" t="str">
        <f t="shared" si="74"/>
        <v>Béja</v>
      </c>
      <c r="B100" s="4"/>
      <c r="C100" s="64"/>
      <c r="D100" s="64"/>
      <c r="E100" s="64"/>
      <c r="F100" s="185">
        <f>'Percent-Soil-Carbon-Content'!L11*'Soil-errosion2'!L11</f>
        <v>0</v>
      </c>
      <c r="G100" s="185">
        <f>'Percent-Soil-Carbon-Content'!W11*'Soil-errosion2'!X11</f>
        <v>0</v>
      </c>
      <c r="H100" s="185">
        <f>'Percent-Soil-Carbon-Content'!AH11*'Soil-errosion2'!AJ11</f>
        <v>0</v>
      </c>
      <c r="I100" s="185">
        <f t="shared" si="75"/>
        <v>0</v>
      </c>
      <c r="J100" s="185">
        <f t="shared" si="76"/>
        <v>0</v>
      </c>
      <c r="K100" s="185">
        <f t="shared" si="77"/>
        <v>0</v>
      </c>
      <c r="L100" s="185">
        <f t="shared" si="78"/>
        <v>0</v>
      </c>
      <c r="M100" s="185">
        <f t="shared" si="69"/>
        <v>0</v>
      </c>
      <c r="N100" s="67">
        <f t="shared" si="70"/>
        <v>0</v>
      </c>
      <c r="O100" s="67">
        <f t="shared" si="71"/>
        <v>0</v>
      </c>
      <c r="P100" s="67">
        <f t="shared" si="72"/>
        <v>0</v>
      </c>
      <c r="Q100" s="24">
        <f t="shared" si="79"/>
        <v>0</v>
      </c>
      <c r="R100" s="24" t="e">
        <f>Deforestation!D13</f>
        <v>#DIV/0!</v>
      </c>
      <c r="S100" s="24" t="e">
        <f t="shared" si="80"/>
        <v>#DIV/0!</v>
      </c>
      <c r="T100" s="38" t="e">
        <f t="shared" si="81"/>
        <v>#DIV/0!</v>
      </c>
      <c r="U100" s="9">
        <v>0</v>
      </c>
      <c r="V100" s="9">
        <v>0</v>
      </c>
      <c r="W100" s="38" t="e">
        <f t="shared" si="82"/>
        <v>#DIV/0!</v>
      </c>
    </row>
    <row r="101" spans="1:23" x14ac:dyDescent="0.25">
      <c r="A101" t="str">
        <f t="shared" si="74"/>
        <v>Jendouba</v>
      </c>
      <c r="B101" s="4"/>
      <c r="C101" s="64"/>
      <c r="D101" s="64"/>
      <c r="E101" s="64"/>
      <c r="F101" s="185">
        <f>'Percent-Soil-Carbon-Content'!L12*'Soil-errosion2'!L12</f>
        <v>0</v>
      </c>
      <c r="G101" s="185">
        <f>'Percent-Soil-Carbon-Content'!W12*'Soil-errosion2'!X12</f>
        <v>0</v>
      </c>
      <c r="H101" s="185">
        <f>'Percent-Soil-Carbon-Content'!AH12*'Soil-errosion2'!AJ12</f>
        <v>0</v>
      </c>
      <c r="I101" s="185">
        <f t="shared" si="75"/>
        <v>0</v>
      </c>
      <c r="J101" s="185">
        <f t="shared" si="76"/>
        <v>0</v>
      </c>
      <c r="K101" s="185">
        <f t="shared" si="77"/>
        <v>0</v>
      </c>
      <c r="L101" s="185">
        <f t="shared" si="78"/>
        <v>0</v>
      </c>
      <c r="M101" s="185">
        <f t="shared" si="69"/>
        <v>0</v>
      </c>
      <c r="N101" s="67">
        <f t="shared" si="70"/>
        <v>0</v>
      </c>
      <c r="O101" s="67">
        <f t="shared" si="71"/>
        <v>0</v>
      </c>
      <c r="P101" s="67">
        <f t="shared" si="72"/>
        <v>0</v>
      </c>
      <c r="Q101" s="24">
        <f t="shared" si="79"/>
        <v>0</v>
      </c>
      <c r="R101" s="24" t="e">
        <f>Deforestation!D14</f>
        <v>#DIV/0!</v>
      </c>
      <c r="S101" s="24" t="e">
        <f t="shared" si="80"/>
        <v>#DIV/0!</v>
      </c>
      <c r="T101" s="38" t="e">
        <f t="shared" si="81"/>
        <v>#DIV/0!</v>
      </c>
      <c r="U101" s="9">
        <v>0</v>
      </c>
      <c r="V101" s="9">
        <v>0</v>
      </c>
      <c r="W101" s="38" t="e">
        <f t="shared" si="82"/>
        <v>#DIV/0!</v>
      </c>
    </row>
    <row r="102" spans="1:23" x14ac:dyDescent="0.25">
      <c r="A102" t="str">
        <f t="shared" si="74"/>
        <v>Le Kef</v>
      </c>
      <c r="B102" s="4"/>
      <c r="C102" s="64"/>
      <c r="D102" s="64"/>
      <c r="E102" s="64"/>
      <c r="F102" s="185">
        <f>'Percent-Soil-Carbon-Content'!L13*'Soil-errosion2'!L13</f>
        <v>0</v>
      </c>
      <c r="G102" s="185">
        <f>'Percent-Soil-Carbon-Content'!W13*'Soil-errosion2'!X13</f>
        <v>0</v>
      </c>
      <c r="H102" s="185">
        <f>'Percent-Soil-Carbon-Content'!AH13*'Soil-errosion2'!AJ13</f>
        <v>0</v>
      </c>
      <c r="I102" s="185">
        <f t="shared" si="75"/>
        <v>0</v>
      </c>
      <c r="J102" s="185">
        <f t="shared" si="76"/>
        <v>0</v>
      </c>
      <c r="K102" s="185">
        <f t="shared" si="77"/>
        <v>0</v>
      </c>
      <c r="L102" s="185">
        <f t="shared" si="78"/>
        <v>0</v>
      </c>
      <c r="M102" s="185">
        <f t="shared" si="69"/>
        <v>0</v>
      </c>
      <c r="N102" s="67">
        <f t="shared" si="70"/>
        <v>0</v>
      </c>
      <c r="O102" s="67">
        <f t="shared" si="71"/>
        <v>0</v>
      </c>
      <c r="P102" s="67">
        <f t="shared" si="72"/>
        <v>0</v>
      </c>
      <c r="Q102" s="24">
        <f t="shared" si="79"/>
        <v>0</v>
      </c>
      <c r="R102" s="24" t="e">
        <f>Deforestation!D15</f>
        <v>#DIV/0!</v>
      </c>
      <c r="S102" s="24" t="e">
        <f t="shared" si="80"/>
        <v>#DIV/0!</v>
      </c>
      <c r="T102" s="38" t="e">
        <f t="shared" si="81"/>
        <v>#DIV/0!</v>
      </c>
      <c r="U102" s="9">
        <v>0</v>
      </c>
      <c r="V102" s="9">
        <v>0</v>
      </c>
      <c r="W102" s="38" t="e">
        <f t="shared" si="82"/>
        <v>#DIV/0!</v>
      </c>
    </row>
    <row r="103" spans="1:23" x14ac:dyDescent="0.25">
      <c r="A103" t="str">
        <f t="shared" si="74"/>
        <v>Siliana</v>
      </c>
      <c r="B103" s="4"/>
      <c r="C103" s="64"/>
      <c r="D103" s="64"/>
      <c r="E103" s="64"/>
      <c r="F103" s="185">
        <f>'Percent-Soil-Carbon-Content'!L14*'Soil-errosion2'!L14</f>
        <v>0</v>
      </c>
      <c r="G103" s="185">
        <f>'Percent-Soil-Carbon-Content'!W14*'Soil-errosion2'!X14</f>
        <v>0</v>
      </c>
      <c r="H103" s="185">
        <f>'Percent-Soil-Carbon-Content'!AH14*'Soil-errosion2'!AJ14</f>
        <v>0</v>
      </c>
      <c r="I103" s="185">
        <f t="shared" si="75"/>
        <v>0</v>
      </c>
      <c r="J103" s="185">
        <f t="shared" si="76"/>
        <v>0</v>
      </c>
      <c r="K103" s="185">
        <f t="shared" si="77"/>
        <v>0</v>
      </c>
      <c r="L103" s="185">
        <f t="shared" si="78"/>
        <v>0</v>
      </c>
      <c r="M103" s="185">
        <f t="shared" si="69"/>
        <v>0</v>
      </c>
      <c r="N103" s="67">
        <f t="shared" si="70"/>
        <v>0</v>
      </c>
      <c r="O103" s="67">
        <f t="shared" si="71"/>
        <v>0</v>
      </c>
      <c r="P103" s="67">
        <f t="shared" si="72"/>
        <v>0</v>
      </c>
      <c r="Q103" s="24">
        <f t="shared" si="79"/>
        <v>0</v>
      </c>
      <c r="R103" s="24" t="e">
        <f>Deforestation!D16</f>
        <v>#DIV/0!</v>
      </c>
      <c r="S103" s="24" t="e">
        <f t="shared" si="80"/>
        <v>#DIV/0!</v>
      </c>
      <c r="T103" s="38" t="e">
        <f t="shared" si="81"/>
        <v>#DIV/0!</v>
      </c>
      <c r="U103" s="9">
        <v>0</v>
      </c>
      <c r="V103" s="9">
        <v>0</v>
      </c>
      <c r="W103" s="38" t="e">
        <f t="shared" si="82"/>
        <v>#DIV/0!</v>
      </c>
    </row>
    <row r="104" spans="1:23" x14ac:dyDescent="0.25">
      <c r="A104" t="str">
        <f t="shared" si="74"/>
        <v>Sousse</v>
      </c>
      <c r="B104" s="4"/>
      <c r="C104" s="64"/>
      <c r="D104" s="64"/>
      <c r="E104" s="64"/>
      <c r="F104" s="185">
        <f>'Percent-Soil-Carbon-Content'!L15*'Soil-errosion2'!L15</f>
        <v>0</v>
      </c>
      <c r="G104" s="185">
        <f>'Percent-Soil-Carbon-Content'!W15*'Soil-errosion2'!X15</f>
        <v>0</v>
      </c>
      <c r="H104" s="185">
        <f>'Percent-Soil-Carbon-Content'!AH15*'Soil-errosion2'!AJ15</f>
        <v>0</v>
      </c>
      <c r="I104" s="185">
        <f t="shared" si="75"/>
        <v>0</v>
      </c>
      <c r="J104" s="185">
        <f t="shared" si="76"/>
        <v>0</v>
      </c>
      <c r="K104" s="185">
        <f t="shared" si="77"/>
        <v>0</v>
      </c>
      <c r="L104" s="185">
        <f t="shared" si="78"/>
        <v>0</v>
      </c>
      <c r="M104" s="185">
        <f t="shared" si="69"/>
        <v>0</v>
      </c>
      <c r="N104" s="67">
        <f t="shared" si="70"/>
        <v>0</v>
      </c>
      <c r="O104" s="67">
        <f t="shared" si="71"/>
        <v>0</v>
      </c>
      <c r="P104" s="67">
        <f t="shared" si="72"/>
        <v>0</v>
      </c>
      <c r="Q104" s="24">
        <f t="shared" si="79"/>
        <v>0</v>
      </c>
      <c r="R104" s="24" t="e">
        <f>Deforestation!D17</f>
        <v>#DIV/0!</v>
      </c>
      <c r="S104" s="24" t="e">
        <f t="shared" si="80"/>
        <v>#DIV/0!</v>
      </c>
      <c r="T104" s="38" t="e">
        <f t="shared" si="81"/>
        <v>#DIV/0!</v>
      </c>
      <c r="U104" s="9">
        <v>0</v>
      </c>
      <c r="V104" s="9">
        <v>0</v>
      </c>
      <c r="W104" s="38" t="e">
        <f t="shared" si="82"/>
        <v>#DIV/0!</v>
      </c>
    </row>
    <row r="105" spans="1:23" x14ac:dyDescent="0.25">
      <c r="A105" t="str">
        <f t="shared" si="74"/>
        <v>Monastir</v>
      </c>
      <c r="B105" s="4"/>
      <c r="C105" s="64"/>
      <c r="D105" s="64"/>
      <c r="E105" s="64"/>
      <c r="F105" s="185">
        <f>'Percent-Soil-Carbon-Content'!L16*'Soil-errosion2'!L16</f>
        <v>0</v>
      </c>
      <c r="G105" s="185">
        <f>'Percent-Soil-Carbon-Content'!W16*'Soil-errosion2'!X16</f>
        <v>0</v>
      </c>
      <c r="H105" s="185">
        <f>'Percent-Soil-Carbon-Content'!AH16*'Soil-errosion2'!AJ16</f>
        <v>0</v>
      </c>
      <c r="I105" s="185">
        <f t="shared" si="75"/>
        <v>0</v>
      </c>
      <c r="J105" s="185">
        <f t="shared" si="76"/>
        <v>0</v>
      </c>
      <c r="K105" s="185">
        <f t="shared" si="77"/>
        <v>0</v>
      </c>
      <c r="L105" s="185">
        <f t="shared" si="78"/>
        <v>0</v>
      </c>
      <c r="M105" s="185">
        <f t="shared" si="69"/>
        <v>0</v>
      </c>
      <c r="N105" s="67">
        <f t="shared" si="70"/>
        <v>0</v>
      </c>
      <c r="O105" s="67">
        <f t="shared" si="71"/>
        <v>0</v>
      </c>
      <c r="P105" s="67">
        <f t="shared" si="72"/>
        <v>0</v>
      </c>
      <c r="Q105" s="24">
        <f t="shared" si="79"/>
        <v>0</v>
      </c>
      <c r="R105" s="24" t="e">
        <f>Deforestation!D18</f>
        <v>#DIV/0!</v>
      </c>
      <c r="S105" s="24" t="e">
        <f t="shared" si="80"/>
        <v>#DIV/0!</v>
      </c>
      <c r="T105" s="38" t="e">
        <f t="shared" si="81"/>
        <v>#DIV/0!</v>
      </c>
      <c r="U105" s="9">
        <v>0</v>
      </c>
      <c r="V105" s="9">
        <v>0</v>
      </c>
      <c r="W105" s="38" t="e">
        <f t="shared" si="82"/>
        <v>#DIV/0!</v>
      </c>
    </row>
    <row r="106" spans="1:23" x14ac:dyDescent="0.25">
      <c r="A106" t="str">
        <f t="shared" si="74"/>
        <v>Mahdia</v>
      </c>
      <c r="B106" s="4"/>
      <c r="C106" s="64"/>
      <c r="D106" s="64"/>
      <c r="E106" s="64"/>
      <c r="F106" s="185">
        <f>'Percent-Soil-Carbon-Content'!L17*'Soil-errosion2'!L17</f>
        <v>0</v>
      </c>
      <c r="G106" s="185">
        <f>'Percent-Soil-Carbon-Content'!W17*'Soil-errosion2'!X17</f>
        <v>0</v>
      </c>
      <c r="H106" s="185">
        <f>'Percent-Soil-Carbon-Content'!AH17*'Soil-errosion2'!AJ17</f>
        <v>0</v>
      </c>
      <c r="I106" s="185">
        <f t="shared" si="75"/>
        <v>0</v>
      </c>
      <c r="J106" s="185">
        <f t="shared" si="76"/>
        <v>0</v>
      </c>
      <c r="K106" s="185">
        <f t="shared" si="77"/>
        <v>0</v>
      </c>
      <c r="L106" s="185">
        <f t="shared" si="78"/>
        <v>0</v>
      </c>
      <c r="M106" s="185">
        <f t="shared" si="69"/>
        <v>0</v>
      </c>
      <c r="N106" s="67">
        <f t="shared" si="70"/>
        <v>0</v>
      </c>
      <c r="O106" s="67">
        <f t="shared" si="71"/>
        <v>0</v>
      </c>
      <c r="P106" s="67">
        <f t="shared" si="72"/>
        <v>0</v>
      </c>
      <c r="Q106" s="24">
        <f t="shared" si="79"/>
        <v>0</v>
      </c>
      <c r="R106" s="24" t="e">
        <f>Deforestation!D19</f>
        <v>#DIV/0!</v>
      </c>
      <c r="S106" s="24" t="e">
        <f t="shared" si="80"/>
        <v>#DIV/0!</v>
      </c>
      <c r="T106" s="38" t="e">
        <f t="shared" si="81"/>
        <v>#DIV/0!</v>
      </c>
      <c r="U106" s="9">
        <v>0</v>
      </c>
      <c r="V106" s="9">
        <v>0</v>
      </c>
      <c r="W106" s="38" t="e">
        <f t="shared" si="82"/>
        <v>#DIV/0!</v>
      </c>
    </row>
    <row r="107" spans="1:23" x14ac:dyDescent="0.25">
      <c r="A107" t="str">
        <f t="shared" si="74"/>
        <v>Sfax</v>
      </c>
      <c r="B107" s="4"/>
      <c r="C107" s="64"/>
      <c r="D107" s="64"/>
      <c r="E107" s="64"/>
      <c r="F107" s="185">
        <f>'Percent-Soil-Carbon-Content'!L18*'Soil-errosion2'!L18</f>
        <v>0</v>
      </c>
      <c r="G107" s="185">
        <f>'Percent-Soil-Carbon-Content'!W18*'Soil-errosion2'!X18</f>
        <v>0</v>
      </c>
      <c r="H107" s="185">
        <f>'Percent-Soil-Carbon-Content'!AH18*'Soil-errosion2'!AJ18</f>
        <v>0</v>
      </c>
      <c r="I107" s="185">
        <f t="shared" si="75"/>
        <v>0</v>
      </c>
      <c r="J107" s="185">
        <f t="shared" si="76"/>
        <v>0</v>
      </c>
      <c r="K107" s="185">
        <f t="shared" si="77"/>
        <v>0</v>
      </c>
      <c r="L107" s="185">
        <f t="shared" si="78"/>
        <v>0</v>
      </c>
      <c r="M107" s="185">
        <f t="shared" si="69"/>
        <v>0</v>
      </c>
      <c r="N107" s="67">
        <f t="shared" si="70"/>
        <v>0</v>
      </c>
      <c r="O107" s="67">
        <f t="shared" si="71"/>
        <v>0</v>
      </c>
      <c r="P107" s="67">
        <f t="shared" si="72"/>
        <v>0</v>
      </c>
      <c r="Q107" s="24">
        <f t="shared" si="79"/>
        <v>0</v>
      </c>
      <c r="R107" s="24" t="e">
        <f>Deforestation!D20</f>
        <v>#DIV/0!</v>
      </c>
      <c r="S107" s="24" t="e">
        <f t="shared" si="80"/>
        <v>#DIV/0!</v>
      </c>
      <c r="T107" s="38" t="e">
        <f t="shared" si="81"/>
        <v>#DIV/0!</v>
      </c>
      <c r="U107" s="9">
        <v>0</v>
      </c>
      <c r="V107" s="9">
        <v>0</v>
      </c>
      <c r="W107" s="38" t="e">
        <f t="shared" si="82"/>
        <v>#DIV/0!</v>
      </c>
    </row>
    <row r="108" spans="1:23" x14ac:dyDescent="0.25">
      <c r="A108" t="str">
        <f t="shared" si="74"/>
        <v>Kairouan</v>
      </c>
      <c r="B108" s="4"/>
      <c r="C108" s="64"/>
      <c r="D108" s="64"/>
      <c r="E108" s="64"/>
      <c r="F108" s="185">
        <f>'Percent-Soil-Carbon-Content'!L19*'Soil-errosion2'!L19</f>
        <v>0</v>
      </c>
      <c r="G108" s="185">
        <f>'Percent-Soil-Carbon-Content'!W19*'Soil-errosion2'!X19</f>
        <v>0</v>
      </c>
      <c r="H108" s="185">
        <f>'Percent-Soil-Carbon-Content'!AH19*'Soil-errosion2'!AJ19</f>
        <v>0</v>
      </c>
      <c r="I108" s="185">
        <f t="shared" si="75"/>
        <v>0</v>
      </c>
      <c r="J108" s="185">
        <f t="shared" si="76"/>
        <v>0</v>
      </c>
      <c r="K108" s="185">
        <f t="shared" si="77"/>
        <v>0</v>
      </c>
      <c r="L108" s="185">
        <f t="shared" si="78"/>
        <v>0</v>
      </c>
      <c r="M108" s="185">
        <f t="shared" si="69"/>
        <v>0</v>
      </c>
      <c r="N108" s="67">
        <f t="shared" si="70"/>
        <v>0</v>
      </c>
      <c r="O108" s="67">
        <f t="shared" si="71"/>
        <v>0</v>
      </c>
      <c r="P108" s="67">
        <f t="shared" si="72"/>
        <v>0</v>
      </c>
      <c r="Q108" s="24">
        <f t="shared" si="79"/>
        <v>0</v>
      </c>
      <c r="R108" s="24" t="e">
        <f>Deforestation!D21</f>
        <v>#DIV/0!</v>
      </c>
      <c r="S108" s="24" t="e">
        <f t="shared" si="80"/>
        <v>#DIV/0!</v>
      </c>
      <c r="T108" s="38" t="e">
        <f t="shared" si="81"/>
        <v>#DIV/0!</v>
      </c>
      <c r="U108" s="9">
        <v>0</v>
      </c>
      <c r="V108" s="9">
        <v>0</v>
      </c>
      <c r="W108" s="38" t="e">
        <f t="shared" si="82"/>
        <v>#DIV/0!</v>
      </c>
    </row>
    <row r="109" spans="1:23" x14ac:dyDescent="0.25">
      <c r="A109" t="str">
        <f t="shared" si="74"/>
        <v>Kasserine</v>
      </c>
      <c r="B109" s="4"/>
      <c r="C109" s="64"/>
      <c r="D109" s="64"/>
      <c r="E109" s="64"/>
      <c r="F109" s="185">
        <f>'Percent-Soil-Carbon-Content'!L20*'Soil-errosion2'!L20</f>
        <v>0</v>
      </c>
      <c r="G109" s="185">
        <f>'Percent-Soil-Carbon-Content'!W20*'Soil-errosion2'!X20</f>
        <v>0</v>
      </c>
      <c r="H109" s="185">
        <f>'Percent-Soil-Carbon-Content'!AH20*'Soil-errosion2'!AJ20</f>
        <v>0</v>
      </c>
      <c r="I109" s="185">
        <f t="shared" si="75"/>
        <v>0</v>
      </c>
      <c r="J109" s="185">
        <f t="shared" si="76"/>
        <v>0</v>
      </c>
      <c r="K109" s="185">
        <f t="shared" si="77"/>
        <v>0</v>
      </c>
      <c r="L109" s="185">
        <f t="shared" si="78"/>
        <v>0</v>
      </c>
      <c r="M109" s="185">
        <f t="shared" si="69"/>
        <v>0</v>
      </c>
      <c r="N109" s="67">
        <f t="shared" si="70"/>
        <v>0</v>
      </c>
      <c r="O109" s="67">
        <f t="shared" si="71"/>
        <v>0</v>
      </c>
      <c r="P109" s="67">
        <f t="shared" si="72"/>
        <v>0</v>
      </c>
      <c r="Q109" s="24">
        <f t="shared" si="79"/>
        <v>0</v>
      </c>
      <c r="R109" s="24" t="e">
        <f>Deforestation!D22</f>
        <v>#DIV/0!</v>
      </c>
      <c r="S109" s="24" t="e">
        <f t="shared" si="80"/>
        <v>#DIV/0!</v>
      </c>
      <c r="T109" s="38" t="e">
        <f t="shared" si="81"/>
        <v>#DIV/0!</v>
      </c>
      <c r="U109" s="9">
        <v>0</v>
      </c>
      <c r="V109" s="9">
        <v>0</v>
      </c>
      <c r="W109" s="38" t="e">
        <f t="shared" si="82"/>
        <v>#DIV/0!</v>
      </c>
    </row>
    <row r="110" spans="1:23" x14ac:dyDescent="0.25">
      <c r="A110" t="str">
        <f t="shared" si="74"/>
        <v>Sidi Bouzid</v>
      </c>
      <c r="B110" s="4"/>
      <c r="C110" s="64"/>
      <c r="D110" s="64"/>
      <c r="E110" s="64"/>
      <c r="F110" s="185">
        <f>'Percent-Soil-Carbon-Content'!L21*'Soil-errosion2'!L21</f>
        <v>0</v>
      </c>
      <c r="G110" s="185">
        <f>'Percent-Soil-Carbon-Content'!W21*'Soil-errosion2'!X21</f>
        <v>0</v>
      </c>
      <c r="H110" s="185">
        <f>'Percent-Soil-Carbon-Content'!AH21*'Soil-errosion2'!AJ21</f>
        <v>0</v>
      </c>
      <c r="I110" s="185">
        <f t="shared" si="75"/>
        <v>0</v>
      </c>
      <c r="J110" s="185">
        <f t="shared" si="76"/>
        <v>0</v>
      </c>
      <c r="K110" s="185">
        <f t="shared" si="77"/>
        <v>0</v>
      </c>
      <c r="L110" s="185">
        <f t="shared" si="78"/>
        <v>0</v>
      </c>
      <c r="M110" s="185">
        <f t="shared" si="69"/>
        <v>0</v>
      </c>
      <c r="N110" s="67">
        <f t="shared" si="70"/>
        <v>0</v>
      </c>
      <c r="O110" s="67">
        <f t="shared" si="71"/>
        <v>0</v>
      </c>
      <c r="P110" s="67">
        <f t="shared" si="72"/>
        <v>0</v>
      </c>
      <c r="Q110" s="24">
        <f t="shared" si="79"/>
        <v>0</v>
      </c>
      <c r="R110" s="24" t="e">
        <f>Deforestation!D23</f>
        <v>#DIV/0!</v>
      </c>
      <c r="S110" s="24" t="e">
        <f t="shared" si="80"/>
        <v>#DIV/0!</v>
      </c>
      <c r="T110" s="38" t="e">
        <f t="shared" si="81"/>
        <v>#DIV/0!</v>
      </c>
      <c r="U110" s="9">
        <v>0</v>
      </c>
      <c r="V110" s="9">
        <v>0</v>
      </c>
      <c r="W110" s="38" t="e">
        <f t="shared" si="82"/>
        <v>#DIV/0!</v>
      </c>
    </row>
    <row r="111" spans="1:23" x14ac:dyDescent="0.25">
      <c r="A111" t="str">
        <f t="shared" si="74"/>
        <v>Gafsa</v>
      </c>
      <c r="B111" s="4"/>
      <c r="C111" s="64"/>
      <c r="D111" s="64"/>
      <c r="E111" s="64"/>
      <c r="F111" s="185">
        <f>'Percent-Soil-Carbon-Content'!L22*'Soil-errosion2'!L22</f>
        <v>0</v>
      </c>
      <c r="G111" s="185">
        <f>'Percent-Soil-Carbon-Content'!W22*'Soil-errosion2'!X22</f>
        <v>0</v>
      </c>
      <c r="H111" s="185">
        <f>'Percent-Soil-Carbon-Content'!AH22*'Soil-errosion2'!AJ22</f>
        <v>0</v>
      </c>
      <c r="I111" s="185">
        <f t="shared" si="75"/>
        <v>0</v>
      </c>
      <c r="J111" s="185">
        <f t="shared" si="76"/>
        <v>0</v>
      </c>
      <c r="K111" s="185">
        <f t="shared" si="77"/>
        <v>0</v>
      </c>
      <c r="L111" s="185">
        <f t="shared" si="78"/>
        <v>0</v>
      </c>
      <c r="M111" s="185">
        <f t="shared" si="69"/>
        <v>0</v>
      </c>
      <c r="N111" s="67">
        <f t="shared" si="70"/>
        <v>0</v>
      </c>
      <c r="O111" s="67">
        <f t="shared" si="71"/>
        <v>0</v>
      </c>
      <c r="P111" s="67">
        <f t="shared" si="72"/>
        <v>0</v>
      </c>
      <c r="Q111" s="24">
        <f t="shared" si="79"/>
        <v>0</v>
      </c>
      <c r="R111" s="24" t="e">
        <f>Deforestation!D24</f>
        <v>#DIV/0!</v>
      </c>
      <c r="S111" s="24" t="e">
        <f t="shared" si="80"/>
        <v>#DIV/0!</v>
      </c>
      <c r="T111" s="38" t="e">
        <f t="shared" si="81"/>
        <v>#DIV/0!</v>
      </c>
      <c r="U111" s="9">
        <v>0</v>
      </c>
      <c r="V111" s="9">
        <v>0</v>
      </c>
      <c r="W111" s="38" t="e">
        <f t="shared" si="82"/>
        <v>#DIV/0!</v>
      </c>
    </row>
    <row r="112" spans="1:23" x14ac:dyDescent="0.25">
      <c r="A112" t="str">
        <f t="shared" si="74"/>
        <v>Gabès</v>
      </c>
      <c r="B112" s="4"/>
      <c r="C112" s="64"/>
      <c r="D112" s="64"/>
      <c r="E112" s="64"/>
      <c r="F112" s="185">
        <f>'Percent-Soil-Carbon-Content'!L23*'Soil-errosion2'!L23</f>
        <v>0</v>
      </c>
      <c r="G112" s="185">
        <f>'Percent-Soil-Carbon-Content'!W23*'Soil-errosion2'!X23</f>
        <v>0</v>
      </c>
      <c r="H112" s="185">
        <f>'Percent-Soil-Carbon-Content'!AH23*'Soil-errosion2'!AJ23</f>
        <v>0</v>
      </c>
      <c r="I112" s="185">
        <f t="shared" si="75"/>
        <v>0</v>
      </c>
      <c r="J112" s="185">
        <f t="shared" si="76"/>
        <v>0</v>
      </c>
      <c r="K112" s="185">
        <f t="shared" si="77"/>
        <v>0</v>
      </c>
      <c r="L112" s="185">
        <f t="shared" si="78"/>
        <v>0</v>
      </c>
      <c r="M112" s="185">
        <f t="shared" si="69"/>
        <v>0</v>
      </c>
      <c r="N112" s="67">
        <f t="shared" si="70"/>
        <v>0</v>
      </c>
      <c r="O112" s="67">
        <f t="shared" si="71"/>
        <v>0</v>
      </c>
      <c r="P112" s="67">
        <f t="shared" si="72"/>
        <v>0</v>
      </c>
      <c r="Q112" s="24">
        <f t="shared" si="79"/>
        <v>0</v>
      </c>
      <c r="R112" s="24" t="e">
        <f>Deforestation!D25</f>
        <v>#DIV/0!</v>
      </c>
      <c r="S112" s="24" t="e">
        <f t="shared" si="80"/>
        <v>#DIV/0!</v>
      </c>
      <c r="T112" s="38" t="e">
        <f t="shared" si="81"/>
        <v>#DIV/0!</v>
      </c>
      <c r="U112" s="9">
        <v>0</v>
      </c>
      <c r="V112" s="9">
        <v>0</v>
      </c>
      <c r="W112" s="38" t="e">
        <f t="shared" si="82"/>
        <v>#DIV/0!</v>
      </c>
    </row>
    <row r="113" spans="1:24" x14ac:dyDescent="0.25">
      <c r="A113" t="str">
        <f t="shared" si="74"/>
        <v>Médenine</v>
      </c>
      <c r="B113" s="4"/>
      <c r="C113" s="64"/>
      <c r="D113" s="64"/>
      <c r="E113" s="64"/>
      <c r="F113" s="185">
        <f>'Percent-Soil-Carbon-Content'!L24*'Soil-errosion2'!L24</f>
        <v>0</v>
      </c>
      <c r="G113" s="185">
        <f>'Percent-Soil-Carbon-Content'!W24*'Soil-errosion2'!X24</f>
        <v>0</v>
      </c>
      <c r="H113" s="185">
        <f>'Percent-Soil-Carbon-Content'!AH24*'Soil-errosion2'!AJ24</f>
        <v>0</v>
      </c>
      <c r="I113" s="185">
        <f t="shared" si="75"/>
        <v>0</v>
      </c>
      <c r="J113" s="185">
        <f t="shared" si="76"/>
        <v>0</v>
      </c>
      <c r="K113" s="185">
        <f t="shared" si="77"/>
        <v>0</v>
      </c>
      <c r="L113" s="185">
        <f t="shared" si="78"/>
        <v>0</v>
      </c>
      <c r="M113" s="185">
        <f t="shared" si="69"/>
        <v>0</v>
      </c>
      <c r="N113" s="67">
        <f t="shared" si="70"/>
        <v>0</v>
      </c>
      <c r="O113" s="67">
        <f t="shared" si="71"/>
        <v>0</v>
      </c>
      <c r="P113" s="67">
        <f t="shared" si="72"/>
        <v>0</v>
      </c>
      <c r="Q113" s="24">
        <f t="shared" si="79"/>
        <v>0</v>
      </c>
      <c r="R113" s="24" t="e">
        <f>Deforestation!D26</f>
        <v>#DIV/0!</v>
      </c>
      <c r="S113" s="24" t="e">
        <f t="shared" si="80"/>
        <v>#DIV/0!</v>
      </c>
      <c r="T113" s="38" t="e">
        <f t="shared" si="81"/>
        <v>#DIV/0!</v>
      </c>
      <c r="U113" s="9">
        <v>0</v>
      </c>
      <c r="V113" s="9">
        <v>0</v>
      </c>
      <c r="W113" s="38" t="e">
        <f t="shared" si="82"/>
        <v>#DIV/0!</v>
      </c>
    </row>
    <row r="114" spans="1:24" x14ac:dyDescent="0.25">
      <c r="A114" t="str">
        <f t="shared" si="74"/>
        <v>Tataouine</v>
      </c>
      <c r="B114" s="4"/>
      <c r="C114" s="64"/>
      <c r="D114" s="64"/>
      <c r="E114" s="64"/>
      <c r="F114" s="185">
        <f>'Percent-Soil-Carbon-Content'!L25*'Soil-errosion2'!L25</f>
        <v>0</v>
      </c>
      <c r="G114" s="185">
        <f>'Percent-Soil-Carbon-Content'!W25*'Soil-errosion2'!X25</f>
        <v>0</v>
      </c>
      <c r="H114" s="185">
        <f>'Percent-Soil-Carbon-Content'!AH25*'Soil-errosion2'!AJ25</f>
        <v>0</v>
      </c>
      <c r="I114" s="185">
        <f t="shared" si="75"/>
        <v>0</v>
      </c>
      <c r="J114" s="185">
        <f t="shared" si="76"/>
        <v>0</v>
      </c>
      <c r="K114" s="185">
        <f t="shared" si="77"/>
        <v>0</v>
      </c>
      <c r="L114" s="185">
        <f t="shared" si="78"/>
        <v>0</v>
      </c>
      <c r="M114" s="185">
        <f t="shared" si="69"/>
        <v>0</v>
      </c>
      <c r="N114" s="67">
        <f t="shared" si="70"/>
        <v>0</v>
      </c>
      <c r="O114" s="67">
        <f t="shared" si="71"/>
        <v>0</v>
      </c>
      <c r="P114" s="67">
        <f t="shared" si="72"/>
        <v>0</v>
      </c>
      <c r="Q114" s="24">
        <f t="shared" si="79"/>
        <v>0</v>
      </c>
      <c r="R114" s="24" t="e">
        <f>Deforestation!D27</f>
        <v>#DIV/0!</v>
      </c>
      <c r="S114" s="24" t="e">
        <f t="shared" si="80"/>
        <v>#DIV/0!</v>
      </c>
      <c r="T114" s="38" t="e">
        <f t="shared" si="81"/>
        <v>#DIV/0!</v>
      </c>
      <c r="U114" s="9">
        <v>0</v>
      </c>
      <c r="V114" s="9">
        <v>0</v>
      </c>
      <c r="W114" s="38" t="e">
        <f t="shared" si="82"/>
        <v>#DIV/0!</v>
      </c>
    </row>
    <row r="115" spans="1:24" x14ac:dyDescent="0.25">
      <c r="A115" t="str">
        <f t="shared" si="74"/>
        <v>Tozeur</v>
      </c>
      <c r="B115" s="4"/>
      <c r="C115" s="64"/>
      <c r="D115" s="64"/>
      <c r="E115" s="64"/>
      <c r="F115" s="185">
        <f>'Percent-Soil-Carbon-Content'!L26*'Soil-errosion2'!L26</f>
        <v>0</v>
      </c>
      <c r="G115" s="185">
        <f>'Percent-Soil-Carbon-Content'!W26*'Soil-errosion2'!X26</f>
        <v>0</v>
      </c>
      <c r="H115" s="185">
        <f>'Percent-Soil-Carbon-Content'!AH26*'Soil-errosion2'!AJ26</f>
        <v>0</v>
      </c>
      <c r="I115" s="185">
        <f t="shared" si="75"/>
        <v>0</v>
      </c>
      <c r="J115" s="185">
        <f t="shared" si="76"/>
        <v>0</v>
      </c>
      <c r="K115" s="185">
        <f t="shared" si="77"/>
        <v>0</v>
      </c>
      <c r="L115" s="185">
        <f t="shared" si="78"/>
        <v>0</v>
      </c>
      <c r="M115" s="185">
        <f t="shared" si="69"/>
        <v>0</v>
      </c>
      <c r="N115" s="67">
        <f t="shared" si="70"/>
        <v>0</v>
      </c>
      <c r="O115" s="67">
        <f t="shared" si="71"/>
        <v>0</v>
      </c>
      <c r="P115" s="67">
        <f t="shared" si="72"/>
        <v>0</v>
      </c>
      <c r="Q115" s="24">
        <f t="shared" si="79"/>
        <v>0</v>
      </c>
      <c r="R115" s="24" t="e">
        <f>Deforestation!D28</f>
        <v>#DIV/0!</v>
      </c>
      <c r="S115" s="24" t="e">
        <f t="shared" si="80"/>
        <v>#DIV/0!</v>
      </c>
      <c r="T115" s="38" t="e">
        <f t="shared" si="81"/>
        <v>#DIV/0!</v>
      </c>
      <c r="U115" s="9">
        <v>0</v>
      </c>
      <c r="V115" s="9">
        <v>0</v>
      </c>
      <c r="W115" s="38" t="e">
        <f t="shared" si="82"/>
        <v>#DIV/0!</v>
      </c>
    </row>
    <row r="116" spans="1:24" x14ac:dyDescent="0.25">
      <c r="A116" t="str">
        <f t="shared" si="74"/>
        <v>Kébili</v>
      </c>
      <c r="B116" s="4"/>
      <c r="C116" s="64"/>
      <c r="D116" s="64"/>
      <c r="E116" s="64"/>
      <c r="F116" s="185">
        <f>'Percent-Soil-Carbon-Content'!L27*'Soil-errosion2'!L27</f>
        <v>0</v>
      </c>
      <c r="G116" s="185">
        <f>'Percent-Soil-Carbon-Content'!W27*'Soil-errosion2'!X27</f>
        <v>0</v>
      </c>
      <c r="H116" s="185">
        <f>'Percent-Soil-Carbon-Content'!AH27*'Soil-errosion2'!AJ27</f>
        <v>0</v>
      </c>
      <c r="I116" s="185">
        <f t="shared" si="75"/>
        <v>0</v>
      </c>
      <c r="J116" s="185">
        <f t="shared" si="76"/>
        <v>0</v>
      </c>
      <c r="K116" s="185">
        <f t="shared" si="77"/>
        <v>0</v>
      </c>
      <c r="L116" s="185">
        <f t="shared" si="78"/>
        <v>0</v>
      </c>
      <c r="M116" s="185">
        <f t="shared" si="69"/>
        <v>0</v>
      </c>
      <c r="N116" s="67">
        <f t="shared" si="70"/>
        <v>0</v>
      </c>
      <c r="O116" s="67">
        <f t="shared" si="71"/>
        <v>0</v>
      </c>
      <c r="P116" s="67">
        <f t="shared" si="72"/>
        <v>0</v>
      </c>
      <c r="Q116" s="24">
        <f t="shared" si="79"/>
        <v>0</v>
      </c>
      <c r="R116" s="24" t="e">
        <f>Deforestation!D29</f>
        <v>#DIV/0!</v>
      </c>
      <c r="S116" s="24" t="e">
        <f t="shared" si="80"/>
        <v>#DIV/0!</v>
      </c>
      <c r="T116" s="38" t="e">
        <f t="shared" si="81"/>
        <v>#DIV/0!</v>
      </c>
      <c r="U116" s="9">
        <v>0</v>
      </c>
      <c r="V116" s="9">
        <v>0</v>
      </c>
      <c r="W116" s="38" t="e">
        <f t="shared" si="82"/>
        <v>#DIV/0!</v>
      </c>
    </row>
    <row r="117" spans="1:24" s="1" customFormat="1" x14ac:dyDescent="0.25">
      <c r="A117" s="1" t="s">
        <v>163</v>
      </c>
      <c r="B117" s="10">
        <f>SUM(B93:B116)</f>
        <v>0</v>
      </c>
      <c r="C117" s="71" t="e">
        <f>SUMPRODUCT(C93:C116,$B$24:$B$47)/$B$48</f>
        <v>#DIV/0!</v>
      </c>
      <c r="D117" s="71" t="e">
        <f t="shared" ref="D117:E117" si="83">SUMPRODUCT(D93:D116,$B$24:$B$47)/$B$48</f>
        <v>#DIV/0!</v>
      </c>
      <c r="E117" s="71" t="e">
        <f t="shared" si="83"/>
        <v>#DIV/0!</v>
      </c>
      <c r="F117" s="590" t="e">
        <f>SUMPRODUCT(F93:F116,$B$24:$B$47)/$B$48</f>
        <v>#DIV/0!</v>
      </c>
      <c r="G117" s="590" t="e">
        <f>SUMPRODUCT(G93:G116,$B$24:$B$47)/$B$48</f>
        <v>#DIV/0!</v>
      </c>
      <c r="H117" s="590" t="e">
        <f t="shared" ref="H117" si="84">SUMPRODUCT(H93:H116,$B$24:$B$47)/$B$48</f>
        <v>#DIV/0!</v>
      </c>
      <c r="I117" s="590" t="e">
        <f>SUMPRODUCT(I93:I116,$B$24:$B$47)/$B$48</f>
        <v>#DIV/0!</v>
      </c>
      <c r="J117" s="71" t="e">
        <f t="shared" ref="J117" si="85">SUMPRODUCT(J93:J116,$B$24:$B$47)/$B$48</f>
        <v>#DIV/0!</v>
      </c>
      <c r="K117" s="71" t="e">
        <f>SUMPRODUCT(K93:K116,$B$24:$B$47)/$B$48</f>
        <v>#DIV/0!</v>
      </c>
      <c r="L117" s="71" t="e">
        <f>SUMPRODUCT(L93:L116,$B$24:$B$47)/$B$48</f>
        <v>#DIV/0!</v>
      </c>
      <c r="M117" s="590" t="e">
        <f>SUMPRODUCT(M93:M116,$B$24:$B$47)/$B$48</f>
        <v>#DIV/0!</v>
      </c>
      <c r="N117" s="23">
        <f>SUM(N93:N116)</f>
        <v>0</v>
      </c>
      <c r="O117" s="24">
        <f>SUM(O93:O116)</f>
        <v>0</v>
      </c>
      <c r="P117" s="24">
        <f>SUM(P93:P116)</f>
        <v>0</v>
      </c>
      <c r="Q117" s="24">
        <f>SUM(N117:P117)</f>
        <v>0</v>
      </c>
      <c r="R117" s="24" t="e">
        <f>SUM(R93:R116)</f>
        <v>#DIV/0!</v>
      </c>
      <c r="S117" s="24" t="e">
        <f>SUM(S93:S116)</f>
        <v>#DIV/0!</v>
      </c>
      <c r="T117" s="24" t="e">
        <f>SUM(T93:T116)</f>
        <v>#DIV/0!</v>
      </c>
      <c r="U117" s="10">
        <f t="shared" ref="U117:V117" si="86">SUM(U93:U116)</f>
        <v>0</v>
      </c>
      <c r="V117" s="10">
        <f t="shared" si="86"/>
        <v>0</v>
      </c>
      <c r="W117" s="38" t="e">
        <f t="shared" si="73"/>
        <v>#DIV/0!</v>
      </c>
      <c r="X117" s="68" t="e">
        <f>W117/'Summary-all-crops'!C3</f>
        <v>#DIV/0!</v>
      </c>
    </row>
    <row r="118" spans="1:24" x14ac:dyDescent="0.25">
      <c r="A118" s="1"/>
      <c r="Q118" s="23" t="e">
        <f>Q117/B48</f>
        <v>#DIV/0!</v>
      </c>
      <c r="R118" s="23"/>
      <c r="S118" s="23"/>
      <c r="T118" s="24" t="e">
        <f>Q118*$D$85</f>
        <v>#DIV/0!</v>
      </c>
    </row>
    <row r="119" spans="1:24" x14ac:dyDescent="0.25">
      <c r="A119" s="1"/>
      <c r="I119" s="2"/>
      <c r="J119" s="2"/>
    </row>
    <row r="120" spans="1:24" x14ac:dyDescent="0.25">
      <c r="A120" s="1" t="s">
        <v>369</v>
      </c>
    </row>
    <row r="122" spans="1:24" ht="57.6" customHeight="1" x14ac:dyDescent="0.25">
      <c r="A122" s="838" t="s">
        <v>101</v>
      </c>
      <c r="B122" s="839" t="s">
        <v>843</v>
      </c>
      <c r="C122" s="839"/>
      <c r="D122" s="839"/>
      <c r="E122" s="839"/>
    </row>
    <row r="123" spans="1:24" x14ac:dyDescent="0.25">
      <c r="A123" s="838"/>
      <c r="F123" s="11"/>
    </row>
    <row r="124" spans="1:24" x14ac:dyDescent="0.25">
      <c r="A124" s="838"/>
      <c r="B124" s="1" t="s">
        <v>136</v>
      </c>
      <c r="C124" s="1" t="s">
        <v>137</v>
      </c>
      <c r="D124" s="1" t="s">
        <v>289</v>
      </c>
      <c r="E124" s="1" t="s">
        <v>120</v>
      </c>
      <c r="F124" s="11" t="s">
        <v>844</v>
      </c>
    </row>
    <row r="125" spans="1:24" x14ac:dyDescent="0.25">
      <c r="A125" t="str">
        <f>A93</f>
        <v>Tunis</v>
      </c>
      <c r="B125" s="23" t="e">
        <f t="shared" ref="B125:B148" si="87">$C$10*O24</f>
        <v>#DIV/0!</v>
      </c>
      <c r="C125" s="23" t="e">
        <f t="shared" ref="C125:C148" si="88">$C$10*P24</f>
        <v>#DIV/0!</v>
      </c>
      <c r="D125" s="23" t="e">
        <f t="shared" ref="D125:D148" si="89">$C$10*Q24</f>
        <v>#DIV/0!</v>
      </c>
      <c r="E125" s="23" t="e">
        <f>SUM(B125:D125)</f>
        <v>#DIV/0!</v>
      </c>
    </row>
    <row r="126" spans="1:24" x14ac:dyDescent="0.25">
      <c r="A126" t="str">
        <f t="shared" ref="A126:A148" si="90">A94</f>
        <v>Ariana</v>
      </c>
      <c r="B126" s="23" t="e">
        <f t="shared" si="87"/>
        <v>#DIV/0!</v>
      </c>
      <c r="C126" s="23" t="e">
        <f t="shared" si="88"/>
        <v>#DIV/0!</v>
      </c>
      <c r="D126" s="23" t="e">
        <f t="shared" si="89"/>
        <v>#DIV/0!</v>
      </c>
      <c r="E126" s="23" t="e">
        <f t="shared" ref="E126:E137" si="91">SUM(B126:D126)</f>
        <v>#DIV/0!</v>
      </c>
    </row>
    <row r="127" spans="1:24" x14ac:dyDescent="0.25">
      <c r="A127" t="str">
        <f t="shared" si="90"/>
        <v>La Manouba</v>
      </c>
      <c r="B127" s="23" t="e">
        <f t="shared" si="87"/>
        <v>#DIV/0!</v>
      </c>
      <c r="C127" s="23" t="e">
        <f t="shared" si="88"/>
        <v>#DIV/0!</v>
      </c>
      <c r="D127" s="23" t="e">
        <f t="shared" si="89"/>
        <v>#DIV/0!</v>
      </c>
      <c r="E127" s="23" t="e">
        <f t="shared" si="91"/>
        <v>#DIV/0!</v>
      </c>
    </row>
    <row r="128" spans="1:24" x14ac:dyDescent="0.25">
      <c r="A128" t="str">
        <f t="shared" si="90"/>
        <v>Ben Arous</v>
      </c>
      <c r="B128" s="23" t="e">
        <f t="shared" si="87"/>
        <v>#DIV/0!</v>
      </c>
      <c r="C128" s="23" t="e">
        <f t="shared" si="88"/>
        <v>#DIV/0!</v>
      </c>
      <c r="D128" s="23" t="e">
        <f t="shared" si="89"/>
        <v>#DIV/0!</v>
      </c>
      <c r="E128" s="23" t="e">
        <f t="shared" si="91"/>
        <v>#DIV/0!</v>
      </c>
    </row>
    <row r="129" spans="1:5" x14ac:dyDescent="0.25">
      <c r="A129" t="str">
        <f t="shared" si="90"/>
        <v>Nabeul</v>
      </c>
      <c r="B129" s="23" t="e">
        <f t="shared" si="87"/>
        <v>#DIV/0!</v>
      </c>
      <c r="C129" s="23" t="e">
        <f t="shared" si="88"/>
        <v>#DIV/0!</v>
      </c>
      <c r="D129" s="23" t="e">
        <f t="shared" si="89"/>
        <v>#DIV/0!</v>
      </c>
      <c r="E129" s="23" t="e">
        <f t="shared" si="91"/>
        <v>#DIV/0!</v>
      </c>
    </row>
    <row r="130" spans="1:5" x14ac:dyDescent="0.25">
      <c r="A130" t="str">
        <f t="shared" si="90"/>
        <v>Bizerte</v>
      </c>
      <c r="B130" s="23" t="e">
        <f t="shared" si="87"/>
        <v>#DIV/0!</v>
      </c>
      <c r="C130" s="23" t="e">
        <f t="shared" si="88"/>
        <v>#DIV/0!</v>
      </c>
      <c r="D130" s="23" t="e">
        <f t="shared" si="89"/>
        <v>#DIV/0!</v>
      </c>
      <c r="E130" s="23" t="e">
        <f t="shared" si="91"/>
        <v>#DIV/0!</v>
      </c>
    </row>
    <row r="131" spans="1:5" x14ac:dyDescent="0.25">
      <c r="A131" t="str">
        <f t="shared" si="90"/>
        <v>Zaghouan</v>
      </c>
      <c r="B131" s="23" t="e">
        <f t="shared" si="87"/>
        <v>#DIV/0!</v>
      </c>
      <c r="C131" s="23" t="e">
        <f t="shared" si="88"/>
        <v>#DIV/0!</v>
      </c>
      <c r="D131" s="23" t="e">
        <f t="shared" si="89"/>
        <v>#DIV/0!</v>
      </c>
      <c r="E131" s="23" t="e">
        <f t="shared" si="91"/>
        <v>#DIV/0!</v>
      </c>
    </row>
    <row r="132" spans="1:5" x14ac:dyDescent="0.25">
      <c r="A132" t="str">
        <f t="shared" si="90"/>
        <v>Béja</v>
      </c>
      <c r="B132" s="23" t="e">
        <f t="shared" si="87"/>
        <v>#DIV/0!</v>
      </c>
      <c r="C132" s="23" t="e">
        <f t="shared" si="88"/>
        <v>#DIV/0!</v>
      </c>
      <c r="D132" s="23" t="e">
        <f t="shared" si="89"/>
        <v>#DIV/0!</v>
      </c>
      <c r="E132" s="23" t="e">
        <f t="shared" si="91"/>
        <v>#DIV/0!</v>
      </c>
    </row>
    <row r="133" spans="1:5" x14ac:dyDescent="0.25">
      <c r="A133" t="str">
        <f t="shared" si="90"/>
        <v>Jendouba</v>
      </c>
      <c r="B133" s="23" t="e">
        <f t="shared" si="87"/>
        <v>#DIV/0!</v>
      </c>
      <c r="C133" s="23" t="e">
        <f t="shared" si="88"/>
        <v>#DIV/0!</v>
      </c>
      <c r="D133" s="23" t="e">
        <f t="shared" si="89"/>
        <v>#DIV/0!</v>
      </c>
      <c r="E133" s="23" t="e">
        <f t="shared" si="91"/>
        <v>#DIV/0!</v>
      </c>
    </row>
    <row r="134" spans="1:5" x14ac:dyDescent="0.25">
      <c r="A134" t="str">
        <f t="shared" si="90"/>
        <v>Le Kef</v>
      </c>
      <c r="B134" s="23" t="e">
        <f t="shared" si="87"/>
        <v>#DIV/0!</v>
      </c>
      <c r="C134" s="23" t="e">
        <f t="shared" si="88"/>
        <v>#DIV/0!</v>
      </c>
      <c r="D134" s="23" t="e">
        <f t="shared" si="89"/>
        <v>#DIV/0!</v>
      </c>
      <c r="E134" s="23" t="e">
        <f t="shared" si="91"/>
        <v>#DIV/0!</v>
      </c>
    </row>
    <row r="135" spans="1:5" x14ac:dyDescent="0.25">
      <c r="A135" t="str">
        <f t="shared" si="90"/>
        <v>Siliana</v>
      </c>
      <c r="B135" s="23" t="e">
        <f t="shared" si="87"/>
        <v>#DIV/0!</v>
      </c>
      <c r="C135" s="23" t="e">
        <f t="shared" si="88"/>
        <v>#DIV/0!</v>
      </c>
      <c r="D135" s="23" t="e">
        <f t="shared" si="89"/>
        <v>#DIV/0!</v>
      </c>
      <c r="E135" s="23" t="e">
        <f t="shared" si="91"/>
        <v>#DIV/0!</v>
      </c>
    </row>
    <row r="136" spans="1:5" x14ac:dyDescent="0.25">
      <c r="A136" t="str">
        <f t="shared" si="90"/>
        <v>Sousse</v>
      </c>
      <c r="B136" s="23" t="e">
        <f t="shared" si="87"/>
        <v>#DIV/0!</v>
      </c>
      <c r="C136" s="23" t="e">
        <f t="shared" si="88"/>
        <v>#DIV/0!</v>
      </c>
      <c r="D136" s="23" t="e">
        <f t="shared" si="89"/>
        <v>#DIV/0!</v>
      </c>
      <c r="E136" s="23" t="e">
        <f t="shared" si="91"/>
        <v>#DIV/0!</v>
      </c>
    </row>
    <row r="137" spans="1:5" x14ac:dyDescent="0.25">
      <c r="A137" t="str">
        <f t="shared" si="90"/>
        <v>Monastir</v>
      </c>
      <c r="B137" s="23" t="e">
        <f t="shared" si="87"/>
        <v>#DIV/0!</v>
      </c>
      <c r="C137" s="23" t="e">
        <f t="shared" si="88"/>
        <v>#DIV/0!</v>
      </c>
      <c r="D137" s="23" t="e">
        <f t="shared" si="89"/>
        <v>#DIV/0!</v>
      </c>
      <c r="E137" s="23" t="e">
        <f t="shared" si="91"/>
        <v>#DIV/0!</v>
      </c>
    </row>
    <row r="138" spans="1:5" x14ac:dyDescent="0.25">
      <c r="A138" t="str">
        <f t="shared" si="90"/>
        <v>Mahdia</v>
      </c>
      <c r="B138" s="23" t="e">
        <f t="shared" si="87"/>
        <v>#DIV/0!</v>
      </c>
      <c r="C138" s="23" t="e">
        <f t="shared" si="88"/>
        <v>#DIV/0!</v>
      </c>
      <c r="D138" s="23" t="e">
        <f t="shared" si="89"/>
        <v>#DIV/0!</v>
      </c>
      <c r="E138" s="23" t="e">
        <f t="shared" ref="E138:E145" si="92">SUM(B138:D138)</f>
        <v>#DIV/0!</v>
      </c>
    </row>
    <row r="139" spans="1:5" x14ac:dyDescent="0.25">
      <c r="A139" t="str">
        <f t="shared" si="90"/>
        <v>Sfax</v>
      </c>
      <c r="B139" s="23" t="e">
        <f t="shared" si="87"/>
        <v>#DIV/0!</v>
      </c>
      <c r="C139" s="23" t="e">
        <f t="shared" si="88"/>
        <v>#DIV/0!</v>
      </c>
      <c r="D139" s="23" t="e">
        <f t="shared" si="89"/>
        <v>#DIV/0!</v>
      </c>
      <c r="E139" s="23" t="e">
        <f t="shared" si="92"/>
        <v>#DIV/0!</v>
      </c>
    </row>
    <row r="140" spans="1:5" x14ac:dyDescent="0.25">
      <c r="A140" t="str">
        <f t="shared" si="90"/>
        <v>Kairouan</v>
      </c>
      <c r="B140" s="23" t="e">
        <f t="shared" si="87"/>
        <v>#DIV/0!</v>
      </c>
      <c r="C140" s="23" t="e">
        <f t="shared" si="88"/>
        <v>#DIV/0!</v>
      </c>
      <c r="D140" s="23" t="e">
        <f t="shared" si="89"/>
        <v>#DIV/0!</v>
      </c>
      <c r="E140" s="23" t="e">
        <f t="shared" si="92"/>
        <v>#DIV/0!</v>
      </c>
    </row>
    <row r="141" spans="1:5" x14ac:dyDescent="0.25">
      <c r="A141" t="str">
        <f t="shared" si="90"/>
        <v>Kasserine</v>
      </c>
      <c r="B141" s="23" t="e">
        <f t="shared" si="87"/>
        <v>#DIV/0!</v>
      </c>
      <c r="C141" s="23" t="e">
        <f t="shared" si="88"/>
        <v>#DIV/0!</v>
      </c>
      <c r="D141" s="23" t="e">
        <f t="shared" si="89"/>
        <v>#DIV/0!</v>
      </c>
      <c r="E141" s="23" t="e">
        <f t="shared" si="92"/>
        <v>#DIV/0!</v>
      </c>
    </row>
    <row r="142" spans="1:5" x14ac:dyDescent="0.25">
      <c r="A142" t="str">
        <f t="shared" si="90"/>
        <v>Sidi Bouzid</v>
      </c>
      <c r="B142" s="23" t="e">
        <f t="shared" si="87"/>
        <v>#DIV/0!</v>
      </c>
      <c r="C142" s="23" t="e">
        <f t="shared" si="88"/>
        <v>#DIV/0!</v>
      </c>
      <c r="D142" s="23" t="e">
        <f t="shared" si="89"/>
        <v>#DIV/0!</v>
      </c>
      <c r="E142" s="23" t="e">
        <f t="shared" si="92"/>
        <v>#DIV/0!</v>
      </c>
    </row>
    <row r="143" spans="1:5" x14ac:dyDescent="0.25">
      <c r="A143" t="str">
        <f t="shared" si="90"/>
        <v>Gafsa</v>
      </c>
      <c r="B143" s="23" t="e">
        <f t="shared" si="87"/>
        <v>#DIV/0!</v>
      </c>
      <c r="C143" s="23" t="e">
        <f t="shared" si="88"/>
        <v>#DIV/0!</v>
      </c>
      <c r="D143" s="23" t="e">
        <f t="shared" si="89"/>
        <v>#DIV/0!</v>
      </c>
      <c r="E143" s="23" t="e">
        <f t="shared" si="92"/>
        <v>#DIV/0!</v>
      </c>
    </row>
    <row r="144" spans="1:5" x14ac:dyDescent="0.25">
      <c r="A144" t="str">
        <f t="shared" si="90"/>
        <v>Gabès</v>
      </c>
      <c r="B144" s="23" t="e">
        <f t="shared" si="87"/>
        <v>#DIV/0!</v>
      </c>
      <c r="C144" s="23" t="e">
        <f t="shared" si="88"/>
        <v>#DIV/0!</v>
      </c>
      <c r="D144" s="23" t="e">
        <f t="shared" si="89"/>
        <v>#DIV/0!</v>
      </c>
      <c r="E144" s="23" t="e">
        <f t="shared" si="92"/>
        <v>#DIV/0!</v>
      </c>
    </row>
    <row r="145" spans="1:7" x14ac:dyDescent="0.25">
      <c r="A145" t="str">
        <f t="shared" si="90"/>
        <v>Médenine</v>
      </c>
      <c r="B145" s="23" t="e">
        <f t="shared" si="87"/>
        <v>#DIV/0!</v>
      </c>
      <c r="C145" s="23" t="e">
        <f t="shared" si="88"/>
        <v>#DIV/0!</v>
      </c>
      <c r="D145" s="23" t="e">
        <f t="shared" si="89"/>
        <v>#DIV/0!</v>
      </c>
      <c r="E145" s="23" t="e">
        <f t="shared" si="92"/>
        <v>#DIV/0!</v>
      </c>
    </row>
    <row r="146" spans="1:7" x14ac:dyDescent="0.25">
      <c r="A146" t="str">
        <f t="shared" si="90"/>
        <v>Tataouine</v>
      </c>
      <c r="B146" s="23" t="e">
        <f t="shared" si="87"/>
        <v>#DIV/0!</v>
      </c>
      <c r="C146" s="23" t="e">
        <f t="shared" si="88"/>
        <v>#DIV/0!</v>
      </c>
      <c r="D146" s="23" t="e">
        <f t="shared" si="89"/>
        <v>#DIV/0!</v>
      </c>
      <c r="E146" s="23" t="e">
        <f t="shared" ref="E146:E148" si="93">SUM(B146:D146)</f>
        <v>#DIV/0!</v>
      </c>
    </row>
    <row r="147" spans="1:7" x14ac:dyDescent="0.25">
      <c r="A147" t="str">
        <f t="shared" si="90"/>
        <v>Tozeur</v>
      </c>
      <c r="B147" s="23" t="e">
        <f t="shared" si="87"/>
        <v>#DIV/0!</v>
      </c>
      <c r="C147" s="23" t="e">
        <f t="shared" si="88"/>
        <v>#DIV/0!</v>
      </c>
      <c r="D147" s="23" t="e">
        <f t="shared" si="89"/>
        <v>#DIV/0!</v>
      </c>
      <c r="E147" s="23" t="e">
        <f t="shared" si="93"/>
        <v>#DIV/0!</v>
      </c>
    </row>
    <row r="148" spans="1:7" x14ac:dyDescent="0.25">
      <c r="A148" t="str">
        <f t="shared" si="90"/>
        <v>Kébili</v>
      </c>
      <c r="B148" s="23" t="e">
        <f t="shared" si="87"/>
        <v>#DIV/0!</v>
      </c>
      <c r="C148" s="23" t="e">
        <f t="shared" si="88"/>
        <v>#DIV/0!</v>
      </c>
      <c r="D148" s="23" t="e">
        <f t="shared" si="89"/>
        <v>#DIV/0!</v>
      </c>
      <c r="E148" s="23" t="e">
        <f t="shared" si="93"/>
        <v>#DIV/0!</v>
      </c>
    </row>
    <row r="149" spans="1:7" x14ac:dyDescent="0.25">
      <c r="A149" s="1" t="s">
        <v>163</v>
      </c>
      <c r="B149" s="23" t="e">
        <f>SUM(B125:B148)</f>
        <v>#DIV/0!</v>
      </c>
      <c r="C149" s="23" t="e">
        <f t="shared" ref="C149:D149" si="94">SUM(C125:C148)</f>
        <v>#DIV/0!</v>
      </c>
      <c r="D149" s="23" t="e">
        <f t="shared" si="94"/>
        <v>#DIV/0!</v>
      </c>
      <c r="E149" s="23" t="e">
        <f>SUM(B149:D149)</f>
        <v>#DIV/0!</v>
      </c>
      <c r="F149" s="266" t="e">
        <f>E149/C152</f>
        <v>#DIV/0!</v>
      </c>
    </row>
    <row r="150" spans="1:7" x14ac:dyDescent="0.25">
      <c r="E150" s="217" t="e">
        <f>SUM(E125:E148)-E149&lt;0.1</f>
        <v>#DIV/0!</v>
      </c>
    </row>
    <row r="151" spans="1:7" x14ac:dyDescent="0.25">
      <c r="A151" t="s">
        <v>372</v>
      </c>
      <c r="C151" s="24">
        <f>'Cereals-all-year'!K2</f>
        <v>134280440000</v>
      </c>
    </row>
    <row r="152" spans="1:7" x14ac:dyDescent="0.25">
      <c r="A152" t="s">
        <v>373</v>
      </c>
      <c r="C152" s="24">
        <f>'Cereals-all-year'!K3</f>
        <v>46690000000</v>
      </c>
    </row>
    <row r="153" spans="1:7" ht="19.5" thickBot="1" x14ac:dyDescent="0.35">
      <c r="A153" s="12" t="s">
        <v>845</v>
      </c>
    </row>
    <row r="154" spans="1:7" x14ac:dyDescent="0.25">
      <c r="A154" s="853"/>
      <c r="B154" s="798" t="s">
        <v>374</v>
      </c>
      <c r="C154" s="848"/>
      <c r="D154" s="848"/>
      <c r="E154" s="848"/>
      <c r="F154" s="849"/>
      <c r="G154" s="850" t="s">
        <v>367</v>
      </c>
    </row>
    <row r="155" spans="1:7" ht="30" x14ac:dyDescent="0.25">
      <c r="A155" s="854"/>
      <c r="B155" s="15" t="s">
        <v>375</v>
      </c>
      <c r="C155" s="16" t="s">
        <v>376</v>
      </c>
      <c r="D155" s="16" t="s">
        <v>377</v>
      </c>
      <c r="E155" s="16" t="s">
        <v>378</v>
      </c>
      <c r="F155" s="85" t="s">
        <v>379</v>
      </c>
      <c r="G155" s="851"/>
    </row>
    <row r="156" spans="1:7" x14ac:dyDescent="0.25">
      <c r="A156" s="143" t="str">
        <f>A125</f>
        <v>Tunis</v>
      </c>
      <c r="B156" s="97" t="e">
        <f t="shared" ref="B156:B180" si="95">V24</f>
        <v>#DIV/0!</v>
      </c>
      <c r="C156" s="242">
        <f>N56</f>
        <v>0</v>
      </c>
      <c r="D156" s="97" t="e">
        <f t="shared" ref="D156:D180" si="96">W93</f>
        <v>#DIV/0!</v>
      </c>
      <c r="E156" s="97" t="e">
        <f>E125</f>
        <v>#DIV/0!</v>
      </c>
      <c r="F156" s="48" t="e">
        <f>SUM(B156:E156)</f>
        <v>#DIV/0!</v>
      </c>
      <c r="G156" s="323" t="e">
        <f t="shared" ref="G156:G179" si="97">F156/$C$152</f>
        <v>#DIV/0!</v>
      </c>
    </row>
    <row r="157" spans="1:7" x14ac:dyDescent="0.25">
      <c r="A157" s="143" t="str">
        <f t="shared" ref="A157:A179" si="98">A126</f>
        <v>Ariana</v>
      </c>
      <c r="B157" s="97" t="e">
        <f t="shared" si="95"/>
        <v>#DIV/0!</v>
      </c>
      <c r="C157" s="242">
        <f t="shared" ref="C157:C168" si="99">N57</f>
        <v>0</v>
      </c>
      <c r="D157" s="97" t="e">
        <f t="shared" si="96"/>
        <v>#DIV/0!</v>
      </c>
      <c r="E157" s="97" t="e">
        <f t="shared" ref="E157:E168" si="100">E126</f>
        <v>#DIV/0!</v>
      </c>
      <c r="F157" s="48" t="e">
        <f t="shared" ref="F157:F168" si="101">SUM(B157:E157)</f>
        <v>#DIV/0!</v>
      </c>
      <c r="G157" s="323" t="e">
        <f t="shared" ref="G157:G168" si="102">F157/$C$152</f>
        <v>#DIV/0!</v>
      </c>
    </row>
    <row r="158" spans="1:7" x14ac:dyDescent="0.25">
      <c r="A158" s="143" t="str">
        <f t="shared" si="98"/>
        <v>La Manouba</v>
      </c>
      <c r="B158" s="97" t="e">
        <f t="shared" si="95"/>
        <v>#DIV/0!</v>
      </c>
      <c r="C158" s="242">
        <f t="shared" si="99"/>
        <v>0</v>
      </c>
      <c r="D158" s="97" t="e">
        <f t="shared" si="96"/>
        <v>#DIV/0!</v>
      </c>
      <c r="E158" s="97" t="e">
        <f t="shared" si="100"/>
        <v>#DIV/0!</v>
      </c>
      <c r="F158" s="48" t="e">
        <f t="shared" si="101"/>
        <v>#DIV/0!</v>
      </c>
      <c r="G158" s="323" t="e">
        <f t="shared" si="102"/>
        <v>#DIV/0!</v>
      </c>
    </row>
    <row r="159" spans="1:7" x14ac:dyDescent="0.25">
      <c r="A159" s="143" t="str">
        <f t="shared" si="98"/>
        <v>Ben Arous</v>
      </c>
      <c r="B159" s="97" t="e">
        <f t="shared" si="95"/>
        <v>#DIV/0!</v>
      </c>
      <c r="C159" s="242">
        <f t="shared" si="99"/>
        <v>0</v>
      </c>
      <c r="D159" s="97" t="e">
        <f t="shared" si="96"/>
        <v>#DIV/0!</v>
      </c>
      <c r="E159" s="97" t="e">
        <f t="shared" si="100"/>
        <v>#DIV/0!</v>
      </c>
      <c r="F159" s="48" t="e">
        <f t="shared" si="101"/>
        <v>#DIV/0!</v>
      </c>
      <c r="G159" s="323" t="e">
        <f t="shared" si="102"/>
        <v>#DIV/0!</v>
      </c>
    </row>
    <row r="160" spans="1:7" x14ac:dyDescent="0.25">
      <c r="A160" s="143" t="str">
        <f t="shared" si="98"/>
        <v>Nabeul</v>
      </c>
      <c r="B160" s="97" t="e">
        <f t="shared" si="95"/>
        <v>#DIV/0!</v>
      </c>
      <c r="C160" s="242">
        <f t="shared" si="99"/>
        <v>0</v>
      </c>
      <c r="D160" s="97" t="e">
        <f t="shared" si="96"/>
        <v>#DIV/0!</v>
      </c>
      <c r="E160" s="97" t="e">
        <f t="shared" si="100"/>
        <v>#DIV/0!</v>
      </c>
      <c r="F160" s="48" t="e">
        <f t="shared" si="101"/>
        <v>#DIV/0!</v>
      </c>
      <c r="G160" s="323" t="e">
        <f t="shared" si="102"/>
        <v>#DIV/0!</v>
      </c>
    </row>
    <row r="161" spans="1:7" x14ac:dyDescent="0.25">
      <c r="A161" s="143" t="str">
        <f t="shared" si="98"/>
        <v>Bizerte</v>
      </c>
      <c r="B161" s="97" t="e">
        <f t="shared" si="95"/>
        <v>#DIV/0!</v>
      </c>
      <c r="C161" s="242">
        <f t="shared" si="99"/>
        <v>0</v>
      </c>
      <c r="D161" s="97" t="e">
        <f t="shared" si="96"/>
        <v>#DIV/0!</v>
      </c>
      <c r="E161" s="97" t="e">
        <f t="shared" si="100"/>
        <v>#DIV/0!</v>
      </c>
      <c r="F161" s="48" t="e">
        <f t="shared" si="101"/>
        <v>#DIV/0!</v>
      </c>
      <c r="G161" s="323" t="e">
        <f t="shared" si="102"/>
        <v>#DIV/0!</v>
      </c>
    </row>
    <row r="162" spans="1:7" x14ac:dyDescent="0.25">
      <c r="A162" s="143" t="str">
        <f t="shared" si="98"/>
        <v>Zaghouan</v>
      </c>
      <c r="B162" s="97" t="e">
        <f t="shared" si="95"/>
        <v>#DIV/0!</v>
      </c>
      <c r="C162" s="242">
        <f t="shared" si="99"/>
        <v>0</v>
      </c>
      <c r="D162" s="97" t="e">
        <f t="shared" si="96"/>
        <v>#DIV/0!</v>
      </c>
      <c r="E162" s="97" t="e">
        <f t="shared" si="100"/>
        <v>#DIV/0!</v>
      </c>
      <c r="F162" s="48" t="e">
        <f t="shared" si="101"/>
        <v>#DIV/0!</v>
      </c>
      <c r="G162" s="323" t="e">
        <f t="shared" si="102"/>
        <v>#DIV/0!</v>
      </c>
    </row>
    <row r="163" spans="1:7" x14ac:dyDescent="0.25">
      <c r="A163" s="143" t="str">
        <f t="shared" si="98"/>
        <v>Béja</v>
      </c>
      <c r="B163" s="97" t="e">
        <f t="shared" si="95"/>
        <v>#DIV/0!</v>
      </c>
      <c r="C163" s="242">
        <f t="shared" si="99"/>
        <v>0</v>
      </c>
      <c r="D163" s="97" t="e">
        <f t="shared" si="96"/>
        <v>#DIV/0!</v>
      </c>
      <c r="E163" s="97" t="e">
        <f t="shared" si="100"/>
        <v>#DIV/0!</v>
      </c>
      <c r="F163" s="48" t="e">
        <f t="shared" si="101"/>
        <v>#DIV/0!</v>
      </c>
      <c r="G163" s="323" t="e">
        <f t="shared" si="102"/>
        <v>#DIV/0!</v>
      </c>
    </row>
    <row r="164" spans="1:7" x14ac:dyDescent="0.25">
      <c r="A164" s="143" t="str">
        <f t="shared" si="98"/>
        <v>Jendouba</v>
      </c>
      <c r="B164" s="97" t="e">
        <f t="shared" si="95"/>
        <v>#DIV/0!</v>
      </c>
      <c r="C164" s="242">
        <f t="shared" si="99"/>
        <v>0</v>
      </c>
      <c r="D164" s="97" t="e">
        <f t="shared" si="96"/>
        <v>#DIV/0!</v>
      </c>
      <c r="E164" s="97" t="e">
        <f t="shared" si="100"/>
        <v>#DIV/0!</v>
      </c>
      <c r="F164" s="48" t="e">
        <f t="shared" si="101"/>
        <v>#DIV/0!</v>
      </c>
      <c r="G164" s="323" t="e">
        <f t="shared" si="102"/>
        <v>#DIV/0!</v>
      </c>
    </row>
    <row r="165" spans="1:7" x14ac:dyDescent="0.25">
      <c r="A165" s="143" t="str">
        <f t="shared" si="98"/>
        <v>Le Kef</v>
      </c>
      <c r="B165" s="97" t="e">
        <f t="shared" si="95"/>
        <v>#DIV/0!</v>
      </c>
      <c r="C165" s="242">
        <f t="shared" si="99"/>
        <v>0</v>
      </c>
      <c r="D165" s="97" t="e">
        <f t="shared" si="96"/>
        <v>#DIV/0!</v>
      </c>
      <c r="E165" s="97" t="e">
        <f t="shared" si="100"/>
        <v>#DIV/0!</v>
      </c>
      <c r="F165" s="48" t="e">
        <f t="shared" si="101"/>
        <v>#DIV/0!</v>
      </c>
      <c r="G165" s="323" t="e">
        <f t="shared" si="102"/>
        <v>#DIV/0!</v>
      </c>
    </row>
    <row r="166" spans="1:7" x14ac:dyDescent="0.25">
      <c r="A166" s="143" t="str">
        <f t="shared" si="98"/>
        <v>Siliana</v>
      </c>
      <c r="B166" s="97" t="e">
        <f t="shared" si="95"/>
        <v>#DIV/0!</v>
      </c>
      <c r="C166" s="242">
        <f t="shared" si="99"/>
        <v>0</v>
      </c>
      <c r="D166" s="97" t="e">
        <f t="shared" si="96"/>
        <v>#DIV/0!</v>
      </c>
      <c r="E166" s="97" t="e">
        <f t="shared" si="100"/>
        <v>#DIV/0!</v>
      </c>
      <c r="F166" s="48" t="e">
        <f t="shared" si="101"/>
        <v>#DIV/0!</v>
      </c>
      <c r="G166" s="323" t="e">
        <f t="shared" si="102"/>
        <v>#DIV/0!</v>
      </c>
    </row>
    <row r="167" spans="1:7" x14ac:dyDescent="0.25">
      <c r="A167" s="143" t="str">
        <f t="shared" si="98"/>
        <v>Sousse</v>
      </c>
      <c r="B167" s="97" t="e">
        <f t="shared" si="95"/>
        <v>#DIV/0!</v>
      </c>
      <c r="C167" s="242">
        <f t="shared" si="99"/>
        <v>0</v>
      </c>
      <c r="D167" s="97" t="e">
        <f t="shared" si="96"/>
        <v>#DIV/0!</v>
      </c>
      <c r="E167" s="97" t="e">
        <f t="shared" si="100"/>
        <v>#DIV/0!</v>
      </c>
      <c r="F167" s="48" t="e">
        <f t="shared" si="101"/>
        <v>#DIV/0!</v>
      </c>
      <c r="G167" s="323" t="e">
        <f t="shared" si="102"/>
        <v>#DIV/0!</v>
      </c>
    </row>
    <row r="168" spans="1:7" x14ac:dyDescent="0.25">
      <c r="A168" s="143" t="str">
        <f t="shared" si="98"/>
        <v>Monastir</v>
      </c>
      <c r="B168" s="97" t="e">
        <f t="shared" si="95"/>
        <v>#DIV/0!</v>
      </c>
      <c r="C168" s="242">
        <f t="shared" si="99"/>
        <v>0</v>
      </c>
      <c r="D168" s="97" t="e">
        <f t="shared" si="96"/>
        <v>#DIV/0!</v>
      </c>
      <c r="E168" s="97" t="e">
        <f t="shared" si="100"/>
        <v>#DIV/0!</v>
      </c>
      <c r="F168" s="48" t="e">
        <f t="shared" si="101"/>
        <v>#DIV/0!</v>
      </c>
      <c r="G168" s="323" t="e">
        <f t="shared" si="102"/>
        <v>#DIV/0!</v>
      </c>
    </row>
    <row r="169" spans="1:7" x14ac:dyDescent="0.25">
      <c r="A169" s="143" t="str">
        <f t="shared" si="98"/>
        <v>Mahdia</v>
      </c>
      <c r="B169" s="97" t="e">
        <f t="shared" si="95"/>
        <v>#DIV/0!</v>
      </c>
      <c r="C169" s="242">
        <f t="shared" ref="C169:C180" si="103">N69</f>
        <v>0</v>
      </c>
      <c r="D169" s="97" t="e">
        <f t="shared" si="96"/>
        <v>#DIV/0!</v>
      </c>
      <c r="E169" s="97" t="e">
        <f t="shared" ref="E169:E180" si="104">E138</f>
        <v>#DIV/0!</v>
      </c>
      <c r="F169" s="48" t="e">
        <f t="shared" ref="F169:F176" si="105">SUM(B169:E169)</f>
        <v>#DIV/0!</v>
      </c>
      <c r="G169" s="323" t="e">
        <f t="shared" ref="G169:G176" si="106">F169/$C$152</f>
        <v>#DIV/0!</v>
      </c>
    </row>
    <row r="170" spans="1:7" x14ac:dyDescent="0.25">
      <c r="A170" s="143" t="str">
        <f t="shared" si="98"/>
        <v>Sfax</v>
      </c>
      <c r="B170" s="97" t="e">
        <f t="shared" si="95"/>
        <v>#DIV/0!</v>
      </c>
      <c r="C170" s="242">
        <f t="shared" si="103"/>
        <v>0</v>
      </c>
      <c r="D170" s="97" t="e">
        <f t="shared" si="96"/>
        <v>#DIV/0!</v>
      </c>
      <c r="E170" s="97" t="e">
        <f t="shared" si="104"/>
        <v>#DIV/0!</v>
      </c>
      <c r="F170" s="48" t="e">
        <f t="shared" si="105"/>
        <v>#DIV/0!</v>
      </c>
      <c r="G170" s="323" t="e">
        <f t="shared" si="106"/>
        <v>#DIV/0!</v>
      </c>
    </row>
    <row r="171" spans="1:7" x14ac:dyDescent="0.25">
      <c r="A171" s="143" t="str">
        <f t="shared" si="98"/>
        <v>Kairouan</v>
      </c>
      <c r="B171" s="97" t="e">
        <f t="shared" si="95"/>
        <v>#DIV/0!</v>
      </c>
      <c r="C171" s="242">
        <f t="shared" si="103"/>
        <v>0</v>
      </c>
      <c r="D171" s="97" t="e">
        <f t="shared" si="96"/>
        <v>#DIV/0!</v>
      </c>
      <c r="E171" s="97" t="e">
        <f t="shared" si="104"/>
        <v>#DIV/0!</v>
      </c>
      <c r="F171" s="48" t="e">
        <f t="shared" si="105"/>
        <v>#DIV/0!</v>
      </c>
      <c r="G171" s="323" t="e">
        <f t="shared" si="106"/>
        <v>#DIV/0!</v>
      </c>
    </row>
    <row r="172" spans="1:7" x14ac:dyDescent="0.25">
      <c r="A172" s="143" t="str">
        <f t="shared" si="98"/>
        <v>Kasserine</v>
      </c>
      <c r="B172" s="97" t="e">
        <f t="shared" si="95"/>
        <v>#DIV/0!</v>
      </c>
      <c r="C172" s="242">
        <f t="shared" si="103"/>
        <v>0</v>
      </c>
      <c r="D172" s="97" t="e">
        <f t="shared" si="96"/>
        <v>#DIV/0!</v>
      </c>
      <c r="E172" s="97" t="e">
        <f t="shared" si="104"/>
        <v>#DIV/0!</v>
      </c>
      <c r="F172" s="48" t="e">
        <f t="shared" si="105"/>
        <v>#DIV/0!</v>
      </c>
      <c r="G172" s="323" t="e">
        <f t="shared" si="106"/>
        <v>#DIV/0!</v>
      </c>
    </row>
    <row r="173" spans="1:7" x14ac:dyDescent="0.25">
      <c r="A173" s="143" t="str">
        <f t="shared" si="98"/>
        <v>Sidi Bouzid</v>
      </c>
      <c r="B173" s="97" t="e">
        <f t="shared" si="95"/>
        <v>#DIV/0!</v>
      </c>
      <c r="C173" s="242">
        <f t="shared" si="103"/>
        <v>0</v>
      </c>
      <c r="D173" s="97" t="e">
        <f t="shared" si="96"/>
        <v>#DIV/0!</v>
      </c>
      <c r="E173" s="97" t="e">
        <f t="shared" si="104"/>
        <v>#DIV/0!</v>
      </c>
      <c r="F173" s="48" t="e">
        <f t="shared" si="105"/>
        <v>#DIV/0!</v>
      </c>
      <c r="G173" s="323" t="e">
        <f t="shared" si="106"/>
        <v>#DIV/0!</v>
      </c>
    </row>
    <row r="174" spans="1:7" x14ac:dyDescent="0.25">
      <c r="A174" s="143" t="str">
        <f t="shared" si="98"/>
        <v>Gafsa</v>
      </c>
      <c r="B174" s="97" t="e">
        <f t="shared" si="95"/>
        <v>#DIV/0!</v>
      </c>
      <c r="C174" s="242">
        <f t="shared" si="103"/>
        <v>0</v>
      </c>
      <c r="D174" s="97" t="e">
        <f t="shared" si="96"/>
        <v>#DIV/0!</v>
      </c>
      <c r="E174" s="97" t="e">
        <f t="shared" si="104"/>
        <v>#DIV/0!</v>
      </c>
      <c r="F174" s="48" t="e">
        <f t="shared" si="105"/>
        <v>#DIV/0!</v>
      </c>
      <c r="G174" s="323" t="e">
        <f t="shared" si="106"/>
        <v>#DIV/0!</v>
      </c>
    </row>
    <row r="175" spans="1:7" x14ac:dyDescent="0.25">
      <c r="A175" s="143" t="str">
        <f t="shared" si="98"/>
        <v>Gabès</v>
      </c>
      <c r="B175" s="97" t="e">
        <f t="shared" si="95"/>
        <v>#DIV/0!</v>
      </c>
      <c r="C175" s="242">
        <f t="shared" si="103"/>
        <v>0</v>
      </c>
      <c r="D175" s="97" t="e">
        <f t="shared" si="96"/>
        <v>#DIV/0!</v>
      </c>
      <c r="E175" s="97" t="e">
        <f t="shared" si="104"/>
        <v>#DIV/0!</v>
      </c>
      <c r="F175" s="48" t="e">
        <f t="shared" si="105"/>
        <v>#DIV/0!</v>
      </c>
      <c r="G175" s="323" t="e">
        <f t="shared" si="106"/>
        <v>#DIV/0!</v>
      </c>
    </row>
    <row r="176" spans="1:7" x14ac:dyDescent="0.25">
      <c r="A176" s="143" t="str">
        <f t="shared" si="98"/>
        <v>Médenine</v>
      </c>
      <c r="B176" s="97" t="e">
        <f t="shared" si="95"/>
        <v>#DIV/0!</v>
      </c>
      <c r="C176" s="242">
        <f t="shared" si="103"/>
        <v>0</v>
      </c>
      <c r="D176" s="97" t="e">
        <f t="shared" si="96"/>
        <v>#DIV/0!</v>
      </c>
      <c r="E176" s="97" t="e">
        <f t="shared" si="104"/>
        <v>#DIV/0!</v>
      </c>
      <c r="F176" s="48" t="e">
        <f t="shared" si="105"/>
        <v>#DIV/0!</v>
      </c>
      <c r="G176" s="323" t="e">
        <f t="shared" si="106"/>
        <v>#DIV/0!</v>
      </c>
    </row>
    <row r="177" spans="1:22" x14ac:dyDescent="0.25">
      <c r="A177" s="143" t="str">
        <f t="shared" si="98"/>
        <v>Tataouine</v>
      </c>
      <c r="B177" s="97" t="e">
        <f t="shared" si="95"/>
        <v>#DIV/0!</v>
      </c>
      <c r="C177" s="242">
        <f t="shared" si="103"/>
        <v>0</v>
      </c>
      <c r="D177" s="97" t="e">
        <f t="shared" si="96"/>
        <v>#DIV/0!</v>
      </c>
      <c r="E177" s="97" t="e">
        <f t="shared" si="104"/>
        <v>#DIV/0!</v>
      </c>
      <c r="F177" s="48" t="e">
        <f t="shared" ref="F177:F180" si="107">SUM(B177:E177)</f>
        <v>#DIV/0!</v>
      </c>
      <c r="G177" s="323" t="e">
        <f t="shared" si="97"/>
        <v>#DIV/0!</v>
      </c>
    </row>
    <row r="178" spans="1:22" x14ac:dyDescent="0.25">
      <c r="A178" s="143" t="str">
        <f t="shared" si="98"/>
        <v>Tozeur</v>
      </c>
      <c r="B178" s="97" t="e">
        <f t="shared" si="95"/>
        <v>#DIV/0!</v>
      </c>
      <c r="C178" s="242">
        <f t="shared" si="103"/>
        <v>0</v>
      </c>
      <c r="D178" s="97" t="e">
        <f t="shared" si="96"/>
        <v>#DIV/0!</v>
      </c>
      <c r="E178" s="97" t="e">
        <f t="shared" si="104"/>
        <v>#DIV/0!</v>
      </c>
      <c r="F178" s="48" t="e">
        <f t="shared" si="107"/>
        <v>#DIV/0!</v>
      </c>
      <c r="G178" s="323" t="e">
        <f t="shared" si="97"/>
        <v>#DIV/0!</v>
      </c>
    </row>
    <row r="179" spans="1:22" x14ac:dyDescent="0.25">
      <c r="A179" s="143" t="str">
        <f t="shared" si="98"/>
        <v>Kébili</v>
      </c>
      <c r="B179" s="97" t="e">
        <f t="shared" si="95"/>
        <v>#DIV/0!</v>
      </c>
      <c r="C179" s="242">
        <f t="shared" si="103"/>
        <v>0</v>
      </c>
      <c r="D179" s="97" t="e">
        <f t="shared" si="96"/>
        <v>#DIV/0!</v>
      </c>
      <c r="E179" s="97" t="e">
        <f t="shared" si="104"/>
        <v>#DIV/0!</v>
      </c>
      <c r="F179" s="48" t="e">
        <f t="shared" si="107"/>
        <v>#DIV/0!</v>
      </c>
      <c r="G179" s="323" t="e">
        <f t="shared" si="97"/>
        <v>#DIV/0!</v>
      </c>
    </row>
    <row r="180" spans="1:22" x14ac:dyDescent="0.25">
      <c r="A180" s="144" t="s">
        <v>163</v>
      </c>
      <c r="B180" s="48" t="e">
        <f t="shared" si="95"/>
        <v>#DIV/0!</v>
      </c>
      <c r="C180" s="214">
        <f t="shared" si="103"/>
        <v>0</v>
      </c>
      <c r="D180" s="48" t="e">
        <f t="shared" si="96"/>
        <v>#DIV/0!</v>
      </c>
      <c r="E180" s="48" t="e">
        <f t="shared" si="104"/>
        <v>#DIV/0!</v>
      </c>
      <c r="F180" s="48" t="e">
        <f t="shared" si="107"/>
        <v>#DIV/0!</v>
      </c>
      <c r="G180" s="323" t="e">
        <f>F180/$C$152</f>
        <v>#DIV/0!</v>
      </c>
    </row>
    <row r="181" spans="1:22" ht="15.75" thickBot="1" x14ac:dyDescent="0.3">
      <c r="A181" s="145" t="s">
        <v>367</v>
      </c>
      <c r="B181" s="322" t="e">
        <f t="shared" ref="B181:E181" si="108">B180/$C$152</f>
        <v>#DIV/0!</v>
      </c>
      <c r="C181" s="165">
        <f t="shared" si="108"/>
        <v>0</v>
      </c>
      <c r="D181" s="321" t="e">
        <f t="shared" si="108"/>
        <v>#DIV/0!</v>
      </c>
      <c r="E181" s="165" t="e">
        <f t="shared" si="108"/>
        <v>#DIV/0!</v>
      </c>
      <c r="F181" s="320" t="e">
        <f>F180/$C$152</f>
        <v>#DIV/0!</v>
      </c>
      <c r="G181" s="168"/>
    </row>
    <row r="182" spans="1:22" x14ac:dyDescent="0.25">
      <c r="E182" s="1" t="s">
        <v>846</v>
      </c>
      <c r="F182" s="70" t="e">
        <f>F180*R1</f>
        <v>#DIV/0!</v>
      </c>
    </row>
    <row r="183" spans="1:22" x14ac:dyDescent="0.25">
      <c r="A183" s="98" t="s">
        <v>847</v>
      </c>
    </row>
    <row r="184" spans="1:22" ht="17.25" x14ac:dyDescent="0.25">
      <c r="A184" s="99" t="s">
        <v>848</v>
      </c>
    </row>
    <row r="185" spans="1:22" x14ac:dyDescent="0.25">
      <c r="A185" s="879" t="s">
        <v>849</v>
      </c>
      <c r="B185" s="879"/>
      <c r="C185" s="879"/>
      <c r="D185" s="879"/>
      <c r="E185" s="879"/>
      <c r="F185" s="879"/>
      <c r="G185" s="879"/>
      <c r="H185" s="879"/>
      <c r="I185" s="879"/>
      <c r="J185" s="879"/>
      <c r="K185" s="879"/>
      <c r="L185" s="879"/>
      <c r="M185" s="879"/>
      <c r="N185" s="879"/>
      <c r="O185" s="879"/>
      <c r="P185" s="879"/>
      <c r="Q185" s="879"/>
      <c r="R185" s="879"/>
      <c r="S185" s="879"/>
      <c r="T185" s="879"/>
      <c r="U185" s="879"/>
      <c r="V185" s="879"/>
    </row>
    <row r="186" spans="1:22" x14ac:dyDescent="0.25">
      <c r="A186" s="880"/>
      <c r="B186" s="880"/>
      <c r="C186" s="880"/>
      <c r="D186" s="880"/>
      <c r="E186" s="880"/>
      <c r="F186" s="880"/>
      <c r="G186" s="880"/>
      <c r="H186" s="880"/>
      <c r="I186" s="880"/>
      <c r="J186" s="880"/>
      <c r="K186" s="880"/>
      <c r="L186" s="880"/>
      <c r="M186" s="880"/>
      <c r="N186" s="880"/>
      <c r="O186" s="880"/>
      <c r="P186" s="100"/>
      <c r="Q186" s="100"/>
      <c r="R186" s="100"/>
      <c r="S186" s="100"/>
      <c r="T186" s="100"/>
      <c r="U186" s="100"/>
      <c r="V186" s="100"/>
    </row>
    <row r="187" spans="1:22" ht="30" x14ac:dyDescent="0.25">
      <c r="A187" s="218" t="s">
        <v>850</v>
      </c>
      <c r="B187" s="219" t="s">
        <v>851</v>
      </c>
      <c r="C187" s="101"/>
      <c r="D187" s="100"/>
      <c r="E187" s="100"/>
      <c r="F187" s="100"/>
      <c r="G187" s="100"/>
      <c r="H187" s="100"/>
      <c r="I187" s="100"/>
      <c r="J187" s="100"/>
      <c r="K187" s="100"/>
      <c r="L187" s="100"/>
      <c r="M187" s="100"/>
      <c r="N187" s="100"/>
      <c r="O187" s="100"/>
      <c r="P187" s="100"/>
      <c r="Q187" s="100"/>
      <c r="R187" s="100"/>
      <c r="S187" s="100"/>
      <c r="T187" s="100"/>
      <c r="U187" s="100"/>
      <c r="V187" s="100"/>
    </row>
    <row r="188" spans="1:22" x14ac:dyDescent="0.25">
      <c r="A188" s="218" t="s">
        <v>136</v>
      </c>
      <c r="B188" s="102">
        <v>0.02</v>
      </c>
      <c r="C188" s="103"/>
      <c r="D188" s="100"/>
      <c r="E188" s="100"/>
      <c r="F188" s="100"/>
      <c r="G188" s="100"/>
      <c r="H188" s="100"/>
      <c r="I188" s="100"/>
      <c r="J188" s="100"/>
      <c r="K188" s="100"/>
      <c r="L188" s="100"/>
      <c r="M188" s="100"/>
      <c r="N188" s="100"/>
      <c r="O188" s="100"/>
      <c r="P188" s="100"/>
      <c r="Q188" s="100"/>
      <c r="R188" s="100"/>
      <c r="S188" s="100"/>
      <c r="T188" s="100"/>
      <c r="U188" s="100"/>
      <c r="V188" s="100"/>
    </row>
    <row r="189" spans="1:22" x14ac:dyDescent="0.25">
      <c r="A189" s="218" t="s">
        <v>852</v>
      </c>
      <c r="B189" s="104">
        <v>2.5000000000000001E-2</v>
      </c>
      <c r="C189" s="103"/>
      <c r="D189" s="100"/>
      <c r="E189" s="100"/>
      <c r="F189" s="100"/>
      <c r="G189" s="100"/>
      <c r="H189" s="100"/>
      <c r="I189" s="100"/>
      <c r="J189" s="100"/>
      <c r="K189" s="100"/>
      <c r="L189" s="100"/>
      <c r="M189" s="100"/>
      <c r="N189" s="100"/>
      <c r="O189" s="100"/>
      <c r="P189" s="100"/>
      <c r="Q189" s="100"/>
      <c r="R189" s="100"/>
      <c r="S189" s="100"/>
      <c r="T189" s="100"/>
      <c r="U189" s="100"/>
      <c r="V189" s="100"/>
    </row>
    <row r="190" spans="1:22" x14ac:dyDescent="0.25">
      <c r="A190" s="218" t="s">
        <v>138</v>
      </c>
      <c r="B190" s="102">
        <v>0.03</v>
      </c>
      <c r="C190" s="103"/>
      <c r="D190" s="100"/>
      <c r="E190" s="100"/>
      <c r="F190" s="100"/>
      <c r="G190" s="100"/>
      <c r="H190" s="100"/>
      <c r="I190" s="100"/>
      <c r="J190" s="100"/>
      <c r="K190" s="100"/>
      <c r="L190" s="100"/>
      <c r="M190" s="100"/>
      <c r="N190" s="100"/>
      <c r="O190" s="100"/>
      <c r="P190" s="100"/>
      <c r="Q190" s="100"/>
      <c r="R190" s="100"/>
      <c r="S190" s="100"/>
      <c r="T190" s="100"/>
      <c r="U190" s="100"/>
      <c r="V190" s="100"/>
    </row>
    <row r="191" spans="1:22" ht="30" customHeight="1" thickBot="1" x14ac:dyDescent="0.3">
      <c r="A191" s="878" t="s">
        <v>853</v>
      </c>
      <c r="B191" s="878"/>
      <c r="C191" s="878"/>
      <c r="D191" s="878"/>
      <c r="E191" s="878"/>
      <c r="F191" s="268">
        <f>B217</f>
        <v>0</v>
      </c>
      <c r="G191" s="267"/>
    </row>
    <row r="192" spans="1:22" x14ac:dyDescent="0.25">
      <c r="A192" s="220" t="s">
        <v>101</v>
      </c>
      <c r="B192" s="221" t="s">
        <v>854</v>
      </c>
    </row>
    <row r="193" spans="1:2" x14ac:dyDescent="0.25">
      <c r="A193" s="222" t="str">
        <f>A156</f>
        <v>Tunis</v>
      </c>
      <c r="B193" s="211"/>
    </row>
    <row r="194" spans="1:2" x14ac:dyDescent="0.25">
      <c r="A194" s="222" t="str">
        <f t="shared" ref="A194:A216" si="109">A157</f>
        <v>Ariana</v>
      </c>
      <c r="B194" s="211"/>
    </row>
    <row r="195" spans="1:2" x14ac:dyDescent="0.25">
      <c r="A195" s="222" t="str">
        <f t="shared" si="109"/>
        <v>La Manouba</v>
      </c>
      <c r="B195" s="211"/>
    </row>
    <row r="196" spans="1:2" x14ac:dyDescent="0.25">
      <c r="A196" s="222" t="str">
        <f t="shared" si="109"/>
        <v>Ben Arous</v>
      </c>
      <c r="B196" s="211"/>
    </row>
    <row r="197" spans="1:2" x14ac:dyDescent="0.25">
      <c r="A197" s="222" t="str">
        <f t="shared" si="109"/>
        <v>Nabeul</v>
      </c>
      <c r="B197" s="211"/>
    </row>
    <row r="198" spans="1:2" x14ac:dyDescent="0.25">
      <c r="A198" s="222" t="str">
        <f t="shared" si="109"/>
        <v>Bizerte</v>
      </c>
      <c r="B198" s="211"/>
    </row>
    <row r="199" spans="1:2" x14ac:dyDescent="0.25">
      <c r="A199" s="222" t="str">
        <f t="shared" si="109"/>
        <v>Zaghouan</v>
      </c>
      <c r="B199" s="211"/>
    </row>
    <row r="200" spans="1:2" x14ac:dyDescent="0.25">
      <c r="A200" s="222" t="str">
        <f t="shared" si="109"/>
        <v>Béja</v>
      </c>
      <c r="B200" s="211"/>
    </row>
    <row r="201" spans="1:2" x14ac:dyDescent="0.25">
      <c r="A201" s="222" t="str">
        <f t="shared" si="109"/>
        <v>Jendouba</v>
      </c>
      <c r="B201" s="211"/>
    </row>
    <row r="202" spans="1:2" x14ac:dyDescent="0.25">
      <c r="A202" s="222" t="str">
        <f t="shared" si="109"/>
        <v>Le Kef</v>
      </c>
      <c r="B202" s="211"/>
    </row>
    <row r="203" spans="1:2" x14ac:dyDescent="0.25">
      <c r="A203" s="222" t="str">
        <f t="shared" si="109"/>
        <v>Siliana</v>
      </c>
      <c r="B203" s="211"/>
    </row>
    <row r="204" spans="1:2" x14ac:dyDescent="0.25">
      <c r="A204" s="222" t="str">
        <f t="shared" si="109"/>
        <v>Sousse</v>
      </c>
      <c r="B204" s="211"/>
    </row>
    <row r="205" spans="1:2" x14ac:dyDescent="0.25">
      <c r="A205" s="222" t="str">
        <f t="shared" si="109"/>
        <v>Monastir</v>
      </c>
      <c r="B205" s="211"/>
    </row>
    <row r="206" spans="1:2" x14ac:dyDescent="0.25">
      <c r="A206" s="222" t="str">
        <f t="shared" si="109"/>
        <v>Mahdia</v>
      </c>
      <c r="B206" s="211"/>
    </row>
    <row r="207" spans="1:2" x14ac:dyDescent="0.25">
      <c r="A207" s="222" t="str">
        <f t="shared" si="109"/>
        <v>Sfax</v>
      </c>
      <c r="B207" s="211"/>
    </row>
    <row r="208" spans="1:2" x14ac:dyDescent="0.25">
      <c r="A208" s="222" t="str">
        <f t="shared" si="109"/>
        <v>Kairouan</v>
      </c>
      <c r="B208" s="211"/>
    </row>
    <row r="209" spans="1:8" x14ac:dyDescent="0.25">
      <c r="A209" s="222" t="str">
        <f t="shared" si="109"/>
        <v>Kasserine</v>
      </c>
      <c r="B209" s="211"/>
    </row>
    <row r="210" spans="1:8" x14ac:dyDescent="0.25">
      <c r="A210" s="222" t="str">
        <f t="shared" si="109"/>
        <v>Sidi Bouzid</v>
      </c>
      <c r="B210" s="211"/>
    </row>
    <row r="211" spans="1:8" x14ac:dyDescent="0.25">
      <c r="A211" s="222" t="str">
        <f t="shared" si="109"/>
        <v>Gafsa</v>
      </c>
      <c r="B211" s="211"/>
    </row>
    <row r="212" spans="1:8" x14ac:dyDescent="0.25">
      <c r="A212" s="222" t="str">
        <f t="shared" si="109"/>
        <v>Gabès</v>
      </c>
      <c r="B212" s="211"/>
    </row>
    <row r="213" spans="1:8" x14ac:dyDescent="0.25">
      <c r="A213" s="222" t="str">
        <f t="shared" si="109"/>
        <v>Médenine</v>
      </c>
      <c r="B213" s="211"/>
    </row>
    <row r="214" spans="1:8" x14ac:dyDescent="0.25">
      <c r="A214" s="222" t="str">
        <f t="shared" si="109"/>
        <v>Tataouine</v>
      </c>
      <c r="B214" s="211"/>
    </row>
    <row r="215" spans="1:8" x14ac:dyDescent="0.25">
      <c r="A215" s="222" t="str">
        <f t="shared" si="109"/>
        <v>Tozeur</v>
      </c>
      <c r="B215" s="211"/>
    </row>
    <row r="216" spans="1:8" x14ac:dyDescent="0.25">
      <c r="A216" s="222" t="str">
        <f t="shared" si="109"/>
        <v>Kébili</v>
      </c>
      <c r="B216" s="211"/>
    </row>
    <row r="217" spans="1:8" ht="15.75" thickBot="1" x14ac:dyDescent="0.3">
      <c r="A217" s="209" t="s">
        <v>163</v>
      </c>
      <c r="B217" s="223">
        <f>SUM(B193:B216)</f>
        <v>0</v>
      </c>
    </row>
    <row r="218" spans="1:8" x14ac:dyDescent="0.25">
      <c r="A218" s="105"/>
    </row>
    <row r="219" spans="1:8" x14ac:dyDescent="0.25">
      <c r="A219" s="105"/>
    </row>
    <row r="222" spans="1:8" x14ac:dyDescent="0.25">
      <c r="A222" s="105" t="s">
        <v>855</v>
      </c>
    </row>
    <row r="223" spans="1:8" ht="17.25" x14ac:dyDescent="0.25">
      <c r="A223" t="s">
        <v>856</v>
      </c>
      <c r="D223" s="75"/>
      <c r="E223" t="s">
        <v>857</v>
      </c>
      <c r="G223" s="224"/>
      <c r="H223" s="106"/>
    </row>
    <row r="224" spans="1:8" x14ac:dyDescent="0.25">
      <c r="A224" t="s">
        <v>858</v>
      </c>
    </row>
    <row r="225" spans="1:8" x14ac:dyDescent="0.25">
      <c r="A225" t="s">
        <v>859</v>
      </c>
    </row>
    <row r="227" spans="1:8" x14ac:dyDescent="0.25">
      <c r="A227" s="874" t="s">
        <v>860</v>
      </c>
      <c r="B227" s="874"/>
      <c r="C227" s="874"/>
      <c r="D227" s="874"/>
      <c r="E227" s="874"/>
    </row>
    <row r="228" spans="1:8" x14ac:dyDescent="0.25">
      <c r="A228" s="20" t="s">
        <v>861</v>
      </c>
    </row>
    <row r="229" spans="1:8" x14ac:dyDescent="0.25">
      <c r="A229" s="873" t="s">
        <v>862</v>
      </c>
      <c r="B229" s="871" t="s">
        <v>863</v>
      </c>
      <c r="C229" s="871" t="s">
        <v>864</v>
      </c>
      <c r="D229" s="871"/>
      <c r="E229" s="871" t="s">
        <v>865</v>
      </c>
      <c r="F229" s="871"/>
    </row>
    <row r="230" spans="1:8" ht="38.25" x14ac:dyDescent="0.25">
      <c r="A230" s="873"/>
      <c r="B230" s="871"/>
      <c r="C230" s="107" t="s">
        <v>866</v>
      </c>
      <c r="D230" s="107" t="s">
        <v>867</v>
      </c>
      <c r="E230" s="107" t="s">
        <v>866</v>
      </c>
      <c r="F230" s="107" t="s">
        <v>867</v>
      </c>
      <c r="H230" s="107" t="s">
        <v>868</v>
      </c>
    </row>
    <row r="231" spans="1:8" x14ac:dyDescent="0.25">
      <c r="A231" s="873"/>
      <c r="B231" s="108" t="s">
        <v>869</v>
      </c>
      <c r="C231" s="108" t="s">
        <v>870</v>
      </c>
      <c r="D231" s="108" t="s">
        <v>871</v>
      </c>
      <c r="E231" s="108" t="s">
        <v>872</v>
      </c>
      <c r="F231" s="108" t="s">
        <v>873</v>
      </c>
    </row>
    <row r="232" spans="1:8" x14ac:dyDescent="0.25">
      <c r="A232" s="109" t="s">
        <v>874</v>
      </c>
      <c r="B232" s="110">
        <v>650</v>
      </c>
      <c r="C232" s="110">
        <v>72</v>
      </c>
      <c r="D232" s="110">
        <v>46</v>
      </c>
      <c r="E232" s="110">
        <v>109</v>
      </c>
      <c r="F232" s="110">
        <v>71</v>
      </c>
      <c r="H232" s="52">
        <f>E232/C232</f>
        <v>1.5138888888888888</v>
      </c>
    </row>
    <row r="233" spans="1:8" x14ac:dyDescent="0.25">
      <c r="A233" s="225" t="s">
        <v>875</v>
      </c>
      <c r="B233" s="226">
        <v>548</v>
      </c>
      <c r="C233" s="226">
        <v>63</v>
      </c>
      <c r="D233" s="226">
        <v>35</v>
      </c>
      <c r="E233" s="226">
        <v>82</v>
      </c>
      <c r="F233" s="226">
        <v>45</v>
      </c>
      <c r="G233" s="227"/>
      <c r="H233" s="318">
        <f t="shared" ref="H233:H237" si="110">E233/C233</f>
        <v>1.3015873015873016</v>
      </c>
    </row>
    <row r="234" spans="1:8" x14ac:dyDescent="0.25">
      <c r="A234" s="109" t="s">
        <v>876</v>
      </c>
      <c r="B234" s="110">
        <v>198</v>
      </c>
      <c r="C234" s="110">
        <v>55</v>
      </c>
      <c r="D234" s="110">
        <v>11</v>
      </c>
      <c r="E234" s="110">
        <v>64</v>
      </c>
      <c r="F234" s="110">
        <v>13</v>
      </c>
      <c r="H234" s="52">
        <f t="shared" si="110"/>
        <v>1.1636363636363636</v>
      </c>
    </row>
    <row r="235" spans="1:8" x14ac:dyDescent="0.25">
      <c r="A235" s="109" t="s">
        <v>877</v>
      </c>
      <c r="B235" s="110" t="s">
        <v>878</v>
      </c>
      <c r="C235" s="110">
        <v>112</v>
      </c>
      <c r="D235" s="110">
        <v>116</v>
      </c>
      <c r="E235" s="110">
        <v>59</v>
      </c>
      <c r="F235" s="110">
        <v>61</v>
      </c>
      <c r="H235" s="52">
        <f t="shared" si="110"/>
        <v>0.5267857142857143</v>
      </c>
    </row>
    <row r="236" spans="1:8" ht="25.5" x14ac:dyDescent="0.25">
      <c r="A236" s="109" t="s">
        <v>879</v>
      </c>
      <c r="B236" s="110">
        <v>549</v>
      </c>
      <c r="C236" s="110">
        <v>123</v>
      </c>
      <c r="D236" s="110">
        <v>67</v>
      </c>
      <c r="E236" s="110">
        <v>95</v>
      </c>
      <c r="F236" s="110">
        <v>52</v>
      </c>
      <c r="H236" s="52">
        <f t="shared" si="110"/>
        <v>0.77235772357723576</v>
      </c>
    </row>
    <row r="237" spans="1:8" x14ac:dyDescent="0.25">
      <c r="A237" s="109" t="s">
        <v>880</v>
      </c>
      <c r="B237" s="110">
        <v>886</v>
      </c>
      <c r="C237" s="110">
        <v>125</v>
      </c>
      <c r="D237" s="110">
        <v>111</v>
      </c>
      <c r="E237" s="110">
        <v>203</v>
      </c>
      <c r="F237" s="110">
        <v>180</v>
      </c>
      <c r="H237" s="52">
        <f t="shared" si="110"/>
        <v>1.6240000000000001</v>
      </c>
    </row>
    <row r="238" spans="1:8" x14ac:dyDescent="0.25">
      <c r="A238" s="111" t="s">
        <v>120</v>
      </c>
      <c r="B238" s="112" t="s">
        <v>881</v>
      </c>
      <c r="C238" s="112">
        <v>100</v>
      </c>
      <c r="D238" s="112">
        <v>386</v>
      </c>
      <c r="E238" s="112">
        <v>109</v>
      </c>
      <c r="F238" s="112">
        <v>422</v>
      </c>
      <c r="H238" s="52">
        <f>E238/C238</f>
        <v>1.0900000000000001</v>
      </c>
    </row>
    <row r="240" spans="1:8" ht="36" x14ac:dyDescent="0.25">
      <c r="A240" s="113" t="s">
        <v>882</v>
      </c>
    </row>
    <row r="241" spans="1:7" x14ac:dyDescent="0.25">
      <c r="A241" s="20" t="s">
        <v>883</v>
      </c>
    </row>
    <row r="242" spans="1:7" x14ac:dyDescent="0.25">
      <c r="A242" s="20" t="s">
        <v>861</v>
      </c>
    </row>
    <row r="245" spans="1:7" x14ac:dyDescent="0.25">
      <c r="A245" s="20" t="s">
        <v>884</v>
      </c>
    </row>
    <row r="246" spans="1:7" x14ac:dyDescent="0.25">
      <c r="A246" t="s">
        <v>885</v>
      </c>
    </row>
    <row r="247" spans="1:7" x14ac:dyDescent="0.25">
      <c r="C247" s="1">
        <v>2000</v>
      </c>
      <c r="D247" s="1">
        <v>2021</v>
      </c>
    </row>
    <row r="248" spans="1:7" x14ac:dyDescent="0.25">
      <c r="A248" t="s">
        <v>886</v>
      </c>
      <c r="C248" s="124" t="e">
        <f>C250/E260</f>
        <v>#DIV/0!</v>
      </c>
      <c r="D248" s="124" t="e">
        <f>D250/E260</f>
        <v>#DIV/0!</v>
      </c>
    </row>
    <row r="249" spans="1:7" x14ac:dyDescent="0.25">
      <c r="A249" t="s">
        <v>887</v>
      </c>
      <c r="C249" s="124" t="e">
        <f>C251/E260</f>
        <v>#DIV/0!</v>
      </c>
      <c r="D249" s="124" t="e">
        <f>D251/E260</f>
        <v>#DIV/0!</v>
      </c>
    </row>
    <row r="250" spans="1:7" x14ac:dyDescent="0.25">
      <c r="A250" t="s">
        <v>888</v>
      </c>
      <c r="C250" s="57">
        <f>92%*D250</f>
        <v>0</v>
      </c>
      <c r="D250" s="124">
        <f>J13</f>
        <v>0</v>
      </c>
      <c r="E250" s="1" t="s">
        <v>889</v>
      </c>
      <c r="G250" s="20" t="s">
        <v>890</v>
      </c>
    </row>
    <row r="251" spans="1:7" x14ac:dyDescent="0.25">
      <c r="A251" t="s">
        <v>891</v>
      </c>
      <c r="C251" s="124">
        <f>C250/$R$5</f>
        <v>0</v>
      </c>
      <c r="D251" s="124">
        <f>D250/$R$1</f>
        <v>0</v>
      </c>
    </row>
    <row r="253" spans="1:7" x14ac:dyDescent="0.25">
      <c r="A253" t="s">
        <v>892</v>
      </c>
      <c r="C253" s="20" t="s">
        <v>893</v>
      </c>
    </row>
    <row r="254" spans="1:7" x14ac:dyDescent="0.25">
      <c r="A254" t="s">
        <v>894</v>
      </c>
      <c r="C254" s="20" t="s">
        <v>895</v>
      </c>
    </row>
    <row r="255" spans="1:7" ht="47.25" x14ac:dyDescent="0.25">
      <c r="B255" s="22" t="s">
        <v>896</v>
      </c>
      <c r="C255" s="44" t="s">
        <v>897</v>
      </c>
      <c r="D255" s="22" t="s">
        <v>898</v>
      </c>
      <c r="E255" s="114" t="s">
        <v>899</v>
      </c>
      <c r="F255" s="2" t="s">
        <v>900</v>
      </c>
    </row>
    <row r="256" spans="1:7" x14ac:dyDescent="0.25">
      <c r="B256" t="s">
        <v>901</v>
      </c>
      <c r="C256" s="75">
        <f>B48</f>
        <v>0</v>
      </c>
      <c r="D256" s="95">
        <v>0.55000000000000004</v>
      </c>
      <c r="E256" s="95">
        <f>D256*1000/1000</f>
        <v>0.55000000000000004</v>
      </c>
    </row>
    <row r="257" spans="2:6" x14ac:dyDescent="0.25">
      <c r="B257" t="s">
        <v>902</v>
      </c>
      <c r="C257" s="66"/>
      <c r="D257" s="95">
        <v>0.67500000000000004</v>
      </c>
      <c r="E257" s="95">
        <f t="shared" ref="E257:E258" si="111">D257*1000/1000</f>
        <v>0.67500000000000004</v>
      </c>
    </row>
    <row r="258" spans="2:6" x14ac:dyDescent="0.25">
      <c r="B258" t="s">
        <v>903</v>
      </c>
      <c r="C258" s="66"/>
      <c r="D258" s="95">
        <v>0.86499999999999999</v>
      </c>
      <c r="E258" s="95">
        <f t="shared" si="111"/>
        <v>0.86499999999999999</v>
      </c>
    </row>
    <row r="259" spans="2:6" x14ac:dyDescent="0.25">
      <c r="B259" t="s">
        <v>904</v>
      </c>
      <c r="C259" s="66"/>
      <c r="D259" s="95">
        <v>0.37</v>
      </c>
      <c r="E259" s="95" t="e">
        <f>E260</f>
        <v>#DIV/0!</v>
      </c>
    </row>
    <row r="260" spans="2:6" x14ac:dyDescent="0.25">
      <c r="B260" t="s">
        <v>905</v>
      </c>
      <c r="C260" s="1">
        <f>SUM(C256:C259)</f>
        <v>0</v>
      </c>
      <c r="D260" s="124" t="e">
        <f>SUMPRODUCT(C256:C259,D256:D259)/C260</f>
        <v>#DIV/0!</v>
      </c>
      <c r="E260" s="142" t="e">
        <f>D260*1000/1000</f>
        <v>#DIV/0!</v>
      </c>
      <c r="F260" s="269">
        <v>0.5</v>
      </c>
    </row>
    <row r="261" spans="2:6" x14ac:dyDescent="0.25">
      <c r="C261" t="s">
        <v>906</v>
      </c>
    </row>
    <row r="262" spans="2:6" x14ac:dyDescent="0.25">
      <c r="C262" s="20" t="s">
        <v>884</v>
      </c>
    </row>
    <row r="263" spans="2:6" x14ac:dyDescent="0.25">
      <c r="C263" s="20" t="s">
        <v>907</v>
      </c>
    </row>
  </sheetData>
  <mergeCells count="46">
    <mergeCell ref="AG2:AL5"/>
    <mergeCell ref="A191:E191"/>
    <mergeCell ref="G154:G155"/>
    <mergeCell ref="A185:V185"/>
    <mergeCell ref="A186:O186"/>
    <mergeCell ref="O22:R22"/>
    <mergeCell ref="S22:V22"/>
    <mergeCell ref="C49:E49"/>
    <mergeCell ref="A53:N53"/>
    <mergeCell ref="A54:A55"/>
    <mergeCell ref="B54:B55"/>
    <mergeCell ref="C54:F54"/>
    <mergeCell ref="G54:J54"/>
    <mergeCell ref="K54:N54"/>
    <mergeCell ref="N91:Q91"/>
    <mergeCell ref="G22:J22"/>
    <mergeCell ref="K22:N22"/>
    <mergeCell ref="A17:B17"/>
    <mergeCell ref="B22:B23"/>
    <mergeCell ref="C22:F22"/>
    <mergeCell ref="A122:A124"/>
    <mergeCell ref="B122:E122"/>
    <mergeCell ref="A22:A23"/>
    <mergeCell ref="A1:G1"/>
    <mergeCell ref="A5:N5"/>
    <mergeCell ref="A7:B7"/>
    <mergeCell ref="C6:E6"/>
    <mergeCell ref="A16:D16"/>
    <mergeCell ref="E16:F16"/>
    <mergeCell ref="I16:M16"/>
    <mergeCell ref="E229:F229"/>
    <mergeCell ref="C229:D229"/>
    <mergeCell ref="B229:B230"/>
    <mergeCell ref="W91:W92"/>
    <mergeCell ref="A90:A91"/>
    <mergeCell ref="B90:F90"/>
    <mergeCell ref="C91:E91"/>
    <mergeCell ref="F91:I91"/>
    <mergeCell ref="J91:M91"/>
    <mergeCell ref="R90:R92"/>
    <mergeCell ref="S90:S92"/>
    <mergeCell ref="T91:T92"/>
    <mergeCell ref="A229:A231"/>
    <mergeCell ref="A154:A155"/>
    <mergeCell ref="B154:F154"/>
    <mergeCell ref="A227:E227"/>
  </mergeCells>
  <hyperlinks>
    <hyperlink ref="A241" r:id="rId1" display="http://www.fao.org/3/y1997e/y1997e0b.jpg" xr:uid="{BC87BD97-8F54-4D24-A84A-C2EE8DD169A2}"/>
    <hyperlink ref="A242" r:id="rId2" xr:uid="{4647BE5A-25E2-4337-92D0-58EC46290C7A}"/>
    <hyperlink ref="A228" r:id="rId3" xr:uid="{4227EB5F-5635-4A88-AC5A-F3FE92532C48}"/>
    <hyperlink ref="A245" r:id="rId4" xr:uid="{A8B53E08-0427-4BF7-A3E2-8D112667ECEF}"/>
    <hyperlink ref="R90:R92" r:id="rId5" display="Total woody biomass carbon prevented from being released from deforestation (ton) - assuming only 50% is burned" xr:uid="{B5229D75-B7A1-4308-ADAD-A3A9533794A0}"/>
    <hyperlink ref="H86" r:id="rId6" location=":~:text=The%20study%2C%20published%20today%20in,estimate%20of%20%2451%20per%20ton. " xr:uid="{AFE88E43-D06F-4D19-8498-39360A851E6D}"/>
    <hyperlink ref="H84" r:id="rId7" xr:uid="{936F588A-7966-4BCA-9897-5D217ADF41D0}"/>
    <hyperlink ref="I16" r:id="rId8" xr:uid="{D28F8604-0214-4255-92E6-60BD0075DFAA}"/>
    <hyperlink ref="I89" r:id="rId9" xr:uid="{45DDAE66-76CE-4E91-8269-8C7581D48A51}"/>
    <hyperlink ref="G250" r:id="rId10" xr:uid="{E90AE6B7-B57F-4B54-9184-4970E4AB9296}"/>
    <hyperlink ref="C263" r:id="rId11" xr:uid="{F60A9D5D-A307-47F6-9387-997BE0D6572C}"/>
    <hyperlink ref="C262" r:id="rId12" xr:uid="{80420D5D-2D1E-49BC-862E-41E6497C5511}"/>
    <hyperlink ref="C254" r:id="rId13" xr:uid="{084DB66F-0E9D-44B6-86B8-C59DE5E71498}"/>
    <hyperlink ref="C253" r:id="rId14" xr:uid="{81E7C1A8-F525-4DC5-A0BC-1639F02450B7}"/>
  </hyperlinks>
  <pageMargins left="0.7" right="0.7" top="0.75" bottom="0.75" header="0.3" footer="0.3"/>
  <pageSetup orientation="portrait" r:id="rId15"/>
  <legacyDrawing r:id="rId16"/>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B6521-1DD3-4026-9165-5B1AD23702EB}">
  <dimension ref="A1:AD124"/>
  <sheetViews>
    <sheetView topLeftCell="A109" workbookViewId="0">
      <selection activeCell="H36" sqref="H36:H59"/>
    </sheetView>
  </sheetViews>
  <sheetFormatPr defaultRowHeight="15" x14ac:dyDescent="0.25"/>
  <cols>
    <col min="1" max="1" width="2.85546875" bestFit="1" customWidth="1"/>
    <col min="2" max="2" width="14.85546875" bestFit="1" customWidth="1"/>
    <col min="3" max="3" width="14.85546875" customWidth="1"/>
    <col min="4" max="4" width="14.5703125" customWidth="1"/>
    <col min="5" max="5" width="17.5703125" customWidth="1"/>
    <col min="6" max="6" width="14.85546875" customWidth="1"/>
    <col min="7" max="7" width="21.42578125" customWidth="1"/>
    <col min="8" max="8" width="16.85546875" customWidth="1"/>
    <col min="9" max="9" width="22.140625" customWidth="1"/>
    <col min="10" max="10" width="19.140625" customWidth="1"/>
    <col min="11" max="11" width="31.140625" customWidth="1"/>
    <col min="12" max="12" width="16.42578125" customWidth="1"/>
    <col min="13" max="13" width="15.85546875" customWidth="1"/>
    <col min="14" max="15" width="14.85546875" customWidth="1"/>
    <col min="16" max="16" width="18.85546875" customWidth="1"/>
    <col min="17" max="17" width="18" customWidth="1"/>
    <col min="18" max="19" width="14.85546875" customWidth="1"/>
    <col min="20" max="20" width="18.85546875" customWidth="1"/>
    <col min="21" max="23" width="14.85546875" customWidth="1"/>
    <col min="24" max="24" width="18.85546875" customWidth="1"/>
    <col min="26" max="27" width="18.85546875" customWidth="1"/>
    <col min="28" max="29" width="14.85546875" customWidth="1"/>
    <col min="31" max="31" width="12.28515625" customWidth="1"/>
    <col min="32" max="32" width="17.85546875" customWidth="1"/>
    <col min="33" max="33" width="16" customWidth="1"/>
    <col min="34" max="34" width="16.85546875" customWidth="1"/>
    <col min="35" max="35" width="9.140625" bestFit="1" customWidth="1"/>
  </cols>
  <sheetData>
    <row r="1" spans="1:30" ht="17.25" x14ac:dyDescent="0.25">
      <c r="W1" t="s">
        <v>9</v>
      </c>
      <c r="X1" s="10">
        <f>'Prices,exch.rates,harvest index'!M2</f>
        <v>2.8759999999999999</v>
      </c>
      <c r="Y1" t="s">
        <v>10</v>
      </c>
      <c r="AB1" s="1" t="s">
        <v>908</v>
      </c>
      <c r="AD1" s="4"/>
    </row>
    <row r="3" spans="1:30" ht="58.5" customHeight="1" x14ac:dyDescent="0.3">
      <c r="A3" s="755"/>
      <c r="B3" s="756" t="s">
        <v>101</v>
      </c>
      <c r="C3" s="771" t="s">
        <v>1164</v>
      </c>
      <c r="D3" s="759" t="s">
        <v>909</v>
      </c>
      <c r="E3" s="759"/>
      <c r="F3" s="759"/>
      <c r="G3" s="887" t="s">
        <v>910</v>
      </c>
      <c r="H3" s="762" t="s">
        <v>911</v>
      </c>
      <c r="I3" s="762"/>
      <c r="J3" s="762"/>
      <c r="K3" s="762"/>
      <c r="L3" s="762"/>
      <c r="M3" s="762"/>
      <c r="N3" s="762"/>
      <c r="O3" s="762" t="s">
        <v>912</v>
      </c>
      <c r="P3" s="763"/>
      <c r="Q3" s="770"/>
      <c r="R3" s="762" t="s">
        <v>913</v>
      </c>
      <c r="S3" s="762"/>
      <c r="T3" s="762"/>
      <c r="U3" s="762"/>
      <c r="V3" s="762" t="s">
        <v>914</v>
      </c>
      <c r="W3" s="762"/>
      <c r="X3" s="762"/>
      <c r="Y3" s="892" t="s">
        <v>915</v>
      </c>
      <c r="Z3" s="891" t="s">
        <v>916</v>
      </c>
      <c r="AA3" s="891"/>
      <c r="AB3" s="891"/>
    </row>
    <row r="4" spans="1:30" ht="45.75" x14ac:dyDescent="0.3">
      <c r="A4" s="755"/>
      <c r="B4" s="756"/>
      <c r="C4" s="888"/>
      <c r="D4" s="85" t="s">
        <v>917</v>
      </c>
      <c r="E4" s="85" t="s">
        <v>918</v>
      </c>
      <c r="F4" s="357" t="s">
        <v>120</v>
      </c>
      <c r="G4" s="887"/>
      <c r="H4" s="85" t="s">
        <v>917</v>
      </c>
      <c r="I4" s="519" t="s">
        <v>919</v>
      </c>
      <c r="J4" s="519" t="s">
        <v>920</v>
      </c>
      <c r="K4" s="520" t="s">
        <v>921</v>
      </c>
      <c r="L4" s="85" t="s">
        <v>918</v>
      </c>
      <c r="M4" s="357" t="s">
        <v>120</v>
      </c>
      <c r="N4" s="174" t="s">
        <v>922</v>
      </c>
      <c r="O4" s="85" t="s">
        <v>917</v>
      </c>
      <c r="P4" s="85" t="s">
        <v>918</v>
      </c>
      <c r="Q4" s="357" t="s">
        <v>120</v>
      </c>
      <c r="R4" s="85" t="s">
        <v>917</v>
      </c>
      <c r="S4" s="85" t="s">
        <v>918</v>
      </c>
      <c r="T4" s="357" t="s">
        <v>120</v>
      </c>
      <c r="U4" s="174" t="s">
        <v>923</v>
      </c>
      <c r="V4" s="85" t="s">
        <v>924</v>
      </c>
      <c r="W4" s="85" t="s">
        <v>1118</v>
      </c>
      <c r="X4" s="357" t="s">
        <v>120</v>
      </c>
      <c r="Y4" s="892"/>
      <c r="Z4" s="528" t="s">
        <v>925</v>
      </c>
      <c r="AA4" s="528" t="s">
        <v>926</v>
      </c>
      <c r="AB4" s="528" t="s">
        <v>120</v>
      </c>
    </row>
    <row r="5" spans="1:30" x14ac:dyDescent="0.25">
      <c r="A5" s="506">
        <v>1</v>
      </c>
      <c r="B5" s="506" t="s">
        <v>139</v>
      </c>
      <c r="C5" s="611">
        <v>252.7566476584565</v>
      </c>
      <c r="D5" s="508"/>
      <c r="E5" s="508"/>
      <c r="F5" s="242">
        <f>SUM(D5:E5)</f>
        <v>0</v>
      </c>
      <c r="G5" s="511"/>
      <c r="H5" s="242">
        <f>D5*G5</f>
        <v>0</v>
      </c>
      <c r="I5" s="515"/>
      <c r="J5" s="527">
        <f>(100%-I5)*H5</f>
        <v>0</v>
      </c>
      <c r="K5" s="515"/>
      <c r="L5" s="527">
        <f>E5*K5</f>
        <v>0</v>
      </c>
      <c r="M5" s="518">
        <f t="shared" ref="M5" si="0">J5+L5</f>
        <v>0</v>
      </c>
      <c r="N5" s="525"/>
      <c r="O5" s="522" t="e">
        <f>(J5/M5)*N5</f>
        <v>#DIV/0!</v>
      </c>
      <c r="P5" s="522" t="e">
        <f>(L5/M5)*N5</f>
        <v>#DIV/0!</v>
      </c>
      <c r="Q5" s="522" t="e">
        <f>O5+P5</f>
        <v>#DIV/0!</v>
      </c>
      <c r="R5" s="523" t="e">
        <f>MAX(J5-O5,0)</f>
        <v>#DIV/0!</v>
      </c>
      <c r="S5" s="523" t="e">
        <f>MAX(L5-P5,0)</f>
        <v>#DIV/0!</v>
      </c>
      <c r="T5" s="242" t="e">
        <f>SUM(R5:S5)</f>
        <v>#DIV/0!</v>
      </c>
      <c r="U5" s="206" t="e">
        <f>T5/M5</f>
        <v>#DIV/0!</v>
      </c>
      <c r="V5" s="522">
        <f t="shared" ref="V5" si="1">H5*I5</f>
        <v>0</v>
      </c>
      <c r="W5" s="526" t="e">
        <f t="shared" ref="W5" si="2">T5</f>
        <v>#DIV/0!</v>
      </c>
      <c r="X5" s="527" t="e">
        <f>V5+W5</f>
        <v>#DIV/0!</v>
      </c>
      <c r="Y5" s="233" t="e">
        <f>X5/F5</f>
        <v>#DIV/0!</v>
      </c>
      <c r="Z5" s="118"/>
      <c r="AA5" s="118"/>
      <c r="AB5" s="214">
        <f>SUM(Z5:AA5)</f>
        <v>0</v>
      </c>
      <c r="AC5" s="76"/>
    </row>
    <row r="6" spans="1:30" x14ac:dyDescent="0.25">
      <c r="A6" s="506">
        <v>2</v>
      </c>
      <c r="B6" s="506" t="s">
        <v>140</v>
      </c>
      <c r="C6" s="611">
        <v>1923.6886050224621</v>
      </c>
      <c r="D6" s="508"/>
      <c r="E6" s="508"/>
      <c r="F6" s="242">
        <f t="shared" ref="F6:F28" si="3">SUM(D6:E6)</f>
        <v>0</v>
      </c>
      <c r="G6" s="511"/>
      <c r="H6" s="242">
        <f t="shared" ref="H6:H28" si="4">D6*G6</f>
        <v>0</v>
      </c>
      <c r="I6" s="515"/>
      <c r="J6" s="527">
        <f t="shared" ref="J6:J28" si="5">(100%-I6)*H6</f>
        <v>0</v>
      </c>
      <c r="K6" s="515"/>
      <c r="L6" s="527">
        <f t="shared" ref="L6:L28" si="6">E6*K6</f>
        <v>0</v>
      </c>
      <c r="M6" s="518">
        <f t="shared" ref="M6:M28" si="7">J6+L6</f>
        <v>0</v>
      </c>
      <c r="N6" s="525"/>
      <c r="O6" s="522" t="e">
        <f t="shared" ref="O6:O28" si="8">(J6/M6)*N6</f>
        <v>#DIV/0!</v>
      </c>
      <c r="P6" s="522" t="e">
        <f t="shared" ref="P6:P28" si="9">(L6/M6)*N6</f>
        <v>#DIV/0!</v>
      </c>
      <c r="Q6" s="522" t="e">
        <f t="shared" ref="Q6:Q28" si="10">O6+P6</f>
        <v>#DIV/0!</v>
      </c>
      <c r="R6" s="523" t="e">
        <f t="shared" ref="R6:R28" si="11">MAX(J6-O6,0)</f>
        <v>#DIV/0!</v>
      </c>
      <c r="S6" s="523" t="e">
        <f t="shared" ref="S6:S28" si="12">MAX(L6-P6,0)</f>
        <v>#DIV/0!</v>
      </c>
      <c r="T6" s="242" t="e">
        <f t="shared" ref="T6:T28" si="13">SUM(R6:S6)</f>
        <v>#DIV/0!</v>
      </c>
      <c r="U6" s="206" t="e">
        <f t="shared" ref="U6:U28" si="14">T6/M6</f>
        <v>#DIV/0!</v>
      </c>
      <c r="V6" s="522">
        <f t="shared" ref="V6:V28" si="15">H6*I6</f>
        <v>0</v>
      </c>
      <c r="W6" s="526" t="e">
        <f t="shared" ref="W6:W28" si="16">T6</f>
        <v>#DIV/0!</v>
      </c>
      <c r="X6" s="527" t="e">
        <f t="shared" ref="X6:X28" si="17">V6+W6</f>
        <v>#DIV/0!</v>
      </c>
      <c r="Y6" s="233" t="e">
        <f t="shared" ref="Y6:Y28" si="18">X6/F6</f>
        <v>#DIV/0!</v>
      </c>
      <c r="Z6" s="118"/>
      <c r="AA6" s="118"/>
      <c r="AB6" s="214">
        <f>SUM(Z6:AA6)</f>
        <v>0</v>
      </c>
    </row>
    <row r="7" spans="1:30" x14ac:dyDescent="0.25">
      <c r="A7" s="506">
        <v>3</v>
      </c>
      <c r="B7" s="506" t="s">
        <v>141</v>
      </c>
      <c r="C7" s="611">
        <v>291.57447034385945</v>
      </c>
      <c r="D7" s="508"/>
      <c r="E7" s="508"/>
      <c r="F7" s="242">
        <f t="shared" si="3"/>
        <v>0</v>
      </c>
      <c r="G7" s="511"/>
      <c r="H7" s="242">
        <f t="shared" si="4"/>
        <v>0</v>
      </c>
      <c r="I7" s="515"/>
      <c r="J7" s="527">
        <f t="shared" si="5"/>
        <v>0</v>
      </c>
      <c r="K7" s="515"/>
      <c r="L7" s="527">
        <f t="shared" si="6"/>
        <v>0</v>
      </c>
      <c r="M7" s="518">
        <f t="shared" si="7"/>
        <v>0</v>
      </c>
      <c r="N7" s="525"/>
      <c r="O7" s="522" t="e">
        <f t="shared" si="8"/>
        <v>#DIV/0!</v>
      </c>
      <c r="P7" s="522" t="e">
        <f t="shared" si="9"/>
        <v>#DIV/0!</v>
      </c>
      <c r="Q7" s="522" t="e">
        <f t="shared" si="10"/>
        <v>#DIV/0!</v>
      </c>
      <c r="R7" s="523" t="e">
        <f t="shared" si="11"/>
        <v>#DIV/0!</v>
      </c>
      <c r="S7" s="523" t="e">
        <f t="shared" si="12"/>
        <v>#DIV/0!</v>
      </c>
      <c r="T7" s="242" t="e">
        <f t="shared" si="13"/>
        <v>#DIV/0!</v>
      </c>
      <c r="U7" s="206" t="e">
        <f t="shared" si="14"/>
        <v>#DIV/0!</v>
      </c>
      <c r="V7" s="522">
        <f t="shared" si="15"/>
        <v>0</v>
      </c>
      <c r="W7" s="526" t="e">
        <f t="shared" si="16"/>
        <v>#DIV/0!</v>
      </c>
      <c r="X7" s="527" t="e">
        <f t="shared" si="17"/>
        <v>#DIV/0!</v>
      </c>
      <c r="Y7" s="233" t="e">
        <f t="shared" si="18"/>
        <v>#DIV/0!</v>
      </c>
      <c r="Z7" s="118"/>
      <c r="AA7" s="118"/>
      <c r="AB7" s="214"/>
    </row>
    <row r="8" spans="1:30" x14ac:dyDescent="0.25">
      <c r="A8" s="506">
        <v>4</v>
      </c>
      <c r="B8" s="506" t="s">
        <v>142</v>
      </c>
      <c r="C8" s="611">
        <v>2032.3050299711006</v>
      </c>
      <c r="D8" s="508"/>
      <c r="E8" s="508"/>
      <c r="F8" s="242">
        <f t="shared" si="3"/>
        <v>0</v>
      </c>
      <c r="G8" s="511"/>
      <c r="H8" s="242">
        <f t="shared" si="4"/>
        <v>0</v>
      </c>
      <c r="I8" s="515"/>
      <c r="J8" s="527">
        <f t="shared" si="5"/>
        <v>0</v>
      </c>
      <c r="K8" s="515"/>
      <c r="L8" s="527">
        <f t="shared" si="6"/>
        <v>0</v>
      </c>
      <c r="M8" s="518">
        <f t="shared" si="7"/>
        <v>0</v>
      </c>
      <c r="N8" s="525"/>
      <c r="O8" s="522" t="e">
        <f t="shared" si="8"/>
        <v>#DIV/0!</v>
      </c>
      <c r="P8" s="522" t="e">
        <f t="shared" si="9"/>
        <v>#DIV/0!</v>
      </c>
      <c r="Q8" s="522" t="e">
        <f t="shared" si="10"/>
        <v>#DIV/0!</v>
      </c>
      <c r="R8" s="523" t="e">
        <f t="shared" si="11"/>
        <v>#DIV/0!</v>
      </c>
      <c r="S8" s="523" t="e">
        <f t="shared" si="12"/>
        <v>#DIV/0!</v>
      </c>
      <c r="T8" s="242" t="e">
        <f t="shared" si="13"/>
        <v>#DIV/0!</v>
      </c>
      <c r="U8" s="206" t="e">
        <f t="shared" si="14"/>
        <v>#DIV/0!</v>
      </c>
      <c r="V8" s="522">
        <f t="shared" si="15"/>
        <v>0</v>
      </c>
      <c r="W8" s="526" t="e">
        <f t="shared" si="16"/>
        <v>#DIV/0!</v>
      </c>
      <c r="X8" s="527" t="e">
        <f t="shared" si="17"/>
        <v>#DIV/0!</v>
      </c>
      <c r="Y8" s="233" t="e">
        <f t="shared" si="18"/>
        <v>#DIV/0!</v>
      </c>
      <c r="Z8" s="118"/>
      <c r="AA8" s="118"/>
      <c r="AB8" s="214"/>
    </row>
    <row r="9" spans="1:30" x14ac:dyDescent="0.25">
      <c r="A9" s="506">
        <v>5</v>
      </c>
      <c r="B9" s="506" t="s">
        <v>143</v>
      </c>
      <c r="C9" s="611">
        <v>61.253730002433016</v>
      </c>
      <c r="D9" s="508"/>
      <c r="E9" s="508"/>
      <c r="F9" s="242">
        <f t="shared" si="3"/>
        <v>0</v>
      </c>
      <c r="G9" s="511"/>
      <c r="H9" s="242">
        <f t="shared" si="4"/>
        <v>0</v>
      </c>
      <c r="I9" s="515"/>
      <c r="J9" s="527">
        <f t="shared" si="5"/>
        <v>0</v>
      </c>
      <c r="K9" s="515"/>
      <c r="L9" s="527">
        <f t="shared" si="6"/>
        <v>0</v>
      </c>
      <c r="M9" s="518">
        <f t="shared" si="7"/>
        <v>0</v>
      </c>
      <c r="N9" s="525"/>
      <c r="O9" s="522" t="e">
        <f t="shared" si="8"/>
        <v>#DIV/0!</v>
      </c>
      <c r="P9" s="522" t="e">
        <f t="shared" si="9"/>
        <v>#DIV/0!</v>
      </c>
      <c r="Q9" s="522" t="e">
        <f t="shared" si="10"/>
        <v>#DIV/0!</v>
      </c>
      <c r="R9" s="523" t="e">
        <f t="shared" si="11"/>
        <v>#DIV/0!</v>
      </c>
      <c r="S9" s="523" t="e">
        <f t="shared" si="12"/>
        <v>#DIV/0!</v>
      </c>
      <c r="T9" s="242" t="e">
        <f t="shared" si="13"/>
        <v>#DIV/0!</v>
      </c>
      <c r="U9" s="206" t="e">
        <f t="shared" si="14"/>
        <v>#DIV/0!</v>
      </c>
      <c r="V9" s="522">
        <f t="shared" si="15"/>
        <v>0</v>
      </c>
      <c r="W9" s="526" t="e">
        <f t="shared" si="16"/>
        <v>#DIV/0!</v>
      </c>
      <c r="X9" s="527" t="e">
        <f t="shared" si="17"/>
        <v>#DIV/0!</v>
      </c>
      <c r="Y9" s="233" t="e">
        <f t="shared" si="18"/>
        <v>#DIV/0!</v>
      </c>
      <c r="Z9" s="118"/>
      <c r="AA9" s="118"/>
      <c r="AB9" s="214"/>
    </row>
    <row r="10" spans="1:30" x14ac:dyDescent="0.25">
      <c r="A10" s="506">
        <v>6</v>
      </c>
      <c r="B10" s="506" t="s">
        <v>144</v>
      </c>
      <c r="C10" s="611">
        <v>577.83594137707041</v>
      </c>
      <c r="D10" s="508"/>
      <c r="E10" s="508"/>
      <c r="F10" s="242">
        <f t="shared" si="3"/>
        <v>0</v>
      </c>
      <c r="G10" s="511"/>
      <c r="H10" s="242">
        <f t="shared" si="4"/>
        <v>0</v>
      </c>
      <c r="I10" s="515"/>
      <c r="J10" s="527">
        <f t="shared" si="5"/>
        <v>0</v>
      </c>
      <c r="K10" s="515"/>
      <c r="L10" s="527">
        <f t="shared" si="6"/>
        <v>0</v>
      </c>
      <c r="M10" s="518">
        <f t="shared" si="7"/>
        <v>0</v>
      </c>
      <c r="N10" s="525"/>
      <c r="O10" s="522" t="e">
        <f t="shared" si="8"/>
        <v>#DIV/0!</v>
      </c>
      <c r="P10" s="522" t="e">
        <f t="shared" si="9"/>
        <v>#DIV/0!</v>
      </c>
      <c r="Q10" s="522" t="e">
        <f t="shared" si="10"/>
        <v>#DIV/0!</v>
      </c>
      <c r="R10" s="523" t="e">
        <f t="shared" si="11"/>
        <v>#DIV/0!</v>
      </c>
      <c r="S10" s="523" t="e">
        <f t="shared" si="12"/>
        <v>#DIV/0!</v>
      </c>
      <c r="T10" s="242" t="e">
        <f t="shared" si="13"/>
        <v>#DIV/0!</v>
      </c>
      <c r="U10" s="206" t="e">
        <f t="shared" si="14"/>
        <v>#DIV/0!</v>
      </c>
      <c r="V10" s="522">
        <f t="shared" si="15"/>
        <v>0</v>
      </c>
      <c r="W10" s="526" t="e">
        <f t="shared" si="16"/>
        <v>#DIV/0!</v>
      </c>
      <c r="X10" s="527" t="e">
        <f t="shared" si="17"/>
        <v>#DIV/0!</v>
      </c>
      <c r="Y10" s="233" t="e">
        <f t="shared" si="18"/>
        <v>#DIV/0!</v>
      </c>
      <c r="Z10" s="118"/>
      <c r="AA10" s="118"/>
      <c r="AB10" s="214"/>
    </row>
    <row r="11" spans="1:30" x14ac:dyDescent="0.25">
      <c r="A11" s="506">
        <v>7</v>
      </c>
      <c r="B11" s="506" t="s">
        <v>145</v>
      </c>
      <c r="C11" s="611">
        <v>2150.3781381974381</v>
      </c>
      <c r="D11" s="508"/>
      <c r="E11" s="508"/>
      <c r="F11" s="242">
        <f t="shared" si="3"/>
        <v>0</v>
      </c>
      <c r="G11" s="511"/>
      <c r="H11" s="242">
        <f t="shared" si="4"/>
        <v>0</v>
      </c>
      <c r="I11" s="515"/>
      <c r="J11" s="527">
        <f t="shared" si="5"/>
        <v>0</v>
      </c>
      <c r="K11" s="515"/>
      <c r="L11" s="527">
        <f t="shared" si="6"/>
        <v>0</v>
      </c>
      <c r="M11" s="518">
        <f t="shared" si="7"/>
        <v>0</v>
      </c>
      <c r="N11" s="525"/>
      <c r="O11" s="522" t="e">
        <f t="shared" si="8"/>
        <v>#DIV/0!</v>
      </c>
      <c r="P11" s="522" t="e">
        <f t="shared" si="9"/>
        <v>#DIV/0!</v>
      </c>
      <c r="Q11" s="522" t="e">
        <f t="shared" si="10"/>
        <v>#DIV/0!</v>
      </c>
      <c r="R11" s="523" t="e">
        <f t="shared" si="11"/>
        <v>#DIV/0!</v>
      </c>
      <c r="S11" s="523" t="e">
        <f t="shared" si="12"/>
        <v>#DIV/0!</v>
      </c>
      <c r="T11" s="242" t="e">
        <f t="shared" si="13"/>
        <v>#DIV/0!</v>
      </c>
      <c r="U11" s="206" t="e">
        <f t="shared" si="14"/>
        <v>#DIV/0!</v>
      </c>
      <c r="V11" s="522">
        <f t="shared" si="15"/>
        <v>0</v>
      </c>
      <c r="W11" s="526" t="e">
        <f t="shared" si="16"/>
        <v>#DIV/0!</v>
      </c>
      <c r="X11" s="527" t="e">
        <f t="shared" si="17"/>
        <v>#DIV/0!</v>
      </c>
      <c r="Y11" s="233" t="e">
        <f t="shared" si="18"/>
        <v>#DIV/0!</v>
      </c>
      <c r="Z11" s="118"/>
      <c r="AA11" s="118"/>
      <c r="AB11" s="214"/>
    </row>
    <row r="12" spans="1:30" x14ac:dyDescent="0.25">
      <c r="A12" s="506">
        <v>8</v>
      </c>
      <c r="B12" s="506" t="s">
        <v>146</v>
      </c>
      <c r="C12" s="611">
        <v>2172.4744763716494</v>
      </c>
      <c r="D12" s="508"/>
      <c r="E12" s="508"/>
      <c r="F12" s="242">
        <f t="shared" si="3"/>
        <v>0</v>
      </c>
      <c r="G12" s="511"/>
      <c r="H12" s="242">
        <f t="shared" si="4"/>
        <v>0</v>
      </c>
      <c r="I12" s="515"/>
      <c r="J12" s="527">
        <f t="shared" si="5"/>
        <v>0</v>
      </c>
      <c r="K12" s="515"/>
      <c r="L12" s="527">
        <f t="shared" si="6"/>
        <v>0</v>
      </c>
      <c r="M12" s="518">
        <f t="shared" si="7"/>
        <v>0</v>
      </c>
      <c r="N12" s="525"/>
      <c r="O12" s="522" t="e">
        <f t="shared" si="8"/>
        <v>#DIV/0!</v>
      </c>
      <c r="P12" s="522" t="e">
        <f t="shared" si="9"/>
        <v>#DIV/0!</v>
      </c>
      <c r="Q12" s="522" t="e">
        <f t="shared" si="10"/>
        <v>#DIV/0!</v>
      </c>
      <c r="R12" s="523" t="e">
        <f t="shared" si="11"/>
        <v>#DIV/0!</v>
      </c>
      <c r="S12" s="523" t="e">
        <f t="shared" si="12"/>
        <v>#DIV/0!</v>
      </c>
      <c r="T12" s="242" t="e">
        <f t="shared" si="13"/>
        <v>#DIV/0!</v>
      </c>
      <c r="U12" s="206" t="e">
        <f t="shared" si="14"/>
        <v>#DIV/0!</v>
      </c>
      <c r="V12" s="522">
        <f t="shared" si="15"/>
        <v>0</v>
      </c>
      <c r="W12" s="526" t="e">
        <f t="shared" si="16"/>
        <v>#DIV/0!</v>
      </c>
      <c r="X12" s="527" t="e">
        <f t="shared" si="17"/>
        <v>#DIV/0!</v>
      </c>
      <c r="Y12" s="233" t="e">
        <f t="shared" si="18"/>
        <v>#DIV/0!</v>
      </c>
      <c r="Z12" s="118"/>
      <c r="AA12" s="118"/>
      <c r="AB12" s="214"/>
    </row>
    <row r="13" spans="1:30" x14ac:dyDescent="0.25">
      <c r="A13" s="506">
        <v>9</v>
      </c>
      <c r="B13" s="506" t="s">
        <v>147</v>
      </c>
      <c r="C13" s="611">
        <v>2537.8458371989959</v>
      </c>
      <c r="D13" s="508"/>
      <c r="E13" s="508"/>
      <c r="F13" s="242">
        <f t="shared" si="3"/>
        <v>0</v>
      </c>
      <c r="G13" s="511"/>
      <c r="H13" s="242">
        <f t="shared" si="4"/>
        <v>0</v>
      </c>
      <c r="I13" s="515"/>
      <c r="J13" s="527">
        <f t="shared" si="5"/>
        <v>0</v>
      </c>
      <c r="K13" s="521"/>
      <c r="L13" s="527">
        <f t="shared" si="6"/>
        <v>0</v>
      </c>
      <c r="M13" s="518">
        <f t="shared" si="7"/>
        <v>0</v>
      </c>
      <c r="N13" s="525"/>
      <c r="O13" s="522" t="e">
        <f>(J13/M13)*N13</f>
        <v>#DIV/0!</v>
      </c>
      <c r="P13" s="522" t="e">
        <f t="shared" si="9"/>
        <v>#DIV/0!</v>
      </c>
      <c r="Q13" s="522" t="e">
        <f t="shared" si="10"/>
        <v>#DIV/0!</v>
      </c>
      <c r="R13" s="523" t="e">
        <f t="shared" si="11"/>
        <v>#DIV/0!</v>
      </c>
      <c r="S13" s="523" t="e">
        <f t="shared" si="12"/>
        <v>#DIV/0!</v>
      </c>
      <c r="T13" s="242" t="e">
        <f t="shared" si="13"/>
        <v>#DIV/0!</v>
      </c>
      <c r="U13" s="206" t="e">
        <f t="shared" si="14"/>
        <v>#DIV/0!</v>
      </c>
      <c r="V13" s="522">
        <f t="shared" si="15"/>
        <v>0</v>
      </c>
      <c r="W13" s="526" t="e">
        <f t="shared" si="16"/>
        <v>#DIV/0!</v>
      </c>
      <c r="X13" s="527" t="e">
        <f t="shared" si="17"/>
        <v>#DIV/0!</v>
      </c>
      <c r="Y13" s="233" t="e">
        <f t="shared" si="18"/>
        <v>#DIV/0!</v>
      </c>
      <c r="Z13" s="118"/>
      <c r="AA13" s="118"/>
      <c r="AB13" s="214"/>
    </row>
    <row r="14" spans="1:30" x14ac:dyDescent="0.25">
      <c r="A14" s="506">
        <v>10</v>
      </c>
      <c r="B14" s="506" t="s">
        <v>148</v>
      </c>
      <c r="C14" s="611">
        <v>95.901219469708764</v>
      </c>
      <c r="D14" s="508"/>
      <c r="E14" s="508"/>
      <c r="F14" s="242">
        <f t="shared" si="3"/>
        <v>0</v>
      </c>
      <c r="G14" s="511"/>
      <c r="H14" s="242">
        <f t="shared" si="4"/>
        <v>0</v>
      </c>
      <c r="I14" s="515"/>
      <c r="J14" s="527">
        <f t="shared" si="5"/>
        <v>0</v>
      </c>
      <c r="K14" s="515"/>
      <c r="L14" s="527">
        <f t="shared" si="6"/>
        <v>0</v>
      </c>
      <c r="M14" s="518">
        <f t="shared" si="7"/>
        <v>0</v>
      </c>
      <c r="N14" s="525"/>
      <c r="O14" s="522" t="e">
        <f t="shared" si="8"/>
        <v>#DIV/0!</v>
      </c>
      <c r="P14" s="522" t="e">
        <f t="shared" si="9"/>
        <v>#DIV/0!</v>
      </c>
      <c r="Q14" s="522" t="e">
        <f t="shared" si="10"/>
        <v>#DIV/0!</v>
      </c>
      <c r="R14" s="523" t="e">
        <f t="shared" si="11"/>
        <v>#DIV/0!</v>
      </c>
      <c r="S14" s="523" t="e">
        <f t="shared" si="12"/>
        <v>#DIV/0!</v>
      </c>
      <c r="T14" s="242" t="e">
        <f t="shared" si="13"/>
        <v>#DIV/0!</v>
      </c>
      <c r="U14" s="206" t="e">
        <f t="shared" si="14"/>
        <v>#DIV/0!</v>
      </c>
      <c r="V14" s="522">
        <f t="shared" si="15"/>
        <v>0</v>
      </c>
      <c r="W14" s="526" t="e">
        <f t="shared" si="16"/>
        <v>#DIV/0!</v>
      </c>
      <c r="X14" s="527" t="e">
        <f t="shared" si="17"/>
        <v>#DIV/0!</v>
      </c>
      <c r="Y14" s="233" t="e">
        <f t="shared" si="18"/>
        <v>#DIV/0!</v>
      </c>
      <c r="Z14" s="118"/>
      <c r="AA14" s="118"/>
      <c r="AB14" s="214"/>
    </row>
    <row r="15" spans="1:30" x14ac:dyDescent="0.25">
      <c r="A15" s="506">
        <v>11</v>
      </c>
      <c r="B15" s="506" t="s">
        <v>149</v>
      </c>
      <c r="C15" s="611">
        <v>449.6561338133215</v>
      </c>
      <c r="D15" s="508"/>
      <c r="E15" s="508"/>
      <c r="F15" s="242">
        <f t="shared" si="3"/>
        <v>0</v>
      </c>
      <c r="G15" s="511"/>
      <c r="H15" s="242">
        <f t="shared" si="4"/>
        <v>0</v>
      </c>
      <c r="I15" s="515"/>
      <c r="J15" s="527">
        <f t="shared" si="5"/>
        <v>0</v>
      </c>
      <c r="K15" s="521"/>
      <c r="L15" s="527">
        <f t="shared" si="6"/>
        <v>0</v>
      </c>
      <c r="M15" s="518">
        <f t="shared" si="7"/>
        <v>0</v>
      </c>
      <c r="N15" s="525"/>
      <c r="O15" s="522" t="e">
        <f t="shared" si="8"/>
        <v>#DIV/0!</v>
      </c>
      <c r="P15" s="522" t="e">
        <f t="shared" si="9"/>
        <v>#DIV/0!</v>
      </c>
      <c r="Q15" s="522" t="e">
        <f t="shared" si="10"/>
        <v>#DIV/0!</v>
      </c>
      <c r="R15" s="523" t="e">
        <f t="shared" si="11"/>
        <v>#DIV/0!</v>
      </c>
      <c r="S15" s="523" t="e">
        <f t="shared" si="12"/>
        <v>#DIV/0!</v>
      </c>
      <c r="T15" s="242" t="e">
        <f t="shared" si="13"/>
        <v>#DIV/0!</v>
      </c>
      <c r="U15" s="206" t="e">
        <f t="shared" si="14"/>
        <v>#DIV/0!</v>
      </c>
      <c r="V15" s="522">
        <f t="shared" si="15"/>
        <v>0</v>
      </c>
      <c r="W15" s="526" t="e">
        <f t="shared" si="16"/>
        <v>#DIV/0!</v>
      </c>
      <c r="X15" s="527" t="e">
        <f t="shared" si="17"/>
        <v>#DIV/0!</v>
      </c>
      <c r="Y15" s="233" t="e">
        <f t="shared" si="18"/>
        <v>#DIV/0!</v>
      </c>
      <c r="Z15" s="118"/>
      <c r="AA15" s="118"/>
      <c r="AB15" s="214"/>
    </row>
    <row r="16" spans="1:30" x14ac:dyDescent="0.25">
      <c r="A16" s="506">
        <v>12</v>
      </c>
      <c r="B16" s="506" t="s">
        <v>150</v>
      </c>
      <c r="C16" s="611">
        <v>2129.5194773782682</v>
      </c>
      <c r="D16" s="509"/>
      <c r="E16" s="509"/>
      <c r="F16" s="242">
        <f t="shared" si="3"/>
        <v>0</v>
      </c>
      <c r="G16" s="512"/>
      <c r="H16" s="242">
        <f t="shared" si="4"/>
        <v>0</v>
      </c>
      <c r="I16" s="516"/>
      <c r="J16" s="527">
        <f t="shared" si="5"/>
        <v>0</v>
      </c>
      <c r="K16" s="516"/>
      <c r="L16" s="527">
        <f t="shared" si="6"/>
        <v>0</v>
      </c>
      <c r="M16" s="518">
        <f t="shared" si="7"/>
        <v>0</v>
      </c>
      <c r="N16" s="525"/>
      <c r="O16" s="522" t="e">
        <f t="shared" si="8"/>
        <v>#DIV/0!</v>
      </c>
      <c r="P16" s="522" t="e">
        <f t="shared" si="9"/>
        <v>#DIV/0!</v>
      </c>
      <c r="Q16" s="522" t="e">
        <f t="shared" si="10"/>
        <v>#DIV/0!</v>
      </c>
      <c r="R16" s="523" t="e">
        <f t="shared" si="11"/>
        <v>#DIV/0!</v>
      </c>
      <c r="S16" s="523" t="e">
        <f t="shared" si="12"/>
        <v>#DIV/0!</v>
      </c>
      <c r="T16" s="242" t="e">
        <f t="shared" si="13"/>
        <v>#DIV/0!</v>
      </c>
      <c r="U16" s="206" t="e">
        <f t="shared" si="14"/>
        <v>#DIV/0!</v>
      </c>
      <c r="V16" s="522">
        <f t="shared" si="15"/>
        <v>0</v>
      </c>
      <c r="W16" s="526" t="e">
        <f t="shared" si="16"/>
        <v>#DIV/0!</v>
      </c>
      <c r="X16" s="527" t="e">
        <f t="shared" si="17"/>
        <v>#DIV/0!</v>
      </c>
      <c r="Y16" s="233" t="e">
        <f t="shared" si="18"/>
        <v>#DIV/0!</v>
      </c>
      <c r="Z16" s="118"/>
      <c r="AA16" s="118"/>
      <c r="AB16" s="214"/>
    </row>
    <row r="17" spans="1:28" x14ac:dyDescent="0.25">
      <c r="A17" s="506">
        <v>13</v>
      </c>
      <c r="B17" s="506" t="s">
        <v>151</v>
      </c>
      <c r="C17" s="611">
        <v>757.86864771292062</v>
      </c>
      <c r="D17" s="509"/>
      <c r="E17" s="509"/>
      <c r="F17" s="242">
        <f t="shared" si="3"/>
        <v>0</v>
      </c>
      <c r="G17" s="512"/>
      <c r="H17" s="242">
        <f t="shared" si="4"/>
        <v>0</v>
      </c>
      <c r="I17" s="516"/>
      <c r="J17" s="527">
        <f t="shared" si="5"/>
        <v>0</v>
      </c>
      <c r="K17" s="516"/>
      <c r="L17" s="527">
        <f t="shared" si="6"/>
        <v>0</v>
      </c>
      <c r="M17" s="518">
        <f t="shared" si="7"/>
        <v>0</v>
      </c>
      <c r="N17" s="525"/>
      <c r="O17" s="522" t="e">
        <f t="shared" si="8"/>
        <v>#DIV/0!</v>
      </c>
      <c r="P17" s="522" t="e">
        <f t="shared" si="9"/>
        <v>#DIV/0!</v>
      </c>
      <c r="Q17" s="522" t="e">
        <f t="shared" si="10"/>
        <v>#DIV/0!</v>
      </c>
      <c r="R17" s="523" t="e">
        <f t="shared" si="11"/>
        <v>#DIV/0!</v>
      </c>
      <c r="S17" s="523" t="e">
        <f t="shared" si="12"/>
        <v>#DIV/0!</v>
      </c>
      <c r="T17" s="242" t="e">
        <f t="shared" si="13"/>
        <v>#DIV/0!</v>
      </c>
      <c r="U17" s="206" t="e">
        <f t="shared" si="14"/>
        <v>#DIV/0!</v>
      </c>
      <c r="V17" s="522">
        <f t="shared" si="15"/>
        <v>0</v>
      </c>
      <c r="W17" s="526" t="e">
        <f t="shared" si="16"/>
        <v>#DIV/0!</v>
      </c>
      <c r="X17" s="527" t="e">
        <f t="shared" si="17"/>
        <v>#DIV/0!</v>
      </c>
      <c r="Y17" s="233" t="e">
        <f t="shared" si="18"/>
        <v>#DIV/0!</v>
      </c>
      <c r="Z17" s="118"/>
      <c r="AA17" s="118"/>
      <c r="AB17" s="214"/>
    </row>
    <row r="18" spans="1:28" x14ac:dyDescent="0.25">
      <c r="A18" s="506">
        <v>14</v>
      </c>
      <c r="B18" s="506" t="s">
        <v>152</v>
      </c>
      <c r="C18" s="611">
        <v>211.85385284968496</v>
      </c>
      <c r="D18" s="509"/>
      <c r="E18" s="509"/>
      <c r="F18" s="242">
        <f t="shared" si="3"/>
        <v>0</v>
      </c>
      <c r="G18" s="512"/>
      <c r="H18" s="242">
        <f t="shared" si="4"/>
        <v>0</v>
      </c>
      <c r="I18" s="516"/>
      <c r="J18" s="527">
        <f t="shared" si="5"/>
        <v>0</v>
      </c>
      <c r="K18" s="516"/>
      <c r="L18" s="527">
        <f t="shared" si="6"/>
        <v>0</v>
      </c>
      <c r="M18" s="518">
        <f t="shared" si="7"/>
        <v>0</v>
      </c>
      <c r="N18" s="525"/>
      <c r="O18" s="522" t="e">
        <f t="shared" si="8"/>
        <v>#DIV/0!</v>
      </c>
      <c r="P18" s="522" t="e">
        <f t="shared" si="9"/>
        <v>#DIV/0!</v>
      </c>
      <c r="Q18" s="522" t="e">
        <f t="shared" si="10"/>
        <v>#DIV/0!</v>
      </c>
      <c r="R18" s="523" t="e">
        <f t="shared" si="11"/>
        <v>#DIV/0!</v>
      </c>
      <c r="S18" s="523" t="e">
        <f t="shared" si="12"/>
        <v>#DIV/0!</v>
      </c>
      <c r="T18" s="242" t="e">
        <f t="shared" si="13"/>
        <v>#DIV/0!</v>
      </c>
      <c r="U18" s="206" t="e">
        <f t="shared" si="14"/>
        <v>#DIV/0!</v>
      </c>
      <c r="V18" s="522">
        <f t="shared" si="15"/>
        <v>0</v>
      </c>
      <c r="W18" s="526" t="e">
        <f t="shared" si="16"/>
        <v>#DIV/0!</v>
      </c>
      <c r="X18" s="527" t="e">
        <f t="shared" si="17"/>
        <v>#DIV/0!</v>
      </c>
      <c r="Y18" s="233" t="e">
        <f t="shared" si="18"/>
        <v>#DIV/0!</v>
      </c>
      <c r="Z18" s="118"/>
      <c r="AA18" s="118"/>
      <c r="AB18" s="214">
        <f>SUM(Z18:AA18)</f>
        <v>0</v>
      </c>
    </row>
    <row r="19" spans="1:28" x14ac:dyDescent="0.25">
      <c r="A19" s="506">
        <v>15</v>
      </c>
      <c r="B19" s="506" t="s">
        <v>153</v>
      </c>
      <c r="C19" s="611">
        <v>309.33232555323804</v>
      </c>
      <c r="D19" s="510"/>
      <c r="E19" s="508"/>
      <c r="F19" s="242">
        <f t="shared" si="3"/>
        <v>0</v>
      </c>
      <c r="G19" s="513"/>
      <c r="H19" s="242">
        <f t="shared" si="4"/>
        <v>0</v>
      </c>
      <c r="I19" s="515"/>
      <c r="J19" s="527">
        <f t="shared" si="5"/>
        <v>0</v>
      </c>
      <c r="K19" s="515"/>
      <c r="L19" s="527">
        <f t="shared" si="6"/>
        <v>0</v>
      </c>
      <c r="M19" s="518">
        <f t="shared" si="7"/>
        <v>0</v>
      </c>
      <c r="N19" s="525"/>
      <c r="O19" s="522" t="e">
        <f t="shared" si="8"/>
        <v>#DIV/0!</v>
      </c>
      <c r="P19" s="522" t="e">
        <f t="shared" si="9"/>
        <v>#DIV/0!</v>
      </c>
      <c r="Q19" s="522" t="e">
        <f t="shared" si="10"/>
        <v>#DIV/0!</v>
      </c>
      <c r="R19" s="523" t="e">
        <f t="shared" si="11"/>
        <v>#DIV/0!</v>
      </c>
      <c r="S19" s="523" t="e">
        <f t="shared" si="12"/>
        <v>#DIV/0!</v>
      </c>
      <c r="T19" s="242" t="e">
        <f t="shared" si="13"/>
        <v>#DIV/0!</v>
      </c>
      <c r="U19" s="206" t="e">
        <f t="shared" si="14"/>
        <v>#DIV/0!</v>
      </c>
      <c r="V19" s="522">
        <f t="shared" si="15"/>
        <v>0</v>
      </c>
      <c r="W19" s="526" t="e">
        <f t="shared" si="16"/>
        <v>#DIV/0!</v>
      </c>
      <c r="X19" s="527" t="e">
        <f t="shared" si="17"/>
        <v>#DIV/0!</v>
      </c>
      <c r="Y19" s="233" t="e">
        <f t="shared" si="18"/>
        <v>#DIV/0!</v>
      </c>
      <c r="Z19" s="118"/>
      <c r="AA19" s="118"/>
      <c r="AB19" s="214">
        <f t="shared" ref="AB19:AB28" si="19">SUM(Z19:AA19)</f>
        <v>0</v>
      </c>
    </row>
    <row r="20" spans="1:28" x14ac:dyDescent="0.25">
      <c r="A20" s="506">
        <v>16</v>
      </c>
      <c r="B20" s="506" t="s">
        <v>154</v>
      </c>
      <c r="C20" s="611">
        <v>1282.4993130503108</v>
      </c>
      <c r="D20" s="508"/>
      <c r="E20" s="508"/>
      <c r="F20" s="242">
        <f t="shared" si="3"/>
        <v>0</v>
      </c>
      <c r="G20" s="511"/>
      <c r="H20" s="242">
        <f t="shared" si="4"/>
        <v>0</v>
      </c>
      <c r="I20" s="515"/>
      <c r="J20" s="527">
        <f t="shared" si="5"/>
        <v>0</v>
      </c>
      <c r="K20" s="515"/>
      <c r="L20" s="527">
        <f t="shared" si="6"/>
        <v>0</v>
      </c>
      <c r="M20" s="518">
        <f t="shared" si="7"/>
        <v>0</v>
      </c>
      <c r="N20" s="525"/>
      <c r="O20" s="522" t="e">
        <f t="shared" si="8"/>
        <v>#DIV/0!</v>
      </c>
      <c r="P20" s="522" t="e">
        <f t="shared" si="9"/>
        <v>#DIV/0!</v>
      </c>
      <c r="Q20" s="522" t="e">
        <f t="shared" si="10"/>
        <v>#DIV/0!</v>
      </c>
      <c r="R20" s="523" t="e">
        <f t="shared" si="11"/>
        <v>#DIV/0!</v>
      </c>
      <c r="S20" s="523" t="e">
        <f t="shared" si="12"/>
        <v>#DIV/0!</v>
      </c>
      <c r="T20" s="242" t="e">
        <f t="shared" si="13"/>
        <v>#DIV/0!</v>
      </c>
      <c r="U20" s="206" t="e">
        <f t="shared" si="14"/>
        <v>#DIV/0!</v>
      </c>
      <c r="V20" s="522">
        <f t="shared" si="15"/>
        <v>0</v>
      </c>
      <c r="W20" s="526" t="e">
        <f t="shared" si="16"/>
        <v>#DIV/0!</v>
      </c>
      <c r="X20" s="527" t="e">
        <f t="shared" si="17"/>
        <v>#DIV/0!</v>
      </c>
      <c r="Y20" s="233" t="e">
        <f t="shared" si="18"/>
        <v>#DIV/0!</v>
      </c>
      <c r="Z20" s="118"/>
      <c r="AA20" s="118"/>
      <c r="AB20" s="214">
        <f t="shared" ref="AB20:AB25" si="20">SUM(Z20:AA20)</f>
        <v>0</v>
      </c>
    </row>
    <row r="21" spans="1:28" x14ac:dyDescent="0.25">
      <c r="A21" s="506">
        <v>17</v>
      </c>
      <c r="B21" s="506" t="s">
        <v>155</v>
      </c>
      <c r="C21" s="611">
        <v>1263.9794450838492</v>
      </c>
      <c r="D21" s="508"/>
      <c r="E21" s="508"/>
      <c r="F21" s="242">
        <f t="shared" si="3"/>
        <v>0</v>
      </c>
      <c r="G21" s="511"/>
      <c r="H21" s="242">
        <f t="shared" si="4"/>
        <v>0</v>
      </c>
      <c r="I21" s="515"/>
      <c r="J21" s="527">
        <f t="shared" si="5"/>
        <v>0</v>
      </c>
      <c r="K21" s="515"/>
      <c r="L21" s="527">
        <f t="shared" si="6"/>
        <v>0</v>
      </c>
      <c r="M21" s="518">
        <f t="shared" si="7"/>
        <v>0</v>
      </c>
      <c r="N21" s="525"/>
      <c r="O21" s="522" t="e">
        <f t="shared" si="8"/>
        <v>#DIV/0!</v>
      </c>
      <c r="P21" s="522" t="e">
        <f t="shared" si="9"/>
        <v>#DIV/0!</v>
      </c>
      <c r="Q21" s="522" t="e">
        <f t="shared" si="10"/>
        <v>#DIV/0!</v>
      </c>
      <c r="R21" s="523" t="e">
        <f t="shared" si="11"/>
        <v>#DIV/0!</v>
      </c>
      <c r="S21" s="523" t="e">
        <f t="shared" si="12"/>
        <v>#DIV/0!</v>
      </c>
      <c r="T21" s="242" t="e">
        <f t="shared" si="13"/>
        <v>#DIV/0!</v>
      </c>
      <c r="U21" s="206" t="e">
        <f t="shared" si="14"/>
        <v>#DIV/0!</v>
      </c>
      <c r="V21" s="522">
        <f t="shared" si="15"/>
        <v>0</v>
      </c>
      <c r="W21" s="526" t="e">
        <f t="shared" si="16"/>
        <v>#DIV/0!</v>
      </c>
      <c r="X21" s="527" t="e">
        <f t="shared" si="17"/>
        <v>#DIV/0!</v>
      </c>
      <c r="Y21" s="233" t="e">
        <f t="shared" si="18"/>
        <v>#DIV/0!</v>
      </c>
      <c r="Z21" s="118"/>
      <c r="AA21" s="118"/>
      <c r="AB21" s="214">
        <f t="shared" si="20"/>
        <v>0</v>
      </c>
    </row>
    <row r="22" spans="1:28" x14ac:dyDescent="0.25">
      <c r="A22" s="506">
        <v>18</v>
      </c>
      <c r="B22" s="506" t="s">
        <v>156</v>
      </c>
      <c r="C22" s="611">
        <v>1474.4107292122094</v>
      </c>
      <c r="D22" s="510"/>
      <c r="E22" s="508"/>
      <c r="F22" s="242">
        <f t="shared" si="3"/>
        <v>0</v>
      </c>
      <c r="G22" s="511"/>
      <c r="H22" s="242">
        <f t="shared" si="4"/>
        <v>0</v>
      </c>
      <c r="I22" s="515"/>
      <c r="J22" s="527">
        <f t="shared" si="5"/>
        <v>0</v>
      </c>
      <c r="K22" s="515"/>
      <c r="L22" s="527">
        <f t="shared" si="6"/>
        <v>0</v>
      </c>
      <c r="M22" s="518">
        <f t="shared" si="7"/>
        <v>0</v>
      </c>
      <c r="N22" s="525"/>
      <c r="O22" s="522" t="e">
        <f t="shared" si="8"/>
        <v>#DIV/0!</v>
      </c>
      <c r="P22" s="522" t="e">
        <f t="shared" si="9"/>
        <v>#DIV/0!</v>
      </c>
      <c r="Q22" s="522" t="e">
        <f t="shared" si="10"/>
        <v>#DIV/0!</v>
      </c>
      <c r="R22" s="523" t="e">
        <f t="shared" si="11"/>
        <v>#DIV/0!</v>
      </c>
      <c r="S22" s="523" t="e">
        <f t="shared" si="12"/>
        <v>#DIV/0!</v>
      </c>
      <c r="T22" s="242" t="e">
        <f t="shared" si="13"/>
        <v>#DIV/0!</v>
      </c>
      <c r="U22" s="206" t="e">
        <f t="shared" si="14"/>
        <v>#DIV/0!</v>
      </c>
      <c r="V22" s="522">
        <f t="shared" si="15"/>
        <v>0</v>
      </c>
      <c r="W22" s="526" t="e">
        <f t="shared" si="16"/>
        <v>#DIV/0!</v>
      </c>
      <c r="X22" s="527" t="e">
        <f t="shared" si="17"/>
        <v>#DIV/0!</v>
      </c>
      <c r="Y22" s="233" t="e">
        <f t="shared" si="18"/>
        <v>#DIV/0!</v>
      </c>
      <c r="Z22" s="118"/>
      <c r="AA22" s="118"/>
      <c r="AB22" s="214">
        <f t="shared" si="20"/>
        <v>0</v>
      </c>
    </row>
    <row r="23" spans="1:28" x14ac:dyDescent="0.25">
      <c r="A23" s="506">
        <v>19</v>
      </c>
      <c r="B23" s="506" t="s">
        <v>157</v>
      </c>
      <c r="C23" s="611">
        <v>2083.7690509622189</v>
      </c>
      <c r="D23" s="510"/>
      <c r="E23" s="508"/>
      <c r="F23" s="242">
        <f t="shared" si="3"/>
        <v>0</v>
      </c>
      <c r="G23" s="511"/>
      <c r="H23" s="242">
        <f t="shared" si="4"/>
        <v>0</v>
      </c>
      <c r="I23" s="515"/>
      <c r="J23" s="527">
        <f t="shared" si="5"/>
        <v>0</v>
      </c>
      <c r="K23" s="515"/>
      <c r="L23" s="527">
        <f t="shared" si="6"/>
        <v>0</v>
      </c>
      <c r="M23" s="518">
        <f t="shared" si="7"/>
        <v>0</v>
      </c>
      <c r="N23" s="525"/>
      <c r="O23" s="522" t="e">
        <f t="shared" si="8"/>
        <v>#DIV/0!</v>
      </c>
      <c r="P23" s="522" t="e">
        <f t="shared" si="9"/>
        <v>#DIV/0!</v>
      </c>
      <c r="Q23" s="522" t="e">
        <f t="shared" si="10"/>
        <v>#DIV/0!</v>
      </c>
      <c r="R23" s="523" t="e">
        <f t="shared" si="11"/>
        <v>#DIV/0!</v>
      </c>
      <c r="S23" s="523" t="e">
        <f t="shared" si="12"/>
        <v>#DIV/0!</v>
      </c>
      <c r="T23" s="242" t="e">
        <f t="shared" si="13"/>
        <v>#DIV/0!</v>
      </c>
      <c r="U23" s="206" t="e">
        <f t="shared" si="14"/>
        <v>#DIV/0!</v>
      </c>
      <c r="V23" s="522">
        <f t="shared" si="15"/>
        <v>0</v>
      </c>
      <c r="W23" s="526" t="e">
        <f t="shared" si="16"/>
        <v>#DIV/0!</v>
      </c>
      <c r="X23" s="527" t="e">
        <f t="shared" si="17"/>
        <v>#DIV/0!</v>
      </c>
      <c r="Y23" s="233" t="e">
        <f t="shared" si="18"/>
        <v>#DIV/0!</v>
      </c>
      <c r="Z23" s="118"/>
      <c r="AA23" s="118"/>
      <c r="AB23" s="214">
        <f t="shared" si="20"/>
        <v>0</v>
      </c>
    </row>
    <row r="24" spans="1:28" x14ac:dyDescent="0.25">
      <c r="A24" s="506">
        <v>20</v>
      </c>
      <c r="B24" s="506" t="s">
        <v>158</v>
      </c>
      <c r="C24" s="611">
        <v>813.48966601968993</v>
      </c>
      <c r="D24" s="510"/>
      <c r="E24" s="508"/>
      <c r="F24" s="242">
        <f t="shared" si="3"/>
        <v>0</v>
      </c>
      <c r="G24" s="511"/>
      <c r="H24" s="242">
        <f t="shared" si="4"/>
        <v>0</v>
      </c>
      <c r="I24" s="515"/>
      <c r="J24" s="527">
        <f t="shared" si="5"/>
        <v>0</v>
      </c>
      <c r="K24" s="515"/>
      <c r="L24" s="527">
        <f t="shared" si="6"/>
        <v>0</v>
      </c>
      <c r="M24" s="518">
        <f t="shared" si="7"/>
        <v>0</v>
      </c>
      <c r="N24" s="525"/>
      <c r="O24" s="522" t="e">
        <f t="shared" si="8"/>
        <v>#DIV/0!</v>
      </c>
      <c r="P24" s="522" t="e">
        <f t="shared" si="9"/>
        <v>#DIV/0!</v>
      </c>
      <c r="Q24" s="522" t="e">
        <f t="shared" si="10"/>
        <v>#DIV/0!</v>
      </c>
      <c r="R24" s="523" t="e">
        <f t="shared" si="11"/>
        <v>#DIV/0!</v>
      </c>
      <c r="S24" s="523" t="e">
        <f t="shared" si="12"/>
        <v>#DIV/0!</v>
      </c>
      <c r="T24" s="242" t="e">
        <f t="shared" si="13"/>
        <v>#DIV/0!</v>
      </c>
      <c r="U24" s="206" t="e">
        <f t="shared" si="14"/>
        <v>#DIV/0!</v>
      </c>
      <c r="V24" s="522">
        <f t="shared" si="15"/>
        <v>0</v>
      </c>
      <c r="W24" s="526" t="e">
        <f t="shared" si="16"/>
        <v>#DIV/0!</v>
      </c>
      <c r="X24" s="527" t="e">
        <f t="shared" si="17"/>
        <v>#DIV/0!</v>
      </c>
      <c r="Y24" s="233" t="e">
        <f t="shared" si="18"/>
        <v>#DIV/0!</v>
      </c>
      <c r="Z24" s="118"/>
      <c r="AA24" s="118"/>
      <c r="AB24" s="214">
        <f t="shared" si="20"/>
        <v>0</v>
      </c>
    </row>
    <row r="25" spans="1:28" x14ac:dyDescent="0.25">
      <c r="A25" s="506">
        <v>21</v>
      </c>
      <c r="B25" s="506" t="s">
        <v>159</v>
      </c>
      <c r="C25" s="611">
        <v>5303.454441368769</v>
      </c>
      <c r="D25" s="510"/>
      <c r="E25" s="508"/>
      <c r="F25" s="242">
        <f t="shared" si="3"/>
        <v>0</v>
      </c>
      <c r="G25" s="511"/>
      <c r="H25" s="242">
        <f t="shared" si="4"/>
        <v>0</v>
      </c>
      <c r="I25" s="515"/>
      <c r="J25" s="527">
        <f t="shared" si="5"/>
        <v>0</v>
      </c>
      <c r="K25" s="515"/>
      <c r="L25" s="527">
        <f t="shared" si="6"/>
        <v>0</v>
      </c>
      <c r="M25" s="518">
        <f t="shared" si="7"/>
        <v>0</v>
      </c>
      <c r="N25" s="525"/>
      <c r="O25" s="522" t="e">
        <f t="shared" si="8"/>
        <v>#DIV/0!</v>
      </c>
      <c r="P25" s="522" t="e">
        <f t="shared" si="9"/>
        <v>#DIV/0!</v>
      </c>
      <c r="Q25" s="522" t="e">
        <f t="shared" si="10"/>
        <v>#DIV/0!</v>
      </c>
      <c r="R25" s="523" t="e">
        <f t="shared" si="11"/>
        <v>#DIV/0!</v>
      </c>
      <c r="S25" s="523" t="e">
        <f t="shared" si="12"/>
        <v>#DIV/0!</v>
      </c>
      <c r="T25" s="242" t="e">
        <f t="shared" si="13"/>
        <v>#DIV/0!</v>
      </c>
      <c r="U25" s="206" t="e">
        <f t="shared" si="14"/>
        <v>#DIV/0!</v>
      </c>
      <c r="V25" s="522">
        <f t="shared" si="15"/>
        <v>0</v>
      </c>
      <c r="W25" s="526" t="e">
        <f t="shared" si="16"/>
        <v>#DIV/0!</v>
      </c>
      <c r="X25" s="527" t="e">
        <f t="shared" si="17"/>
        <v>#DIV/0!</v>
      </c>
      <c r="Y25" s="233" t="e">
        <f t="shared" si="18"/>
        <v>#DIV/0!</v>
      </c>
      <c r="Z25" s="118"/>
      <c r="AA25" s="118"/>
      <c r="AB25" s="214">
        <f t="shared" si="20"/>
        <v>0</v>
      </c>
    </row>
    <row r="26" spans="1:28" x14ac:dyDescent="0.25">
      <c r="A26" s="506">
        <v>22</v>
      </c>
      <c r="B26" s="506" t="s">
        <v>160</v>
      </c>
      <c r="C26" s="611">
        <v>23.721918750389602</v>
      </c>
      <c r="D26" s="510"/>
      <c r="E26" s="508"/>
      <c r="F26" s="242">
        <f t="shared" si="3"/>
        <v>0</v>
      </c>
      <c r="G26" s="511"/>
      <c r="H26" s="242">
        <f t="shared" si="4"/>
        <v>0</v>
      </c>
      <c r="I26" s="515"/>
      <c r="J26" s="527">
        <f t="shared" si="5"/>
        <v>0</v>
      </c>
      <c r="K26" s="515"/>
      <c r="L26" s="527">
        <f t="shared" si="6"/>
        <v>0</v>
      </c>
      <c r="M26" s="518">
        <f t="shared" si="7"/>
        <v>0</v>
      </c>
      <c r="N26" s="525"/>
      <c r="O26" s="522" t="e">
        <f t="shared" si="8"/>
        <v>#DIV/0!</v>
      </c>
      <c r="P26" s="522" t="e">
        <f t="shared" si="9"/>
        <v>#DIV/0!</v>
      </c>
      <c r="Q26" s="522" t="e">
        <f t="shared" si="10"/>
        <v>#DIV/0!</v>
      </c>
      <c r="R26" s="523" t="e">
        <f t="shared" si="11"/>
        <v>#DIV/0!</v>
      </c>
      <c r="S26" s="523" t="e">
        <f t="shared" si="12"/>
        <v>#DIV/0!</v>
      </c>
      <c r="T26" s="242" t="e">
        <f t="shared" si="13"/>
        <v>#DIV/0!</v>
      </c>
      <c r="U26" s="206" t="e">
        <f t="shared" si="14"/>
        <v>#DIV/0!</v>
      </c>
      <c r="V26" s="522">
        <f t="shared" si="15"/>
        <v>0</v>
      </c>
      <c r="W26" s="526" t="e">
        <f t="shared" si="16"/>
        <v>#DIV/0!</v>
      </c>
      <c r="X26" s="527" t="e">
        <f t="shared" si="17"/>
        <v>#DIV/0!</v>
      </c>
      <c r="Y26" s="233" t="e">
        <f t="shared" si="18"/>
        <v>#DIV/0!</v>
      </c>
      <c r="Z26" s="118"/>
      <c r="AA26" s="118"/>
      <c r="AB26" s="214">
        <f t="shared" si="19"/>
        <v>0</v>
      </c>
    </row>
    <row r="27" spans="1:28" x14ac:dyDescent="0.25">
      <c r="A27" s="506">
        <v>23</v>
      </c>
      <c r="B27" s="506" t="s">
        <v>161</v>
      </c>
      <c r="C27" s="611">
        <v>111.51185930339282</v>
      </c>
      <c r="D27" s="510"/>
      <c r="E27" s="508"/>
      <c r="F27" s="242">
        <f t="shared" si="3"/>
        <v>0</v>
      </c>
      <c r="G27" s="511"/>
      <c r="H27" s="242">
        <f t="shared" si="4"/>
        <v>0</v>
      </c>
      <c r="I27" s="515"/>
      <c r="J27" s="527">
        <f t="shared" si="5"/>
        <v>0</v>
      </c>
      <c r="K27" s="515"/>
      <c r="L27" s="527">
        <f t="shared" si="6"/>
        <v>0</v>
      </c>
      <c r="M27" s="518">
        <f t="shared" si="7"/>
        <v>0</v>
      </c>
      <c r="N27" s="525"/>
      <c r="O27" s="522" t="e">
        <f t="shared" si="8"/>
        <v>#DIV/0!</v>
      </c>
      <c r="P27" s="522" t="e">
        <f t="shared" si="9"/>
        <v>#DIV/0!</v>
      </c>
      <c r="Q27" s="522" t="e">
        <f t="shared" si="10"/>
        <v>#DIV/0!</v>
      </c>
      <c r="R27" s="523" t="e">
        <f t="shared" si="11"/>
        <v>#DIV/0!</v>
      </c>
      <c r="S27" s="523" t="e">
        <f t="shared" si="12"/>
        <v>#DIV/0!</v>
      </c>
      <c r="T27" s="242" t="e">
        <f t="shared" si="13"/>
        <v>#DIV/0!</v>
      </c>
      <c r="U27" s="206" t="e">
        <f t="shared" si="14"/>
        <v>#DIV/0!</v>
      </c>
      <c r="V27" s="522">
        <f t="shared" si="15"/>
        <v>0</v>
      </c>
      <c r="W27" s="526" t="e">
        <f t="shared" si="16"/>
        <v>#DIV/0!</v>
      </c>
      <c r="X27" s="527" t="e">
        <f t="shared" si="17"/>
        <v>#DIV/0!</v>
      </c>
      <c r="Y27" s="233" t="e">
        <f t="shared" si="18"/>
        <v>#DIV/0!</v>
      </c>
      <c r="Z27" s="118"/>
      <c r="AA27" s="118"/>
      <c r="AB27" s="214">
        <f>SUM(Z27:AA27)</f>
        <v>0</v>
      </c>
    </row>
    <row r="28" spans="1:28" x14ac:dyDescent="0.25">
      <c r="A28" s="506">
        <v>24</v>
      </c>
      <c r="B28" s="506" t="s">
        <v>162</v>
      </c>
      <c r="C28" s="611">
        <v>1197.3720985122729</v>
      </c>
      <c r="D28" s="510"/>
      <c r="E28" s="508"/>
      <c r="F28" s="242">
        <f t="shared" si="3"/>
        <v>0</v>
      </c>
      <c r="G28" s="511"/>
      <c r="H28" s="242">
        <f t="shared" si="4"/>
        <v>0</v>
      </c>
      <c r="I28" s="515"/>
      <c r="J28" s="527">
        <f t="shared" si="5"/>
        <v>0</v>
      </c>
      <c r="K28" s="515"/>
      <c r="L28" s="527">
        <f t="shared" si="6"/>
        <v>0</v>
      </c>
      <c r="M28" s="518">
        <f t="shared" si="7"/>
        <v>0</v>
      </c>
      <c r="N28" s="525"/>
      <c r="O28" s="522" t="e">
        <f t="shared" si="8"/>
        <v>#DIV/0!</v>
      </c>
      <c r="P28" s="522" t="e">
        <f t="shared" si="9"/>
        <v>#DIV/0!</v>
      </c>
      <c r="Q28" s="522" t="e">
        <f t="shared" si="10"/>
        <v>#DIV/0!</v>
      </c>
      <c r="R28" s="523" t="e">
        <f t="shared" si="11"/>
        <v>#DIV/0!</v>
      </c>
      <c r="S28" s="523" t="e">
        <f t="shared" si="12"/>
        <v>#DIV/0!</v>
      </c>
      <c r="T28" s="242" t="e">
        <f t="shared" si="13"/>
        <v>#DIV/0!</v>
      </c>
      <c r="U28" s="206" t="e">
        <f t="shared" si="14"/>
        <v>#DIV/0!</v>
      </c>
      <c r="V28" s="522">
        <f t="shared" si="15"/>
        <v>0</v>
      </c>
      <c r="W28" s="526" t="e">
        <f t="shared" si="16"/>
        <v>#DIV/0!</v>
      </c>
      <c r="X28" s="527" t="e">
        <f t="shared" si="17"/>
        <v>#DIV/0!</v>
      </c>
      <c r="Y28" s="233" t="e">
        <f t="shared" si="18"/>
        <v>#DIV/0!</v>
      </c>
      <c r="Z28" s="118"/>
      <c r="AA28" s="118"/>
      <c r="AB28" s="214">
        <f t="shared" si="19"/>
        <v>0</v>
      </c>
    </row>
    <row r="29" spans="1:28" x14ac:dyDescent="0.25">
      <c r="A29" s="506"/>
      <c r="B29" s="507" t="s">
        <v>163</v>
      </c>
      <c r="C29" s="612">
        <v>1229.5188772993213</v>
      </c>
      <c r="D29" s="214">
        <f>SUM(D5:D28)</f>
        <v>0</v>
      </c>
      <c r="E29" s="214">
        <f t="shared" ref="E29:F29" si="21">SUM(E5:E28)</f>
        <v>0</v>
      </c>
      <c r="F29" s="214">
        <f t="shared" si="21"/>
        <v>0</v>
      </c>
      <c r="G29" s="514" t="e">
        <f>SUMPRODUCT(G5:G28,D5:D28)/D29</f>
        <v>#DIV/0!</v>
      </c>
      <c r="H29" s="214">
        <f t="shared" ref="H29" si="22">SUM(H5:H28)</f>
        <v>0</v>
      </c>
      <c r="I29" s="517"/>
      <c r="J29" s="726"/>
      <c r="K29" s="518"/>
      <c r="L29" s="524">
        <f>SUM(L5:L28)</f>
        <v>0</v>
      </c>
      <c r="M29" s="524">
        <f>SUM(M5:M28)</f>
        <v>0</v>
      </c>
      <c r="N29" s="518">
        <f>SUM(N5:N28)</f>
        <v>0</v>
      </c>
      <c r="O29" s="214" t="e">
        <f>SUM(O5:O28)</f>
        <v>#DIV/0!</v>
      </c>
      <c r="P29" s="214" t="e">
        <f t="shared" ref="P29" si="23">SUM(P5:P28)</f>
        <v>#DIV/0!</v>
      </c>
      <c r="Q29" s="214" t="e">
        <f>SUM(Q5:Q28)</f>
        <v>#DIV/0!</v>
      </c>
      <c r="R29" s="214" t="e">
        <f t="shared" ref="R29:S29" si="24">SUM(R5:R28)</f>
        <v>#DIV/0!</v>
      </c>
      <c r="S29" s="214" t="e">
        <f t="shared" si="24"/>
        <v>#DIV/0!</v>
      </c>
      <c r="T29" s="214" t="e">
        <f>SUM(T5:T28)</f>
        <v>#DIV/0!</v>
      </c>
      <c r="U29" s="172" t="e">
        <f>T29/M29</f>
        <v>#DIV/0!</v>
      </c>
      <c r="V29" s="214">
        <f t="shared" ref="V29:W29" si="25">SUM(V5:V28)</f>
        <v>0</v>
      </c>
      <c r="W29" s="214" t="e">
        <f t="shared" si="25"/>
        <v>#DIV/0!</v>
      </c>
      <c r="X29" s="214" t="e">
        <f>SUM(X5:X28)</f>
        <v>#DIV/0!</v>
      </c>
      <c r="Y29" s="233" t="e">
        <f>X29/F29</f>
        <v>#DIV/0!</v>
      </c>
      <c r="Z29" s="214">
        <f t="shared" ref="Z29:AB29" si="26">SUM(Z5:Z28)</f>
        <v>0</v>
      </c>
      <c r="AA29" s="214">
        <f t="shared" si="26"/>
        <v>0</v>
      </c>
      <c r="AB29" s="214">
        <f t="shared" si="26"/>
        <v>0</v>
      </c>
    </row>
    <row r="30" spans="1:28" x14ac:dyDescent="0.25">
      <c r="C30" s="369">
        <v>30000000000</v>
      </c>
      <c r="F30" s="213" t="b">
        <f>SUM(D29:E29)=F29</f>
        <v>1</v>
      </c>
      <c r="G30" s="213"/>
      <c r="M30" s="213"/>
      <c r="N30" s="213"/>
      <c r="Q30" s="213" t="e">
        <f>SUM(O29:P29)=Q29</f>
        <v>#DIV/0!</v>
      </c>
      <c r="T30" s="213" t="e">
        <f>SUM(R29:S29)=T29</f>
        <v>#DIV/0!</v>
      </c>
      <c r="U30" s="213"/>
      <c r="V30" s="380"/>
      <c r="W30" s="380"/>
      <c r="X30" s="213" t="e">
        <f>SUM(V29:W29)=X29</f>
        <v>#DIV/0!</v>
      </c>
    </row>
    <row r="31" spans="1:28" x14ac:dyDescent="0.25">
      <c r="B31" t="s">
        <v>927</v>
      </c>
      <c r="D31" s="125" t="e">
        <f>D29/$F$29</f>
        <v>#DIV/0!</v>
      </c>
      <c r="E31" s="125" t="e">
        <f>E29/$F$29</f>
        <v>#DIV/0!</v>
      </c>
      <c r="F31" s="125" t="e">
        <f>F29/$F$29</f>
        <v>#DIV/0!</v>
      </c>
      <c r="G31" s="125"/>
      <c r="H31" s="125" t="e">
        <f>H29/$M$29</f>
        <v>#DIV/0!</v>
      </c>
      <c r="I31" s="125"/>
      <c r="J31" s="125"/>
      <c r="K31" s="125"/>
      <c r="L31" s="125" t="e">
        <f>L29/$M$29</f>
        <v>#DIV/0!</v>
      </c>
      <c r="M31" s="125" t="e">
        <f>M29/$M$29</f>
        <v>#DIV/0!</v>
      </c>
      <c r="N31" s="125"/>
      <c r="O31" s="125" t="e">
        <f>O29/$Q$29</f>
        <v>#DIV/0!</v>
      </c>
      <c r="P31" s="125" t="e">
        <f>P29/$Q$29</f>
        <v>#DIV/0!</v>
      </c>
      <c r="Q31" s="125" t="e">
        <f>Q29/$Q$29</f>
        <v>#DIV/0!</v>
      </c>
      <c r="R31" s="125" t="e">
        <f>R29/D29</f>
        <v>#DIV/0!</v>
      </c>
      <c r="S31" s="125" t="e">
        <f>S29/E29</f>
        <v>#DIV/0!</v>
      </c>
      <c r="T31" s="125" t="e">
        <f>T29/F29</f>
        <v>#DIV/0!</v>
      </c>
      <c r="U31" s="125"/>
      <c r="Y31" s="376"/>
      <c r="Z31" s="376"/>
      <c r="AA31" s="125" t="e">
        <f>X29/F29</f>
        <v>#DIV/0!</v>
      </c>
    </row>
    <row r="32" spans="1:28" x14ac:dyDescent="0.25">
      <c r="Z32" s="376"/>
      <c r="AA32" s="376"/>
      <c r="AB32" s="376"/>
    </row>
    <row r="33" spans="2:23" ht="21" x14ac:dyDescent="0.35">
      <c r="B33" s="88"/>
      <c r="C33" s="88"/>
      <c r="T33" s="30"/>
      <c r="U33" s="30"/>
      <c r="V33" s="30"/>
      <c r="W33" s="30"/>
    </row>
    <row r="34" spans="2:23" ht="45.6" customHeight="1" x14ac:dyDescent="0.35">
      <c r="B34" s="756" t="s">
        <v>101</v>
      </c>
      <c r="C34" s="889" t="s">
        <v>1156</v>
      </c>
      <c r="D34" s="886" t="s">
        <v>928</v>
      </c>
      <c r="E34" s="886"/>
      <c r="F34" s="886"/>
      <c r="G34" s="886"/>
      <c r="H34" s="609"/>
      <c r="I34" s="889" t="s">
        <v>1155</v>
      </c>
      <c r="J34" s="889" t="s">
        <v>1153</v>
      </c>
      <c r="K34" s="836" t="s">
        <v>1152</v>
      </c>
      <c r="W34" s="29" t="b">
        <f>SUM(T33:U33)=V33</f>
        <v>1</v>
      </c>
    </row>
    <row r="35" spans="2:23" ht="24.6" customHeight="1" x14ac:dyDescent="0.25">
      <c r="B35" s="756"/>
      <c r="C35" s="890"/>
      <c r="D35" s="85" t="s">
        <v>929</v>
      </c>
      <c r="E35" s="85" t="s">
        <v>930</v>
      </c>
      <c r="F35" s="87" t="s">
        <v>120</v>
      </c>
      <c r="G35" s="87" t="s">
        <v>1154</v>
      </c>
      <c r="H35" s="85" t="s">
        <v>931</v>
      </c>
      <c r="I35" s="890"/>
      <c r="J35" s="890"/>
      <c r="K35" s="837"/>
    </row>
    <row r="36" spans="2:23" x14ac:dyDescent="0.25">
      <c r="B36" s="506" t="s">
        <v>139</v>
      </c>
      <c r="C36" s="727">
        <f>F5*1000</f>
        <v>0</v>
      </c>
      <c r="D36" s="242">
        <f>V5*1000</f>
        <v>0</v>
      </c>
      <c r="E36" s="242" t="e">
        <f>W5*1000</f>
        <v>#DIV/0!</v>
      </c>
      <c r="F36" s="242" t="e">
        <f>SUM(D36:E36)</f>
        <v>#DIV/0!</v>
      </c>
      <c r="G36" s="421" t="e">
        <f>F36/(1000*F5)</f>
        <v>#DIV/0!</v>
      </c>
      <c r="H36" s="118"/>
      <c r="I36" s="242" t="e">
        <f>F36+H36</f>
        <v>#DIV/0!</v>
      </c>
      <c r="J36" s="242" t="e">
        <f t="shared" ref="J36:J60" si="27">F36+1000*C5</f>
        <v>#DIV/0!</v>
      </c>
      <c r="K36" s="421" t="e">
        <f>I36/(J36)</f>
        <v>#DIV/0!</v>
      </c>
    </row>
    <row r="37" spans="2:23" x14ac:dyDescent="0.25">
      <c r="B37" s="506" t="s">
        <v>140</v>
      </c>
      <c r="C37" s="727">
        <f t="shared" ref="C37:C60" si="28">F6*1000</f>
        <v>0</v>
      </c>
      <c r="D37" s="242">
        <f t="shared" ref="D37:E37" si="29">V6*1000</f>
        <v>0</v>
      </c>
      <c r="E37" s="242" t="e">
        <f t="shared" si="29"/>
        <v>#DIV/0!</v>
      </c>
      <c r="F37" s="242" t="e">
        <f t="shared" ref="F37:F60" si="30">SUM(D37:E37)</f>
        <v>#DIV/0!</v>
      </c>
      <c r="G37" s="421" t="e">
        <f t="shared" ref="G37:G60" si="31">F37/(1000*F6)</f>
        <v>#DIV/0!</v>
      </c>
      <c r="H37" s="118"/>
      <c r="I37" s="242" t="e">
        <f t="shared" ref="I37:I60" si="32">F37+H37</f>
        <v>#DIV/0!</v>
      </c>
      <c r="J37" s="242" t="e">
        <f t="shared" si="27"/>
        <v>#DIV/0!</v>
      </c>
      <c r="K37" s="421" t="e">
        <f t="shared" ref="K37:K60" si="33">I37/(J37)</f>
        <v>#DIV/0!</v>
      </c>
    </row>
    <row r="38" spans="2:23" x14ac:dyDescent="0.25">
      <c r="B38" s="506" t="s">
        <v>141</v>
      </c>
      <c r="C38" s="727">
        <f t="shared" si="28"/>
        <v>0</v>
      </c>
      <c r="D38" s="242">
        <f t="shared" ref="D38:E38" si="34">V7*1000</f>
        <v>0</v>
      </c>
      <c r="E38" s="242" t="e">
        <f t="shared" si="34"/>
        <v>#DIV/0!</v>
      </c>
      <c r="F38" s="242" t="e">
        <f t="shared" si="30"/>
        <v>#DIV/0!</v>
      </c>
      <c r="G38" s="421" t="e">
        <f t="shared" si="31"/>
        <v>#DIV/0!</v>
      </c>
      <c r="H38" s="118"/>
      <c r="I38" s="242" t="e">
        <f t="shared" si="32"/>
        <v>#DIV/0!</v>
      </c>
      <c r="J38" s="242" t="e">
        <f t="shared" si="27"/>
        <v>#DIV/0!</v>
      </c>
      <c r="K38" s="421" t="e">
        <f t="shared" si="33"/>
        <v>#DIV/0!</v>
      </c>
    </row>
    <row r="39" spans="2:23" x14ac:dyDescent="0.25">
      <c r="B39" s="506" t="s">
        <v>142</v>
      </c>
      <c r="C39" s="727">
        <f t="shared" si="28"/>
        <v>0</v>
      </c>
      <c r="D39" s="242">
        <f t="shared" ref="D39:E39" si="35">V8*1000</f>
        <v>0</v>
      </c>
      <c r="E39" s="242" t="e">
        <f t="shared" si="35"/>
        <v>#DIV/0!</v>
      </c>
      <c r="F39" s="242" t="e">
        <f t="shared" si="30"/>
        <v>#DIV/0!</v>
      </c>
      <c r="G39" s="421" t="e">
        <f t="shared" si="31"/>
        <v>#DIV/0!</v>
      </c>
      <c r="H39" s="118"/>
      <c r="I39" s="242" t="e">
        <f t="shared" si="32"/>
        <v>#DIV/0!</v>
      </c>
      <c r="J39" s="242" t="e">
        <f t="shared" si="27"/>
        <v>#DIV/0!</v>
      </c>
      <c r="K39" s="421" t="e">
        <f t="shared" si="33"/>
        <v>#DIV/0!</v>
      </c>
    </row>
    <row r="40" spans="2:23" x14ac:dyDescent="0.25">
      <c r="B40" s="506" t="s">
        <v>143</v>
      </c>
      <c r="C40" s="727">
        <f t="shared" si="28"/>
        <v>0</v>
      </c>
      <c r="D40" s="242">
        <f t="shared" ref="D40:E40" si="36">V9*1000</f>
        <v>0</v>
      </c>
      <c r="E40" s="242" t="e">
        <f t="shared" si="36"/>
        <v>#DIV/0!</v>
      </c>
      <c r="F40" s="242" t="e">
        <f t="shared" si="30"/>
        <v>#DIV/0!</v>
      </c>
      <c r="G40" s="421" t="e">
        <f t="shared" si="31"/>
        <v>#DIV/0!</v>
      </c>
      <c r="H40" s="118"/>
      <c r="I40" s="242" t="e">
        <f t="shared" si="32"/>
        <v>#DIV/0!</v>
      </c>
      <c r="J40" s="242" t="e">
        <f t="shared" si="27"/>
        <v>#DIV/0!</v>
      </c>
      <c r="K40" s="421" t="e">
        <f t="shared" si="33"/>
        <v>#DIV/0!</v>
      </c>
    </row>
    <row r="41" spans="2:23" x14ac:dyDescent="0.25">
      <c r="B41" s="506" t="s">
        <v>144</v>
      </c>
      <c r="C41" s="727">
        <f t="shared" si="28"/>
        <v>0</v>
      </c>
      <c r="D41" s="242">
        <f t="shared" ref="D41:E41" si="37">V10*1000</f>
        <v>0</v>
      </c>
      <c r="E41" s="242" t="e">
        <f t="shared" si="37"/>
        <v>#DIV/0!</v>
      </c>
      <c r="F41" s="242" t="e">
        <f t="shared" si="30"/>
        <v>#DIV/0!</v>
      </c>
      <c r="G41" s="421" t="e">
        <f t="shared" si="31"/>
        <v>#DIV/0!</v>
      </c>
      <c r="H41" s="118"/>
      <c r="I41" s="242" t="e">
        <f t="shared" si="32"/>
        <v>#DIV/0!</v>
      </c>
      <c r="J41" s="242" t="e">
        <f t="shared" si="27"/>
        <v>#DIV/0!</v>
      </c>
      <c r="K41" s="421" t="e">
        <f t="shared" si="33"/>
        <v>#DIV/0!</v>
      </c>
    </row>
    <row r="42" spans="2:23" x14ac:dyDescent="0.25">
      <c r="B42" s="506" t="s">
        <v>145</v>
      </c>
      <c r="C42" s="727">
        <f t="shared" si="28"/>
        <v>0</v>
      </c>
      <c r="D42" s="242">
        <f t="shared" ref="D42:E42" si="38">V11*1000</f>
        <v>0</v>
      </c>
      <c r="E42" s="242" t="e">
        <f t="shared" si="38"/>
        <v>#DIV/0!</v>
      </c>
      <c r="F42" s="242" t="e">
        <f t="shared" si="30"/>
        <v>#DIV/0!</v>
      </c>
      <c r="G42" s="421" t="e">
        <f t="shared" si="31"/>
        <v>#DIV/0!</v>
      </c>
      <c r="H42" s="118"/>
      <c r="I42" s="242" t="e">
        <f t="shared" si="32"/>
        <v>#DIV/0!</v>
      </c>
      <c r="J42" s="242" t="e">
        <f t="shared" si="27"/>
        <v>#DIV/0!</v>
      </c>
      <c r="K42" s="421" t="e">
        <f t="shared" si="33"/>
        <v>#DIV/0!</v>
      </c>
    </row>
    <row r="43" spans="2:23" x14ac:dyDescent="0.25">
      <c r="B43" s="506" t="s">
        <v>146</v>
      </c>
      <c r="C43" s="727">
        <f t="shared" si="28"/>
        <v>0</v>
      </c>
      <c r="D43" s="242">
        <f t="shared" ref="D43:E43" si="39">V12*1000</f>
        <v>0</v>
      </c>
      <c r="E43" s="242" t="e">
        <f t="shared" si="39"/>
        <v>#DIV/0!</v>
      </c>
      <c r="F43" s="242" t="e">
        <f t="shared" si="30"/>
        <v>#DIV/0!</v>
      </c>
      <c r="G43" s="421" t="e">
        <f t="shared" si="31"/>
        <v>#DIV/0!</v>
      </c>
      <c r="H43" s="118"/>
      <c r="I43" s="242" t="e">
        <f t="shared" si="32"/>
        <v>#DIV/0!</v>
      </c>
      <c r="J43" s="242" t="e">
        <f t="shared" si="27"/>
        <v>#DIV/0!</v>
      </c>
      <c r="K43" s="421" t="e">
        <f t="shared" si="33"/>
        <v>#DIV/0!</v>
      </c>
    </row>
    <row r="44" spans="2:23" x14ac:dyDescent="0.25">
      <c r="B44" s="506" t="s">
        <v>147</v>
      </c>
      <c r="C44" s="727">
        <f t="shared" si="28"/>
        <v>0</v>
      </c>
      <c r="D44" s="242">
        <f t="shared" ref="D44:E44" si="40">V13*1000</f>
        <v>0</v>
      </c>
      <c r="E44" s="242" t="e">
        <f t="shared" si="40"/>
        <v>#DIV/0!</v>
      </c>
      <c r="F44" s="242" t="e">
        <f t="shared" si="30"/>
        <v>#DIV/0!</v>
      </c>
      <c r="G44" s="421" t="e">
        <f t="shared" si="31"/>
        <v>#DIV/0!</v>
      </c>
      <c r="H44" s="118"/>
      <c r="I44" s="242" t="e">
        <f t="shared" si="32"/>
        <v>#DIV/0!</v>
      </c>
      <c r="J44" s="242" t="e">
        <f t="shared" si="27"/>
        <v>#DIV/0!</v>
      </c>
      <c r="K44" s="421" t="e">
        <f t="shared" si="33"/>
        <v>#DIV/0!</v>
      </c>
    </row>
    <row r="45" spans="2:23" x14ac:dyDescent="0.25">
      <c r="B45" s="506" t="s">
        <v>148</v>
      </c>
      <c r="C45" s="727">
        <f t="shared" si="28"/>
        <v>0</v>
      </c>
      <c r="D45" s="242">
        <f t="shared" ref="D45:E45" si="41">V14*1000</f>
        <v>0</v>
      </c>
      <c r="E45" s="242" t="e">
        <f t="shared" si="41"/>
        <v>#DIV/0!</v>
      </c>
      <c r="F45" s="242" t="e">
        <f t="shared" si="30"/>
        <v>#DIV/0!</v>
      </c>
      <c r="G45" s="421" t="e">
        <f t="shared" si="31"/>
        <v>#DIV/0!</v>
      </c>
      <c r="H45" s="118"/>
      <c r="I45" s="242" t="e">
        <f t="shared" si="32"/>
        <v>#DIV/0!</v>
      </c>
      <c r="J45" s="242" t="e">
        <f t="shared" si="27"/>
        <v>#DIV/0!</v>
      </c>
      <c r="K45" s="421" t="e">
        <f t="shared" si="33"/>
        <v>#DIV/0!</v>
      </c>
    </row>
    <row r="46" spans="2:23" x14ac:dyDescent="0.25">
      <c r="B46" s="506" t="s">
        <v>149</v>
      </c>
      <c r="C46" s="727">
        <f t="shared" si="28"/>
        <v>0</v>
      </c>
      <c r="D46" s="242">
        <f t="shared" ref="D46:E46" si="42">V15*1000</f>
        <v>0</v>
      </c>
      <c r="E46" s="242" t="e">
        <f t="shared" si="42"/>
        <v>#DIV/0!</v>
      </c>
      <c r="F46" s="242" t="e">
        <f t="shared" si="30"/>
        <v>#DIV/0!</v>
      </c>
      <c r="G46" s="421" t="e">
        <f t="shared" si="31"/>
        <v>#DIV/0!</v>
      </c>
      <c r="H46" s="118"/>
      <c r="I46" s="242" t="e">
        <f t="shared" si="32"/>
        <v>#DIV/0!</v>
      </c>
      <c r="J46" s="242" t="e">
        <f t="shared" si="27"/>
        <v>#DIV/0!</v>
      </c>
      <c r="K46" s="421" t="e">
        <f t="shared" si="33"/>
        <v>#DIV/0!</v>
      </c>
    </row>
    <row r="47" spans="2:23" x14ac:dyDescent="0.25">
      <c r="B47" s="506" t="s">
        <v>150</v>
      </c>
      <c r="C47" s="727">
        <f t="shared" si="28"/>
        <v>0</v>
      </c>
      <c r="D47" s="242">
        <f t="shared" ref="D47:E47" si="43">V16*1000</f>
        <v>0</v>
      </c>
      <c r="E47" s="242" t="e">
        <f t="shared" si="43"/>
        <v>#DIV/0!</v>
      </c>
      <c r="F47" s="242" t="e">
        <f t="shared" si="30"/>
        <v>#DIV/0!</v>
      </c>
      <c r="G47" s="421" t="e">
        <f t="shared" si="31"/>
        <v>#DIV/0!</v>
      </c>
      <c r="H47" s="118"/>
      <c r="I47" s="242" t="e">
        <f t="shared" si="32"/>
        <v>#DIV/0!</v>
      </c>
      <c r="J47" s="242" t="e">
        <f t="shared" si="27"/>
        <v>#DIV/0!</v>
      </c>
      <c r="K47" s="421" t="e">
        <f t="shared" si="33"/>
        <v>#DIV/0!</v>
      </c>
    </row>
    <row r="48" spans="2:23" x14ac:dyDescent="0.25">
      <c r="B48" s="506" t="s">
        <v>151</v>
      </c>
      <c r="C48" s="727">
        <f t="shared" si="28"/>
        <v>0</v>
      </c>
      <c r="D48" s="242">
        <f t="shared" ref="D48:E48" si="44">V17*1000</f>
        <v>0</v>
      </c>
      <c r="E48" s="242" t="e">
        <f t="shared" si="44"/>
        <v>#DIV/0!</v>
      </c>
      <c r="F48" s="242" t="e">
        <f t="shared" si="30"/>
        <v>#DIV/0!</v>
      </c>
      <c r="G48" s="421" t="e">
        <f t="shared" si="31"/>
        <v>#DIV/0!</v>
      </c>
      <c r="H48" s="118"/>
      <c r="I48" s="242" t="e">
        <f t="shared" si="32"/>
        <v>#DIV/0!</v>
      </c>
      <c r="J48" s="242" t="e">
        <f t="shared" si="27"/>
        <v>#DIV/0!</v>
      </c>
      <c r="K48" s="421" t="e">
        <f t="shared" si="33"/>
        <v>#DIV/0!</v>
      </c>
    </row>
    <row r="49" spans="2:21" x14ac:dyDescent="0.25">
      <c r="B49" s="506" t="s">
        <v>152</v>
      </c>
      <c r="C49" s="727">
        <f t="shared" si="28"/>
        <v>0</v>
      </c>
      <c r="D49" s="242">
        <f t="shared" ref="D49:E49" si="45">V18*1000</f>
        <v>0</v>
      </c>
      <c r="E49" s="242" t="e">
        <f t="shared" si="45"/>
        <v>#DIV/0!</v>
      </c>
      <c r="F49" s="242" t="e">
        <f t="shared" si="30"/>
        <v>#DIV/0!</v>
      </c>
      <c r="G49" s="421" t="e">
        <f t="shared" si="31"/>
        <v>#DIV/0!</v>
      </c>
      <c r="H49" s="118"/>
      <c r="I49" s="242" t="e">
        <f t="shared" si="32"/>
        <v>#DIV/0!</v>
      </c>
      <c r="J49" s="242" t="e">
        <f t="shared" si="27"/>
        <v>#DIV/0!</v>
      </c>
      <c r="K49" s="421" t="e">
        <f t="shared" si="33"/>
        <v>#DIV/0!</v>
      </c>
    </row>
    <row r="50" spans="2:21" x14ac:dyDescent="0.25">
      <c r="B50" s="506" t="s">
        <v>153</v>
      </c>
      <c r="C50" s="727">
        <f t="shared" si="28"/>
        <v>0</v>
      </c>
      <c r="D50" s="242">
        <f t="shared" ref="D50:E50" si="46">V19*1000</f>
        <v>0</v>
      </c>
      <c r="E50" s="242" t="e">
        <f t="shared" si="46"/>
        <v>#DIV/0!</v>
      </c>
      <c r="F50" s="242" t="e">
        <f t="shared" si="30"/>
        <v>#DIV/0!</v>
      </c>
      <c r="G50" s="421" t="e">
        <f t="shared" si="31"/>
        <v>#DIV/0!</v>
      </c>
      <c r="H50" s="118"/>
      <c r="I50" s="242" t="e">
        <f t="shared" si="32"/>
        <v>#DIV/0!</v>
      </c>
      <c r="J50" s="242" t="e">
        <f t="shared" si="27"/>
        <v>#DIV/0!</v>
      </c>
      <c r="K50" s="421" t="e">
        <f t="shared" si="33"/>
        <v>#DIV/0!</v>
      </c>
    </row>
    <row r="51" spans="2:21" x14ac:dyDescent="0.25">
      <c r="B51" s="506" t="s">
        <v>154</v>
      </c>
      <c r="C51" s="727">
        <f t="shared" si="28"/>
        <v>0</v>
      </c>
      <c r="D51" s="242">
        <f t="shared" ref="D51:E51" si="47">V20*1000</f>
        <v>0</v>
      </c>
      <c r="E51" s="242" t="e">
        <f t="shared" si="47"/>
        <v>#DIV/0!</v>
      </c>
      <c r="F51" s="242" t="e">
        <f t="shared" si="30"/>
        <v>#DIV/0!</v>
      </c>
      <c r="G51" s="421" t="e">
        <f t="shared" si="31"/>
        <v>#DIV/0!</v>
      </c>
      <c r="H51" s="118"/>
      <c r="I51" s="242" t="e">
        <f t="shared" si="32"/>
        <v>#DIV/0!</v>
      </c>
      <c r="J51" s="242" t="e">
        <f t="shared" si="27"/>
        <v>#DIV/0!</v>
      </c>
      <c r="K51" s="421" t="e">
        <f t="shared" si="33"/>
        <v>#DIV/0!</v>
      </c>
    </row>
    <row r="52" spans="2:21" x14ac:dyDescent="0.25">
      <c r="B52" s="506" t="s">
        <v>155</v>
      </c>
      <c r="C52" s="727">
        <f t="shared" si="28"/>
        <v>0</v>
      </c>
      <c r="D52" s="242">
        <f t="shared" ref="D52:E52" si="48">V21*1000</f>
        <v>0</v>
      </c>
      <c r="E52" s="242" t="e">
        <f t="shared" si="48"/>
        <v>#DIV/0!</v>
      </c>
      <c r="F52" s="242" t="e">
        <f t="shared" si="30"/>
        <v>#DIV/0!</v>
      </c>
      <c r="G52" s="421" t="e">
        <f t="shared" si="31"/>
        <v>#DIV/0!</v>
      </c>
      <c r="H52" s="118"/>
      <c r="I52" s="242" t="e">
        <f t="shared" si="32"/>
        <v>#DIV/0!</v>
      </c>
      <c r="J52" s="242" t="e">
        <f t="shared" si="27"/>
        <v>#DIV/0!</v>
      </c>
      <c r="K52" s="421" t="e">
        <f t="shared" si="33"/>
        <v>#DIV/0!</v>
      </c>
    </row>
    <row r="53" spans="2:21" x14ac:dyDescent="0.25">
      <c r="B53" s="506" t="s">
        <v>156</v>
      </c>
      <c r="C53" s="727">
        <f t="shared" si="28"/>
        <v>0</v>
      </c>
      <c r="D53" s="242">
        <f t="shared" ref="D53:E53" si="49">V22*1000</f>
        <v>0</v>
      </c>
      <c r="E53" s="242" t="e">
        <f t="shared" si="49"/>
        <v>#DIV/0!</v>
      </c>
      <c r="F53" s="242" t="e">
        <f t="shared" si="30"/>
        <v>#DIV/0!</v>
      </c>
      <c r="G53" s="421" t="e">
        <f t="shared" si="31"/>
        <v>#DIV/0!</v>
      </c>
      <c r="H53" s="118"/>
      <c r="I53" s="242" t="e">
        <f t="shared" si="32"/>
        <v>#DIV/0!</v>
      </c>
      <c r="J53" s="242" t="e">
        <f t="shared" si="27"/>
        <v>#DIV/0!</v>
      </c>
      <c r="K53" s="421" t="e">
        <f t="shared" si="33"/>
        <v>#DIV/0!</v>
      </c>
    </row>
    <row r="54" spans="2:21" x14ac:dyDescent="0.25">
      <c r="B54" s="506" t="s">
        <v>157</v>
      </c>
      <c r="C54" s="727">
        <f t="shared" si="28"/>
        <v>0</v>
      </c>
      <c r="D54" s="242">
        <f t="shared" ref="D54:E54" si="50">V23*1000</f>
        <v>0</v>
      </c>
      <c r="E54" s="242" t="e">
        <f t="shared" si="50"/>
        <v>#DIV/0!</v>
      </c>
      <c r="F54" s="242" t="e">
        <f t="shared" si="30"/>
        <v>#DIV/0!</v>
      </c>
      <c r="G54" s="421" t="e">
        <f t="shared" si="31"/>
        <v>#DIV/0!</v>
      </c>
      <c r="H54" s="118"/>
      <c r="I54" s="242" t="e">
        <f t="shared" si="32"/>
        <v>#DIV/0!</v>
      </c>
      <c r="J54" s="242" t="e">
        <f t="shared" si="27"/>
        <v>#DIV/0!</v>
      </c>
      <c r="K54" s="421" t="e">
        <f t="shared" si="33"/>
        <v>#DIV/0!</v>
      </c>
    </row>
    <row r="55" spans="2:21" x14ac:dyDescent="0.25">
      <c r="B55" s="506" t="s">
        <v>158</v>
      </c>
      <c r="C55" s="727">
        <f t="shared" si="28"/>
        <v>0</v>
      </c>
      <c r="D55" s="242">
        <f t="shared" ref="D55:E55" si="51">V24*1000</f>
        <v>0</v>
      </c>
      <c r="E55" s="242" t="e">
        <f t="shared" si="51"/>
        <v>#DIV/0!</v>
      </c>
      <c r="F55" s="242" t="e">
        <f t="shared" si="30"/>
        <v>#DIV/0!</v>
      </c>
      <c r="G55" s="421" t="e">
        <f t="shared" si="31"/>
        <v>#DIV/0!</v>
      </c>
      <c r="H55" s="118"/>
      <c r="I55" s="242" t="e">
        <f t="shared" si="32"/>
        <v>#DIV/0!</v>
      </c>
      <c r="J55" s="242" t="e">
        <f t="shared" si="27"/>
        <v>#DIV/0!</v>
      </c>
      <c r="K55" s="421" t="e">
        <f t="shared" si="33"/>
        <v>#DIV/0!</v>
      </c>
    </row>
    <row r="56" spans="2:21" x14ac:dyDescent="0.25">
      <c r="B56" s="506" t="s">
        <v>159</v>
      </c>
      <c r="C56" s="727">
        <f t="shared" si="28"/>
        <v>0</v>
      </c>
      <c r="D56" s="242">
        <f t="shared" ref="D56:E56" si="52">V25*1000</f>
        <v>0</v>
      </c>
      <c r="E56" s="242" t="e">
        <f t="shared" si="52"/>
        <v>#DIV/0!</v>
      </c>
      <c r="F56" s="242" t="e">
        <f t="shared" si="30"/>
        <v>#DIV/0!</v>
      </c>
      <c r="G56" s="421" t="e">
        <f t="shared" si="31"/>
        <v>#DIV/0!</v>
      </c>
      <c r="H56" s="118"/>
      <c r="I56" s="242" t="e">
        <f t="shared" si="32"/>
        <v>#DIV/0!</v>
      </c>
      <c r="J56" s="242" t="e">
        <f t="shared" si="27"/>
        <v>#DIV/0!</v>
      </c>
      <c r="K56" s="421" t="e">
        <f t="shared" si="33"/>
        <v>#DIV/0!</v>
      </c>
    </row>
    <row r="57" spans="2:21" x14ac:dyDescent="0.25">
      <c r="B57" s="506" t="s">
        <v>160</v>
      </c>
      <c r="C57" s="727">
        <f t="shared" si="28"/>
        <v>0</v>
      </c>
      <c r="D57" s="242">
        <f t="shared" ref="D57:E57" si="53">V26*1000</f>
        <v>0</v>
      </c>
      <c r="E57" s="242" t="e">
        <f t="shared" si="53"/>
        <v>#DIV/0!</v>
      </c>
      <c r="F57" s="242" t="e">
        <f t="shared" si="30"/>
        <v>#DIV/0!</v>
      </c>
      <c r="G57" s="421" t="e">
        <f t="shared" si="31"/>
        <v>#DIV/0!</v>
      </c>
      <c r="H57" s="118"/>
      <c r="I57" s="242" t="e">
        <f t="shared" si="32"/>
        <v>#DIV/0!</v>
      </c>
      <c r="J57" s="242" t="e">
        <f t="shared" si="27"/>
        <v>#DIV/0!</v>
      </c>
      <c r="K57" s="421" t="e">
        <f t="shared" si="33"/>
        <v>#DIV/0!</v>
      </c>
    </row>
    <row r="58" spans="2:21" x14ac:dyDescent="0.25">
      <c r="B58" s="506" t="s">
        <v>161</v>
      </c>
      <c r="C58" s="727">
        <f t="shared" si="28"/>
        <v>0</v>
      </c>
      <c r="D58" s="242">
        <f t="shared" ref="D58:E58" si="54">V27*1000</f>
        <v>0</v>
      </c>
      <c r="E58" s="242" t="e">
        <f t="shared" si="54"/>
        <v>#DIV/0!</v>
      </c>
      <c r="F58" s="242" t="e">
        <f t="shared" si="30"/>
        <v>#DIV/0!</v>
      </c>
      <c r="G58" s="421" t="e">
        <f t="shared" si="31"/>
        <v>#DIV/0!</v>
      </c>
      <c r="H58" s="118"/>
      <c r="I58" s="242" t="e">
        <f t="shared" si="32"/>
        <v>#DIV/0!</v>
      </c>
      <c r="J58" s="242" t="e">
        <f t="shared" si="27"/>
        <v>#DIV/0!</v>
      </c>
      <c r="K58" s="421" t="e">
        <f t="shared" si="33"/>
        <v>#DIV/0!</v>
      </c>
    </row>
    <row r="59" spans="2:21" x14ac:dyDescent="0.25">
      <c r="B59" s="506" t="s">
        <v>162</v>
      </c>
      <c r="C59" s="727">
        <f t="shared" si="28"/>
        <v>0</v>
      </c>
      <c r="D59" s="242">
        <f t="shared" ref="D59:E59" si="55">V28*1000</f>
        <v>0</v>
      </c>
      <c r="E59" s="242" t="e">
        <f t="shared" si="55"/>
        <v>#DIV/0!</v>
      </c>
      <c r="F59" s="242" t="e">
        <f t="shared" si="30"/>
        <v>#DIV/0!</v>
      </c>
      <c r="G59" s="421" t="e">
        <f t="shared" si="31"/>
        <v>#DIV/0!</v>
      </c>
      <c r="H59" s="118"/>
      <c r="I59" s="242" t="e">
        <f t="shared" si="32"/>
        <v>#DIV/0!</v>
      </c>
      <c r="J59" s="242" t="e">
        <f t="shared" si="27"/>
        <v>#DIV/0!</v>
      </c>
      <c r="K59" s="421" t="e">
        <f t="shared" si="33"/>
        <v>#DIV/0!</v>
      </c>
    </row>
    <row r="60" spans="2:21" x14ac:dyDescent="0.25">
      <c r="B60" s="15" t="s">
        <v>163</v>
      </c>
      <c r="C60" s="728">
        <f t="shared" si="28"/>
        <v>0</v>
      </c>
      <c r="D60" s="214">
        <f>SUM(D36:D59)</f>
        <v>0</v>
      </c>
      <c r="E60" s="214" t="e">
        <f>SUM(E36:E59)</f>
        <v>#DIV/0!</v>
      </c>
      <c r="F60" s="214" t="e">
        <f t="shared" si="30"/>
        <v>#DIV/0!</v>
      </c>
      <c r="G60" s="42" t="e">
        <f t="shared" si="31"/>
        <v>#DIV/0!</v>
      </c>
      <c r="H60" s="214">
        <f>SUM(H36:H59)</f>
        <v>0</v>
      </c>
      <c r="I60" s="214" t="e">
        <f t="shared" si="32"/>
        <v>#DIV/0!</v>
      </c>
      <c r="J60" s="214" t="e">
        <f t="shared" si="27"/>
        <v>#DIV/0!</v>
      </c>
      <c r="K60" s="42" t="e">
        <f t="shared" si="33"/>
        <v>#DIV/0!</v>
      </c>
    </row>
    <row r="61" spans="2:21" x14ac:dyDescent="0.25">
      <c r="B61" s="882" t="s">
        <v>1167</v>
      </c>
      <c r="C61" s="882"/>
      <c r="D61" s="42" t="e">
        <f>D60/$F$60</f>
        <v>#DIV/0!</v>
      </c>
      <c r="E61" s="42" t="e">
        <f t="shared" ref="E61:F61" si="56">E60/$F$60</f>
        <v>#DIV/0!</v>
      </c>
      <c r="F61" s="42" t="e">
        <f t="shared" si="56"/>
        <v>#DIV/0!</v>
      </c>
      <c r="H61" s="213" t="e">
        <f>SUM(D60:E60)=F60</f>
        <v>#DIV/0!</v>
      </c>
      <c r="I61" s="213"/>
      <c r="J61" s="213"/>
      <c r="K61" s="213"/>
      <c r="L61" s="213"/>
    </row>
    <row r="62" spans="2:21" x14ac:dyDescent="0.25">
      <c r="H62" s="30">
        <f>H60/(C29*1000)</f>
        <v>0</v>
      </c>
    </row>
    <row r="63" spans="2:21" x14ac:dyDescent="0.25">
      <c r="M63" s="4"/>
    </row>
    <row r="64" spans="2:21" ht="14.45" customHeight="1" x14ac:dyDescent="0.25">
      <c r="O64" s="482" t="s">
        <v>932</v>
      </c>
      <c r="P64" s="482"/>
      <c r="Q64" s="482"/>
      <c r="R64" s="482"/>
      <c r="S64" s="482"/>
      <c r="T64" s="482"/>
      <c r="U64" s="482"/>
    </row>
    <row r="65" spans="1:18" x14ac:dyDescent="0.25">
      <c r="A65" s="755"/>
      <c r="B65" s="756" t="s">
        <v>101</v>
      </c>
      <c r="C65" s="607"/>
      <c r="D65" s="771" t="s">
        <v>933</v>
      </c>
      <c r="E65" s="771" t="s">
        <v>934</v>
      </c>
      <c r="F65" s="771" t="s">
        <v>935</v>
      </c>
      <c r="G65" s="771" t="s">
        <v>936</v>
      </c>
      <c r="H65" s="771" t="s">
        <v>937</v>
      </c>
      <c r="I65" s="771" t="s">
        <v>938</v>
      </c>
      <c r="L65" s="482"/>
      <c r="M65" s="482"/>
      <c r="N65" s="482"/>
      <c r="O65" s="482"/>
      <c r="P65" s="482"/>
      <c r="Q65" s="482"/>
      <c r="R65" s="482"/>
    </row>
    <row r="66" spans="1:18" ht="53.45" customHeight="1" x14ac:dyDescent="0.25">
      <c r="A66" s="755"/>
      <c r="B66" s="756"/>
      <c r="C66" s="607"/>
      <c r="D66" s="771"/>
      <c r="E66" s="771"/>
      <c r="F66" s="771"/>
      <c r="G66" s="771"/>
      <c r="H66" s="771"/>
      <c r="I66" s="771"/>
      <c r="J66" s="17" t="s">
        <v>927</v>
      </c>
      <c r="L66" t="s">
        <v>345</v>
      </c>
      <c r="M66" s="20" t="s">
        <v>939</v>
      </c>
    </row>
    <row r="67" spans="1:18" x14ac:dyDescent="0.25">
      <c r="A67" s="13">
        <v>1</v>
      </c>
      <c r="B67" s="506" t="s">
        <v>139</v>
      </c>
      <c r="C67" s="610"/>
      <c r="D67" s="97">
        <f>F5*1000000*$Q$70</f>
        <v>0</v>
      </c>
      <c r="E67" s="242">
        <f>D67*$O$73/1000000</f>
        <v>0</v>
      </c>
      <c r="F67" s="97">
        <f>E67*$N$69</f>
        <v>0</v>
      </c>
      <c r="G67" s="242">
        <f>$Q$72*D67</f>
        <v>0</v>
      </c>
      <c r="H67" s="383">
        <f>G67*$O$73/1000000</f>
        <v>0</v>
      </c>
      <c r="I67" s="383">
        <f>H67*$N$69</f>
        <v>0</v>
      </c>
      <c r="J67" s="233" t="e">
        <f>G67/$G$91</f>
        <v>#DIV/0!</v>
      </c>
      <c r="R67" s="20" t="s">
        <v>333</v>
      </c>
    </row>
    <row r="68" spans="1:18" x14ac:dyDescent="0.25">
      <c r="A68" s="13">
        <v>2</v>
      </c>
      <c r="B68" s="506" t="s">
        <v>140</v>
      </c>
      <c r="C68" s="610"/>
      <c r="D68" s="97">
        <f t="shared" ref="D68:D90" si="57">F6*1000000*$Q$70</f>
        <v>0</v>
      </c>
      <c r="E68" s="242">
        <f t="shared" ref="E68:E90" si="58">D68*$O$73/1000000</f>
        <v>0</v>
      </c>
      <c r="F68" s="97">
        <f t="shared" ref="F68:F90" si="59">E68*$N$69</f>
        <v>0</v>
      </c>
      <c r="G68" s="242">
        <f t="shared" ref="G68:G90" si="60">$Q$72*D68</f>
        <v>0</v>
      </c>
      <c r="H68" s="383">
        <f t="shared" ref="H68:H90" si="61">G68*$O$73/1000000</f>
        <v>0</v>
      </c>
      <c r="I68" s="383">
        <f t="shared" ref="I68:I90" si="62">H68*$N$69</f>
        <v>0</v>
      </c>
      <c r="J68" s="233" t="e">
        <f t="shared" ref="J68:J90" si="63">G68/$G$91</f>
        <v>#DIV/0!</v>
      </c>
      <c r="R68" s="20" t="s">
        <v>336</v>
      </c>
    </row>
    <row r="69" spans="1:18" ht="18" x14ac:dyDescent="0.35">
      <c r="A69" s="13">
        <v>3</v>
      </c>
      <c r="B69" s="506" t="s">
        <v>141</v>
      </c>
      <c r="C69" s="610"/>
      <c r="D69" s="97">
        <f t="shared" si="57"/>
        <v>0</v>
      </c>
      <c r="E69" s="242">
        <f t="shared" si="58"/>
        <v>0</v>
      </c>
      <c r="F69" s="97">
        <f t="shared" si="59"/>
        <v>0</v>
      </c>
      <c r="G69" s="242">
        <f t="shared" si="60"/>
        <v>0</v>
      </c>
      <c r="H69" s="383">
        <f t="shared" si="61"/>
        <v>0</v>
      </c>
      <c r="I69" s="383">
        <f t="shared" si="62"/>
        <v>0</v>
      </c>
      <c r="J69" s="233" t="e">
        <f t="shared" si="63"/>
        <v>#DIV/0!</v>
      </c>
      <c r="L69" s="1" t="s">
        <v>334</v>
      </c>
      <c r="N69" s="124">
        <f>44*P69/12</f>
        <v>187</v>
      </c>
      <c r="O69" s="73" t="s">
        <v>335</v>
      </c>
      <c r="P69" s="62">
        <v>51</v>
      </c>
      <c r="Q69" t="s">
        <v>96</v>
      </c>
      <c r="R69" s="20" t="s">
        <v>339</v>
      </c>
    </row>
    <row r="70" spans="1:18" ht="17.25" x14ac:dyDescent="0.25">
      <c r="A70" s="13">
        <v>4</v>
      </c>
      <c r="B70" s="506" t="s">
        <v>142</v>
      </c>
      <c r="C70" s="610"/>
      <c r="D70" s="97">
        <f t="shared" si="57"/>
        <v>0</v>
      </c>
      <c r="E70" s="242">
        <f t="shared" si="58"/>
        <v>0</v>
      </c>
      <c r="F70" s="97">
        <f t="shared" si="59"/>
        <v>0</v>
      </c>
      <c r="G70" s="242">
        <f t="shared" si="60"/>
        <v>0</v>
      </c>
      <c r="H70" s="383">
        <f t="shared" si="61"/>
        <v>0</v>
      </c>
      <c r="I70" s="383">
        <f t="shared" si="62"/>
        <v>0</v>
      </c>
      <c r="J70" s="233" t="e">
        <f t="shared" si="63"/>
        <v>#DIV/0!</v>
      </c>
      <c r="L70" t="s">
        <v>940</v>
      </c>
      <c r="Q70" s="384">
        <v>2.0537346471394546E-2</v>
      </c>
      <c r="R70" s="1" t="s">
        <v>941</v>
      </c>
    </row>
    <row r="71" spans="1:18" x14ac:dyDescent="0.25">
      <c r="A71" s="13">
        <v>5</v>
      </c>
      <c r="B71" s="506" t="s">
        <v>143</v>
      </c>
      <c r="C71" s="610"/>
      <c r="D71" s="97">
        <f t="shared" si="57"/>
        <v>0</v>
      </c>
      <c r="E71" s="242">
        <f t="shared" si="58"/>
        <v>0</v>
      </c>
      <c r="F71" s="97">
        <f t="shared" si="59"/>
        <v>0</v>
      </c>
      <c r="G71" s="242">
        <f t="shared" si="60"/>
        <v>0</v>
      </c>
      <c r="H71" s="383">
        <f t="shared" si="61"/>
        <v>0</v>
      </c>
      <c r="I71" s="383">
        <f t="shared" si="62"/>
        <v>0</v>
      </c>
      <c r="J71" s="233" t="e">
        <f t="shared" si="63"/>
        <v>#DIV/0!</v>
      </c>
      <c r="L71" s="885" t="s">
        <v>942</v>
      </c>
      <c r="M71" s="885"/>
      <c r="N71" s="885"/>
      <c r="O71" s="885"/>
      <c r="P71" s="885"/>
    </row>
    <row r="72" spans="1:18" x14ac:dyDescent="0.25">
      <c r="A72" s="13">
        <v>6</v>
      </c>
      <c r="B72" s="506" t="s">
        <v>144</v>
      </c>
      <c r="C72" s="610"/>
      <c r="D72" s="97">
        <f t="shared" si="57"/>
        <v>0</v>
      </c>
      <c r="E72" s="242">
        <f t="shared" si="58"/>
        <v>0</v>
      </c>
      <c r="F72" s="97">
        <f t="shared" si="59"/>
        <v>0</v>
      </c>
      <c r="G72" s="242">
        <f t="shared" si="60"/>
        <v>0</v>
      </c>
      <c r="H72" s="383">
        <f t="shared" si="61"/>
        <v>0</v>
      </c>
      <c r="I72" s="383">
        <f t="shared" si="62"/>
        <v>0</v>
      </c>
      <c r="J72" s="233" t="e">
        <f t="shared" si="63"/>
        <v>#DIV/0!</v>
      </c>
      <c r="L72" s="885"/>
      <c r="M72" s="885"/>
      <c r="N72" s="885"/>
      <c r="O72" s="885"/>
      <c r="P72" s="885"/>
      <c r="Q72" s="49">
        <v>0.5</v>
      </c>
    </row>
    <row r="73" spans="1:18" x14ac:dyDescent="0.25">
      <c r="A73" s="13">
        <v>7</v>
      </c>
      <c r="B73" s="506" t="s">
        <v>145</v>
      </c>
      <c r="C73" s="610"/>
      <c r="D73" s="97">
        <f t="shared" si="57"/>
        <v>0</v>
      </c>
      <c r="E73" s="242">
        <f t="shared" si="58"/>
        <v>0</v>
      </c>
      <c r="F73" s="97">
        <f t="shared" si="59"/>
        <v>0</v>
      </c>
      <c r="G73" s="242">
        <f t="shared" si="60"/>
        <v>0</v>
      </c>
      <c r="H73" s="383">
        <f t="shared" si="61"/>
        <v>0</v>
      </c>
      <c r="I73" s="383">
        <f t="shared" si="62"/>
        <v>0</v>
      </c>
      <c r="J73" s="233" t="e">
        <f t="shared" si="63"/>
        <v>#DIV/0!</v>
      </c>
      <c r="L73" t="s">
        <v>665</v>
      </c>
      <c r="O73">
        <v>75.451141542461542</v>
      </c>
      <c r="P73" t="s">
        <v>348</v>
      </c>
    </row>
    <row r="74" spans="1:18" x14ac:dyDescent="0.25">
      <c r="A74" s="13">
        <v>8</v>
      </c>
      <c r="B74" s="506" t="s">
        <v>146</v>
      </c>
      <c r="C74" s="610"/>
      <c r="D74" s="97">
        <f t="shared" si="57"/>
        <v>0</v>
      </c>
      <c r="E74" s="242">
        <f t="shared" si="58"/>
        <v>0</v>
      </c>
      <c r="F74" s="97">
        <f t="shared" si="59"/>
        <v>0</v>
      </c>
      <c r="G74" s="242">
        <f t="shared" si="60"/>
        <v>0</v>
      </c>
      <c r="H74" s="383">
        <f t="shared" si="61"/>
        <v>0</v>
      </c>
      <c r="I74" s="383">
        <f t="shared" si="62"/>
        <v>0</v>
      </c>
      <c r="J74" s="233" t="e">
        <f t="shared" si="63"/>
        <v>#DIV/0!</v>
      </c>
    </row>
    <row r="75" spans="1:18" x14ac:dyDescent="0.25">
      <c r="A75" s="13">
        <v>9</v>
      </c>
      <c r="B75" s="506" t="s">
        <v>147</v>
      </c>
      <c r="C75" s="610"/>
      <c r="D75" s="97">
        <f t="shared" si="57"/>
        <v>0</v>
      </c>
      <c r="E75" s="242">
        <f t="shared" si="58"/>
        <v>0</v>
      </c>
      <c r="F75" s="97">
        <f t="shared" si="59"/>
        <v>0</v>
      </c>
      <c r="G75" s="242">
        <f t="shared" si="60"/>
        <v>0</v>
      </c>
      <c r="H75" s="383">
        <f t="shared" si="61"/>
        <v>0</v>
      </c>
      <c r="I75" s="383">
        <f t="shared" si="62"/>
        <v>0</v>
      </c>
      <c r="J75" s="233" t="e">
        <f t="shared" si="63"/>
        <v>#DIV/0!</v>
      </c>
      <c r="L75" s="885" t="s">
        <v>943</v>
      </c>
      <c r="M75" s="885"/>
      <c r="N75" s="885"/>
      <c r="O75" s="885"/>
      <c r="P75" s="885"/>
      <c r="Q75" s="49">
        <v>0.25</v>
      </c>
    </row>
    <row r="76" spans="1:18" x14ac:dyDescent="0.25">
      <c r="A76" s="13">
        <v>10</v>
      </c>
      <c r="B76" s="506" t="s">
        <v>148</v>
      </c>
      <c r="C76" s="610"/>
      <c r="D76" s="97">
        <f t="shared" si="57"/>
        <v>0</v>
      </c>
      <c r="E76" s="242">
        <f t="shared" si="58"/>
        <v>0</v>
      </c>
      <c r="F76" s="97">
        <f t="shared" si="59"/>
        <v>0</v>
      </c>
      <c r="G76" s="242">
        <f t="shared" si="60"/>
        <v>0</v>
      </c>
      <c r="H76" s="383">
        <f t="shared" si="61"/>
        <v>0</v>
      </c>
      <c r="I76" s="383">
        <f t="shared" si="62"/>
        <v>0</v>
      </c>
      <c r="J76" s="233" t="e">
        <f t="shared" si="63"/>
        <v>#DIV/0!</v>
      </c>
      <c r="L76" s="885"/>
      <c r="M76" s="885"/>
      <c r="N76" s="885"/>
      <c r="O76" s="885"/>
      <c r="P76" s="885"/>
    </row>
    <row r="77" spans="1:18" x14ac:dyDescent="0.25">
      <c r="A77" s="13">
        <v>11</v>
      </c>
      <c r="B77" s="506" t="s">
        <v>149</v>
      </c>
      <c r="C77" s="610"/>
      <c r="D77" s="97">
        <f t="shared" si="57"/>
        <v>0</v>
      </c>
      <c r="E77" s="242">
        <f t="shared" si="58"/>
        <v>0</v>
      </c>
      <c r="F77" s="97">
        <f t="shared" si="59"/>
        <v>0</v>
      </c>
      <c r="G77" s="242">
        <f t="shared" si="60"/>
        <v>0</v>
      </c>
      <c r="H77" s="383">
        <f t="shared" si="61"/>
        <v>0</v>
      </c>
      <c r="I77" s="383">
        <f t="shared" si="62"/>
        <v>0</v>
      </c>
      <c r="J77" s="233" t="e">
        <f t="shared" si="63"/>
        <v>#DIV/0!</v>
      </c>
      <c r="L77" s="448"/>
      <c r="M77" s="448"/>
      <c r="N77" s="448"/>
      <c r="O77" s="448"/>
      <c r="P77" s="448"/>
    </row>
    <row r="78" spans="1:18" x14ac:dyDescent="0.25">
      <c r="A78" s="13">
        <v>12</v>
      </c>
      <c r="B78" s="506" t="s">
        <v>150</v>
      </c>
      <c r="C78" s="610"/>
      <c r="D78" s="97">
        <f t="shared" si="57"/>
        <v>0</v>
      </c>
      <c r="E78" s="242">
        <f t="shared" si="58"/>
        <v>0</v>
      </c>
      <c r="F78" s="97">
        <f t="shared" si="59"/>
        <v>0</v>
      </c>
      <c r="G78" s="242">
        <f t="shared" si="60"/>
        <v>0</v>
      </c>
      <c r="H78" s="383">
        <f t="shared" si="61"/>
        <v>0</v>
      </c>
      <c r="I78" s="383">
        <f t="shared" si="62"/>
        <v>0</v>
      </c>
      <c r="J78" s="233" t="e">
        <f t="shared" si="63"/>
        <v>#DIV/0!</v>
      </c>
      <c r="L78" s="448"/>
      <c r="M78" s="448"/>
      <c r="N78" s="448"/>
      <c r="O78" s="448"/>
      <c r="P78" s="448"/>
    </row>
    <row r="79" spans="1:18" x14ac:dyDescent="0.25">
      <c r="A79" s="13">
        <v>13</v>
      </c>
      <c r="B79" s="506" t="s">
        <v>151</v>
      </c>
      <c r="C79" s="610"/>
      <c r="D79" s="97">
        <f t="shared" si="57"/>
        <v>0</v>
      </c>
      <c r="E79" s="242">
        <f t="shared" si="58"/>
        <v>0</v>
      </c>
      <c r="F79" s="97">
        <f t="shared" si="59"/>
        <v>0</v>
      </c>
      <c r="G79" s="242">
        <f t="shared" si="60"/>
        <v>0</v>
      </c>
      <c r="H79" s="383">
        <f t="shared" si="61"/>
        <v>0</v>
      </c>
      <c r="I79" s="383">
        <f t="shared" si="62"/>
        <v>0</v>
      </c>
      <c r="J79" s="233" t="e">
        <f t="shared" si="63"/>
        <v>#DIV/0!</v>
      </c>
      <c r="L79" s="448"/>
      <c r="M79" s="448"/>
      <c r="N79" s="448"/>
      <c r="O79" s="448"/>
      <c r="P79" s="448"/>
    </row>
    <row r="80" spans="1:18" x14ac:dyDescent="0.25">
      <c r="A80" s="13">
        <v>14</v>
      </c>
      <c r="B80" s="506" t="s">
        <v>152</v>
      </c>
      <c r="C80" s="610"/>
      <c r="D80" s="97">
        <f t="shared" si="57"/>
        <v>0</v>
      </c>
      <c r="E80" s="242">
        <f t="shared" si="58"/>
        <v>0</v>
      </c>
      <c r="F80" s="97">
        <f t="shared" si="59"/>
        <v>0</v>
      </c>
      <c r="G80" s="242">
        <f t="shared" si="60"/>
        <v>0</v>
      </c>
      <c r="H80" s="383">
        <f t="shared" si="61"/>
        <v>0</v>
      </c>
      <c r="I80" s="383">
        <f t="shared" si="62"/>
        <v>0</v>
      </c>
      <c r="J80" s="233" t="e">
        <f t="shared" si="63"/>
        <v>#DIV/0!</v>
      </c>
      <c r="L80" s="448"/>
      <c r="M80" s="448"/>
      <c r="N80" s="448"/>
      <c r="O80" s="448"/>
      <c r="P80" s="448"/>
    </row>
    <row r="81" spans="1:16" x14ac:dyDescent="0.25">
      <c r="A81" s="13">
        <v>15</v>
      </c>
      <c r="B81" s="506" t="s">
        <v>153</v>
      </c>
      <c r="C81" s="610"/>
      <c r="D81" s="97">
        <f t="shared" si="57"/>
        <v>0</v>
      </c>
      <c r="E81" s="242">
        <f t="shared" si="58"/>
        <v>0</v>
      </c>
      <c r="F81" s="97">
        <f t="shared" si="59"/>
        <v>0</v>
      </c>
      <c r="G81" s="242">
        <f t="shared" si="60"/>
        <v>0</v>
      </c>
      <c r="H81" s="383">
        <f t="shared" si="61"/>
        <v>0</v>
      </c>
      <c r="I81" s="383">
        <f t="shared" si="62"/>
        <v>0</v>
      </c>
      <c r="J81" s="233" t="e">
        <f t="shared" si="63"/>
        <v>#DIV/0!</v>
      </c>
      <c r="L81" s="448"/>
      <c r="M81" s="448"/>
      <c r="N81" s="448"/>
      <c r="O81" s="448"/>
      <c r="P81" s="448"/>
    </row>
    <row r="82" spans="1:16" x14ac:dyDescent="0.25">
      <c r="A82" s="13">
        <v>16</v>
      </c>
      <c r="B82" s="506" t="s">
        <v>154</v>
      </c>
      <c r="C82" s="610"/>
      <c r="D82" s="97">
        <f t="shared" si="57"/>
        <v>0</v>
      </c>
      <c r="E82" s="242">
        <f t="shared" si="58"/>
        <v>0</v>
      </c>
      <c r="F82" s="97">
        <f t="shared" si="59"/>
        <v>0</v>
      </c>
      <c r="G82" s="242">
        <f t="shared" si="60"/>
        <v>0</v>
      </c>
      <c r="H82" s="383">
        <f t="shared" si="61"/>
        <v>0</v>
      </c>
      <c r="I82" s="383">
        <f t="shared" si="62"/>
        <v>0</v>
      </c>
      <c r="J82" s="233" t="e">
        <f t="shared" si="63"/>
        <v>#DIV/0!</v>
      </c>
      <c r="L82" s="448"/>
      <c r="M82" s="448"/>
      <c r="N82" s="448"/>
      <c r="O82" s="448"/>
      <c r="P82" s="448"/>
    </row>
    <row r="83" spans="1:16" x14ac:dyDescent="0.25">
      <c r="A83" s="13">
        <v>17</v>
      </c>
      <c r="B83" s="506" t="s">
        <v>155</v>
      </c>
      <c r="C83" s="610"/>
      <c r="D83" s="97">
        <f t="shared" si="57"/>
        <v>0</v>
      </c>
      <c r="E83" s="242">
        <f t="shared" si="58"/>
        <v>0</v>
      </c>
      <c r="F83" s="97">
        <f t="shared" si="59"/>
        <v>0</v>
      </c>
      <c r="G83" s="242">
        <f t="shared" si="60"/>
        <v>0</v>
      </c>
      <c r="H83" s="383">
        <f t="shared" si="61"/>
        <v>0</v>
      </c>
      <c r="I83" s="383">
        <f t="shared" si="62"/>
        <v>0</v>
      </c>
      <c r="J83" s="233" t="e">
        <f t="shared" si="63"/>
        <v>#DIV/0!</v>
      </c>
      <c r="L83" s="448"/>
      <c r="M83" s="448"/>
      <c r="N83" s="448"/>
      <c r="O83" s="448"/>
      <c r="P83" s="448"/>
    </row>
    <row r="84" spans="1:16" x14ac:dyDescent="0.25">
      <c r="A84" s="13">
        <v>18</v>
      </c>
      <c r="B84" s="506" t="s">
        <v>156</v>
      </c>
      <c r="C84" s="610"/>
      <c r="D84" s="97">
        <f t="shared" si="57"/>
        <v>0</v>
      </c>
      <c r="E84" s="242">
        <f t="shared" si="58"/>
        <v>0</v>
      </c>
      <c r="F84" s="97">
        <f t="shared" si="59"/>
        <v>0</v>
      </c>
      <c r="G84" s="242">
        <f t="shared" si="60"/>
        <v>0</v>
      </c>
      <c r="H84" s="383">
        <f t="shared" si="61"/>
        <v>0</v>
      </c>
      <c r="I84" s="383">
        <f t="shared" si="62"/>
        <v>0</v>
      </c>
      <c r="J84" s="233" t="e">
        <f t="shared" si="63"/>
        <v>#DIV/0!</v>
      </c>
      <c r="L84" s="448"/>
      <c r="M84" s="448"/>
      <c r="N84" s="448"/>
      <c r="O84" s="448"/>
      <c r="P84" s="448"/>
    </row>
    <row r="85" spans="1:16" x14ac:dyDescent="0.25">
      <c r="A85" s="13">
        <v>19</v>
      </c>
      <c r="B85" s="506" t="s">
        <v>157</v>
      </c>
      <c r="C85" s="610"/>
      <c r="D85" s="97">
        <f t="shared" si="57"/>
        <v>0</v>
      </c>
      <c r="E85" s="242">
        <f t="shared" si="58"/>
        <v>0</v>
      </c>
      <c r="F85" s="97">
        <f t="shared" si="59"/>
        <v>0</v>
      </c>
      <c r="G85" s="242">
        <f t="shared" si="60"/>
        <v>0</v>
      </c>
      <c r="H85" s="383">
        <f t="shared" si="61"/>
        <v>0</v>
      </c>
      <c r="I85" s="383">
        <f t="shared" si="62"/>
        <v>0</v>
      </c>
      <c r="J85" s="233" t="e">
        <f t="shared" si="63"/>
        <v>#DIV/0!</v>
      </c>
      <c r="L85" s="448"/>
      <c r="M85" s="448"/>
      <c r="N85" s="448"/>
      <c r="O85" s="448"/>
      <c r="P85" s="448"/>
    </row>
    <row r="86" spans="1:16" x14ac:dyDescent="0.25">
      <c r="A86" s="13">
        <v>20</v>
      </c>
      <c r="B86" s="506" t="s">
        <v>158</v>
      </c>
      <c r="C86" s="610"/>
      <c r="D86" s="97">
        <f t="shared" si="57"/>
        <v>0</v>
      </c>
      <c r="E86" s="242">
        <f t="shared" si="58"/>
        <v>0</v>
      </c>
      <c r="F86" s="97">
        <f t="shared" si="59"/>
        <v>0</v>
      </c>
      <c r="G86" s="242">
        <f t="shared" si="60"/>
        <v>0</v>
      </c>
      <c r="H86" s="383">
        <f t="shared" si="61"/>
        <v>0</v>
      </c>
      <c r="I86" s="383">
        <f t="shared" si="62"/>
        <v>0</v>
      </c>
      <c r="J86" s="233" t="e">
        <f t="shared" si="63"/>
        <v>#DIV/0!</v>
      </c>
      <c r="L86" s="448"/>
      <c r="M86" s="448"/>
      <c r="N86" s="448"/>
      <c r="O86" s="448"/>
      <c r="P86" s="448"/>
    </row>
    <row r="87" spans="1:16" x14ac:dyDescent="0.25">
      <c r="A87" s="13">
        <v>21</v>
      </c>
      <c r="B87" s="506" t="s">
        <v>159</v>
      </c>
      <c r="C87" s="610"/>
      <c r="D87" s="97">
        <f t="shared" si="57"/>
        <v>0</v>
      </c>
      <c r="E87" s="242">
        <f t="shared" si="58"/>
        <v>0</v>
      </c>
      <c r="F87" s="97">
        <f t="shared" si="59"/>
        <v>0</v>
      </c>
      <c r="G87" s="242">
        <f t="shared" si="60"/>
        <v>0</v>
      </c>
      <c r="H87" s="383">
        <f t="shared" si="61"/>
        <v>0</v>
      </c>
      <c r="I87" s="383">
        <f t="shared" si="62"/>
        <v>0</v>
      </c>
      <c r="J87" s="233" t="e">
        <f t="shared" si="63"/>
        <v>#DIV/0!</v>
      </c>
      <c r="L87" s="448"/>
      <c r="M87" s="448"/>
      <c r="N87" s="448"/>
      <c r="O87" s="448"/>
      <c r="P87" s="448"/>
    </row>
    <row r="88" spans="1:16" x14ac:dyDescent="0.25">
      <c r="A88" s="13">
        <v>22</v>
      </c>
      <c r="B88" s="506" t="s">
        <v>160</v>
      </c>
      <c r="C88" s="610"/>
      <c r="D88" s="97">
        <f t="shared" si="57"/>
        <v>0</v>
      </c>
      <c r="E88" s="242">
        <f t="shared" si="58"/>
        <v>0</v>
      </c>
      <c r="F88" s="97">
        <f t="shared" si="59"/>
        <v>0</v>
      </c>
      <c r="G88" s="242">
        <f t="shared" si="60"/>
        <v>0</v>
      </c>
      <c r="H88" s="383">
        <f t="shared" si="61"/>
        <v>0</v>
      </c>
      <c r="I88" s="383">
        <f t="shared" si="62"/>
        <v>0</v>
      </c>
      <c r="J88" s="233" t="e">
        <f t="shared" si="63"/>
        <v>#DIV/0!</v>
      </c>
    </row>
    <row r="89" spans="1:16" x14ac:dyDescent="0.25">
      <c r="A89" s="13">
        <v>23</v>
      </c>
      <c r="B89" s="506" t="s">
        <v>161</v>
      </c>
      <c r="C89" s="610"/>
      <c r="D89" s="97">
        <f t="shared" si="57"/>
        <v>0</v>
      </c>
      <c r="E89" s="242">
        <f t="shared" si="58"/>
        <v>0</v>
      </c>
      <c r="F89" s="97">
        <f t="shared" si="59"/>
        <v>0</v>
      </c>
      <c r="G89" s="242">
        <f t="shared" si="60"/>
        <v>0</v>
      </c>
      <c r="H89" s="383">
        <f t="shared" si="61"/>
        <v>0</v>
      </c>
      <c r="I89" s="383">
        <f t="shared" si="62"/>
        <v>0</v>
      </c>
      <c r="J89" s="233" t="e">
        <f t="shared" si="63"/>
        <v>#DIV/0!</v>
      </c>
    </row>
    <row r="90" spans="1:16" x14ac:dyDescent="0.25">
      <c r="A90" s="13">
        <v>24</v>
      </c>
      <c r="B90" s="506" t="s">
        <v>162</v>
      </c>
      <c r="C90" s="610"/>
      <c r="D90" s="97">
        <f t="shared" si="57"/>
        <v>0</v>
      </c>
      <c r="E90" s="242">
        <f t="shared" si="58"/>
        <v>0</v>
      </c>
      <c r="F90" s="97">
        <f t="shared" si="59"/>
        <v>0</v>
      </c>
      <c r="G90" s="242">
        <f t="shared" si="60"/>
        <v>0</v>
      </c>
      <c r="H90" s="383">
        <f t="shared" si="61"/>
        <v>0</v>
      </c>
      <c r="I90" s="383">
        <f t="shared" si="62"/>
        <v>0</v>
      </c>
      <c r="J90" s="233" t="e">
        <f t="shared" si="63"/>
        <v>#DIV/0!</v>
      </c>
    </row>
    <row r="91" spans="1:16" x14ac:dyDescent="0.25">
      <c r="A91" s="13"/>
      <c r="B91" s="15" t="s">
        <v>163</v>
      </c>
      <c r="C91" s="15"/>
      <c r="D91" s="48">
        <f>SUM(D67:D90)</f>
        <v>0</v>
      </c>
      <c r="E91" s="48">
        <f t="shared" ref="E91:I91" si="64">SUM(E67:E90)</f>
        <v>0</v>
      </c>
      <c r="F91" s="48">
        <f t="shared" si="64"/>
        <v>0</v>
      </c>
      <c r="G91" s="48">
        <f t="shared" si="64"/>
        <v>0</v>
      </c>
      <c r="H91" s="48">
        <f t="shared" si="64"/>
        <v>0</v>
      </c>
      <c r="I91" s="48">
        <f t="shared" si="64"/>
        <v>0</v>
      </c>
      <c r="J91" s="51" t="e">
        <f>G91/$G$91</f>
        <v>#DIV/0!</v>
      </c>
      <c r="K91" s="529" t="e">
        <f>SUM(J67:J90)=J91</f>
        <v>#DIV/0!</v>
      </c>
    </row>
    <row r="97" spans="1:19" ht="21" x14ac:dyDescent="0.35">
      <c r="B97" s="88" t="s">
        <v>944</v>
      </c>
      <c r="C97" s="88"/>
    </row>
    <row r="98" spans="1:19" x14ac:dyDescent="0.25">
      <c r="B98" s="13"/>
      <c r="C98" s="402"/>
      <c r="D98" s="822" t="s">
        <v>945</v>
      </c>
      <c r="E98" s="884"/>
      <c r="F98" s="884"/>
      <c r="G98" s="823"/>
      <c r="H98" s="759" t="s">
        <v>946</v>
      </c>
      <c r="I98" s="759" t="s">
        <v>947</v>
      </c>
      <c r="J98" s="381" t="s">
        <v>400</v>
      </c>
      <c r="K98" s="81">
        <v>10661</v>
      </c>
      <c r="L98" s="1" t="s">
        <v>257</v>
      </c>
      <c r="O98" s="76"/>
    </row>
    <row r="99" spans="1:19" ht="45" x14ac:dyDescent="0.25">
      <c r="B99" s="15" t="s">
        <v>101</v>
      </c>
      <c r="C99" s="15"/>
      <c r="D99" s="85" t="s">
        <v>948</v>
      </c>
      <c r="E99" s="85" t="s">
        <v>949</v>
      </c>
      <c r="F99" s="85" t="s">
        <v>950</v>
      </c>
      <c r="G99" s="85" t="s">
        <v>951</v>
      </c>
      <c r="H99" s="759"/>
      <c r="I99" s="759"/>
    </row>
    <row r="100" spans="1:19" x14ac:dyDescent="0.25">
      <c r="A100" s="13">
        <v>1</v>
      </c>
      <c r="B100" s="506" t="s">
        <v>139</v>
      </c>
      <c r="C100" s="610"/>
      <c r="D100" s="43">
        <f t="shared" ref="D100:D123" si="65">V5*$L$107*1000000</f>
        <v>0</v>
      </c>
      <c r="E100" s="43" t="e">
        <f t="shared" ref="E100:E123" si="66">W5*$L$107*1000000</f>
        <v>#DIV/0!</v>
      </c>
      <c r="F100" s="43">
        <f t="shared" ref="F100:F123" si="67">H36*$L$107*1000</f>
        <v>0</v>
      </c>
      <c r="G100" s="316" t="e">
        <f>SUM(D100:F100)</f>
        <v>#DIV/0!</v>
      </c>
      <c r="H100" s="48">
        <f t="shared" ref="H100:H123" si="68">F67</f>
        <v>0</v>
      </c>
      <c r="I100" s="48" t="e">
        <f t="shared" ref="I100:I123" si="69">G100+H100</f>
        <v>#DIV/0!</v>
      </c>
      <c r="J100" s="883" t="s">
        <v>952</v>
      </c>
      <c r="K100" s="883"/>
      <c r="L100" s="135">
        <v>291.30779724393767</v>
      </c>
      <c r="R100" s="375"/>
    </row>
    <row r="101" spans="1:19" x14ac:dyDescent="0.25">
      <c r="A101" s="13">
        <v>2</v>
      </c>
      <c r="B101" s="506" t="s">
        <v>140</v>
      </c>
      <c r="C101" s="610"/>
      <c r="D101" s="43">
        <f t="shared" si="65"/>
        <v>0</v>
      </c>
      <c r="E101" s="43" t="e">
        <f t="shared" si="66"/>
        <v>#DIV/0!</v>
      </c>
      <c r="F101" s="43">
        <f t="shared" si="67"/>
        <v>0</v>
      </c>
      <c r="G101" s="316" t="e">
        <f t="shared" ref="G101:G123" si="70">SUM(D101:F101)</f>
        <v>#DIV/0!</v>
      </c>
      <c r="H101" s="48">
        <f t="shared" si="68"/>
        <v>0</v>
      </c>
      <c r="I101" s="48" t="e">
        <f t="shared" si="69"/>
        <v>#DIV/0!</v>
      </c>
      <c r="J101" t="s">
        <v>953</v>
      </c>
      <c r="L101" s="530">
        <v>6.3098591549295771</v>
      </c>
      <c r="M101" s="375" t="s">
        <v>345</v>
      </c>
      <c r="N101" s="4"/>
      <c r="Q101" s="76"/>
    </row>
    <row r="102" spans="1:19" ht="15.75" thickBot="1" x14ac:dyDescent="0.3">
      <c r="A102" s="13">
        <v>3</v>
      </c>
      <c r="B102" s="506" t="s">
        <v>141</v>
      </c>
      <c r="C102" s="610"/>
      <c r="D102" s="43">
        <f t="shared" si="65"/>
        <v>0</v>
      </c>
      <c r="E102" s="43" t="e">
        <f t="shared" si="66"/>
        <v>#DIV/0!</v>
      </c>
      <c r="F102" s="43">
        <f t="shared" si="67"/>
        <v>0</v>
      </c>
      <c r="G102" s="316" t="e">
        <f t="shared" si="70"/>
        <v>#DIV/0!</v>
      </c>
      <c r="H102" s="48">
        <f t="shared" si="68"/>
        <v>0</v>
      </c>
      <c r="I102" s="48" t="e">
        <f t="shared" si="69"/>
        <v>#DIV/0!</v>
      </c>
      <c r="J102" t="s">
        <v>954</v>
      </c>
      <c r="L102" s="41">
        <f>L100/L101</f>
        <v>46.167083938213338</v>
      </c>
      <c r="M102" s="375" t="s">
        <v>345</v>
      </c>
      <c r="N102" s="4"/>
    </row>
    <row r="103" spans="1:19" ht="15.75" thickBot="1" x14ac:dyDescent="0.3">
      <c r="A103" s="13">
        <v>4</v>
      </c>
      <c r="B103" s="506" t="s">
        <v>142</v>
      </c>
      <c r="C103" s="610"/>
      <c r="D103" s="43">
        <f t="shared" si="65"/>
        <v>0</v>
      </c>
      <c r="E103" s="43" t="e">
        <f t="shared" si="66"/>
        <v>#DIV/0!</v>
      </c>
      <c r="F103" s="43">
        <f t="shared" si="67"/>
        <v>0</v>
      </c>
      <c r="G103" s="316" t="e">
        <f t="shared" si="70"/>
        <v>#DIV/0!</v>
      </c>
      <c r="H103" s="48">
        <f t="shared" si="68"/>
        <v>0</v>
      </c>
      <c r="I103" s="48" t="e">
        <f t="shared" si="69"/>
        <v>#DIV/0!</v>
      </c>
      <c r="J103" t="s">
        <v>955</v>
      </c>
      <c r="L103" s="536">
        <f>L104/1000</f>
        <v>8.0000000000000004E-4</v>
      </c>
      <c r="M103" s="375" t="s">
        <v>345</v>
      </c>
    </row>
    <row r="104" spans="1:19" x14ac:dyDescent="0.25">
      <c r="A104" s="13">
        <v>5</v>
      </c>
      <c r="B104" s="506" t="s">
        <v>143</v>
      </c>
      <c r="C104" s="610"/>
      <c r="D104" s="43">
        <f t="shared" si="65"/>
        <v>0</v>
      </c>
      <c r="E104" s="43" t="e">
        <f t="shared" si="66"/>
        <v>#DIV/0!</v>
      </c>
      <c r="F104" s="43">
        <f t="shared" si="67"/>
        <v>0</v>
      </c>
      <c r="G104" s="316" t="e">
        <f t="shared" si="70"/>
        <v>#DIV/0!</v>
      </c>
      <c r="H104" s="48">
        <f t="shared" si="68"/>
        <v>0</v>
      </c>
      <c r="I104" s="48" t="e">
        <f t="shared" si="69"/>
        <v>#DIV/0!</v>
      </c>
      <c r="J104" t="s">
        <v>956</v>
      </c>
      <c r="L104" s="537">
        <v>0.8</v>
      </c>
      <c r="M104" s="375" t="s">
        <v>345</v>
      </c>
      <c r="N104" t="s">
        <v>957</v>
      </c>
    </row>
    <row r="105" spans="1:19" x14ac:dyDescent="0.25">
      <c r="A105" s="13">
        <v>6</v>
      </c>
      <c r="B105" s="506" t="s">
        <v>144</v>
      </c>
      <c r="C105" s="610"/>
      <c r="D105" s="43">
        <f t="shared" si="65"/>
        <v>0</v>
      </c>
      <c r="E105" s="43" t="e">
        <f t="shared" si="66"/>
        <v>#DIV/0!</v>
      </c>
      <c r="F105" s="43">
        <f t="shared" si="67"/>
        <v>0</v>
      </c>
      <c r="G105" s="316" t="e">
        <f t="shared" si="70"/>
        <v>#DIV/0!</v>
      </c>
      <c r="H105" s="48">
        <f t="shared" si="68"/>
        <v>0</v>
      </c>
      <c r="I105" s="48" t="e">
        <f t="shared" si="69"/>
        <v>#DIV/0!</v>
      </c>
      <c r="J105" t="s">
        <v>958</v>
      </c>
      <c r="L105" s="535">
        <f>AVERAGE(0.77,0.96)*X1</f>
        <v>2.4877400000000001</v>
      </c>
      <c r="M105" s="375" t="s">
        <v>345</v>
      </c>
      <c r="N105" s="20" t="s">
        <v>959</v>
      </c>
      <c r="S105">
        <f>AVERAGE(0.77,0.96)</f>
        <v>0.86499999999999999</v>
      </c>
    </row>
    <row r="106" spans="1:19" x14ac:dyDescent="0.25">
      <c r="A106" s="13">
        <v>7</v>
      </c>
      <c r="B106" s="506" t="s">
        <v>145</v>
      </c>
      <c r="C106" s="610"/>
      <c r="D106" s="43">
        <f t="shared" si="65"/>
        <v>0</v>
      </c>
      <c r="E106" s="43" t="e">
        <f t="shared" si="66"/>
        <v>#DIV/0!</v>
      </c>
      <c r="F106" s="43">
        <f t="shared" si="67"/>
        <v>0</v>
      </c>
      <c r="G106" s="316" t="e">
        <f t="shared" si="70"/>
        <v>#DIV/0!</v>
      </c>
      <c r="H106" s="48">
        <f t="shared" si="68"/>
        <v>0</v>
      </c>
      <c r="I106" s="48" t="e">
        <f t="shared" si="69"/>
        <v>#DIV/0!</v>
      </c>
      <c r="J106" t="s">
        <v>960</v>
      </c>
      <c r="L106" s="382">
        <f>L104*L105</f>
        <v>1.9901920000000002</v>
      </c>
    </row>
    <row r="107" spans="1:19" x14ac:dyDescent="0.25">
      <c r="A107" s="13">
        <v>8</v>
      </c>
      <c r="B107" s="506" t="s">
        <v>146</v>
      </c>
      <c r="C107" s="610"/>
      <c r="D107" s="43">
        <f t="shared" si="65"/>
        <v>0</v>
      </c>
      <c r="E107" s="43" t="e">
        <f t="shared" si="66"/>
        <v>#DIV/0!</v>
      </c>
      <c r="F107" s="43">
        <f t="shared" si="67"/>
        <v>0</v>
      </c>
      <c r="G107" s="316" t="e">
        <f t="shared" si="70"/>
        <v>#DIV/0!</v>
      </c>
      <c r="H107" s="48">
        <f t="shared" si="68"/>
        <v>0</v>
      </c>
      <c r="I107" s="48" t="e">
        <f t="shared" si="69"/>
        <v>#DIV/0!</v>
      </c>
      <c r="J107" t="s">
        <v>961</v>
      </c>
      <c r="L107" s="534">
        <f>L106/X1</f>
        <v>0.69200000000000006</v>
      </c>
    </row>
    <row r="108" spans="1:19" x14ac:dyDescent="0.25">
      <c r="A108" s="13">
        <v>9</v>
      </c>
      <c r="B108" s="506" t="s">
        <v>147</v>
      </c>
      <c r="C108" s="610"/>
      <c r="D108" s="43">
        <f t="shared" si="65"/>
        <v>0</v>
      </c>
      <c r="E108" s="43" t="e">
        <f t="shared" si="66"/>
        <v>#DIV/0!</v>
      </c>
      <c r="F108" s="43">
        <f t="shared" si="67"/>
        <v>0</v>
      </c>
      <c r="G108" s="316" t="e">
        <f t="shared" si="70"/>
        <v>#DIV/0!</v>
      </c>
      <c r="H108" s="48">
        <f t="shared" si="68"/>
        <v>0</v>
      </c>
      <c r="I108" s="48" t="e">
        <f t="shared" si="69"/>
        <v>#DIV/0!</v>
      </c>
      <c r="L108" s="124"/>
    </row>
    <row r="109" spans="1:19" x14ac:dyDescent="0.25">
      <c r="A109" s="13">
        <v>10</v>
      </c>
      <c r="B109" s="506" t="s">
        <v>148</v>
      </c>
      <c r="C109" s="610"/>
      <c r="D109" s="43">
        <f t="shared" si="65"/>
        <v>0</v>
      </c>
      <c r="E109" s="43" t="e">
        <f t="shared" si="66"/>
        <v>#DIV/0!</v>
      </c>
      <c r="F109" s="43">
        <f t="shared" si="67"/>
        <v>0</v>
      </c>
      <c r="G109" s="316" t="e">
        <f t="shared" si="70"/>
        <v>#DIV/0!</v>
      </c>
      <c r="H109" s="48">
        <f t="shared" si="68"/>
        <v>0</v>
      </c>
      <c r="I109" s="48" t="e">
        <f t="shared" si="69"/>
        <v>#DIV/0!</v>
      </c>
      <c r="L109" s="124"/>
    </row>
    <row r="110" spans="1:19" x14ac:dyDescent="0.25">
      <c r="A110" s="13">
        <v>11</v>
      </c>
      <c r="B110" s="506" t="s">
        <v>149</v>
      </c>
      <c r="C110" s="610"/>
      <c r="D110" s="43">
        <f t="shared" si="65"/>
        <v>0</v>
      </c>
      <c r="E110" s="43" t="e">
        <f t="shared" si="66"/>
        <v>#DIV/0!</v>
      </c>
      <c r="F110" s="43">
        <f t="shared" si="67"/>
        <v>0</v>
      </c>
      <c r="G110" s="316" t="e">
        <f t="shared" si="70"/>
        <v>#DIV/0!</v>
      </c>
      <c r="H110" s="48">
        <f t="shared" si="68"/>
        <v>0</v>
      </c>
      <c r="I110" s="48" t="e">
        <f t="shared" si="69"/>
        <v>#DIV/0!</v>
      </c>
      <c r="L110" s="124"/>
    </row>
    <row r="111" spans="1:19" x14ac:dyDescent="0.25">
      <c r="A111" s="13">
        <v>12</v>
      </c>
      <c r="B111" s="506" t="s">
        <v>150</v>
      </c>
      <c r="C111" s="610"/>
      <c r="D111" s="43">
        <f t="shared" si="65"/>
        <v>0</v>
      </c>
      <c r="E111" s="43" t="e">
        <f t="shared" si="66"/>
        <v>#DIV/0!</v>
      </c>
      <c r="F111" s="43">
        <f t="shared" si="67"/>
        <v>0</v>
      </c>
      <c r="G111" s="316" t="e">
        <f t="shared" si="70"/>
        <v>#DIV/0!</v>
      </c>
      <c r="H111" s="48">
        <f t="shared" si="68"/>
        <v>0</v>
      </c>
      <c r="I111" s="48" t="e">
        <f t="shared" si="69"/>
        <v>#DIV/0!</v>
      </c>
      <c r="L111" s="124"/>
    </row>
    <row r="112" spans="1:19" x14ac:dyDescent="0.25">
      <c r="A112" s="13">
        <v>13</v>
      </c>
      <c r="B112" s="506" t="s">
        <v>151</v>
      </c>
      <c r="C112" s="610"/>
      <c r="D112" s="43">
        <f t="shared" si="65"/>
        <v>0</v>
      </c>
      <c r="E112" s="43" t="e">
        <f t="shared" si="66"/>
        <v>#DIV/0!</v>
      </c>
      <c r="F112" s="43">
        <f t="shared" si="67"/>
        <v>0</v>
      </c>
      <c r="G112" s="316" t="e">
        <f t="shared" si="70"/>
        <v>#DIV/0!</v>
      </c>
      <c r="H112" s="48">
        <f t="shared" si="68"/>
        <v>0</v>
      </c>
      <c r="I112" s="48" t="e">
        <f t="shared" si="69"/>
        <v>#DIV/0!</v>
      </c>
      <c r="L112" s="124"/>
    </row>
    <row r="113" spans="1:12" x14ac:dyDescent="0.25">
      <c r="A113" s="13">
        <v>14</v>
      </c>
      <c r="B113" s="506" t="s">
        <v>152</v>
      </c>
      <c r="C113" s="610"/>
      <c r="D113" s="43">
        <f t="shared" si="65"/>
        <v>0</v>
      </c>
      <c r="E113" s="43" t="e">
        <f t="shared" si="66"/>
        <v>#DIV/0!</v>
      </c>
      <c r="F113" s="43">
        <f t="shared" si="67"/>
        <v>0</v>
      </c>
      <c r="G113" s="316" t="e">
        <f t="shared" si="70"/>
        <v>#DIV/0!</v>
      </c>
      <c r="H113" s="48">
        <f t="shared" si="68"/>
        <v>0</v>
      </c>
      <c r="I113" s="48" t="e">
        <f t="shared" si="69"/>
        <v>#DIV/0!</v>
      </c>
      <c r="L113" s="124"/>
    </row>
    <row r="114" spans="1:12" x14ac:dyDescent="0.25">
      <c r="A114" s="13">
        <v>15</v>
      </c>
      <c r="B114" s="506" t="s">
        <v>153</v>
      </c>
      <c r="C114" s="610"/>
      <c r="D114" s="43">
        <f t="shared" si="65"/>
        <v>0</v>
      </c>
      <c r="E114" s="43" t="e">
        <f t="shared" si="66"/>
        <v>#DIV/0!</v>
      </c>
      <c r="F114" s="43">
        <f t="shared" si="67"/>
        <v>0</v>
      </c>
      <c r="G114" s="316" t="e">
        <f t="shared" si="70"/>
        <v>#DIV/0!</v>
      </c>
      <c r="H114" s="48">
        <f t="shared" si="68"/>
        <v>0</v>
      </c>
      <c r="I114" s="48" t="e">
        <f t="shared" si="69"/>
        <v>#DIV/0!</v>
      </c>
      <c r="L114" s="124"/>
    </row>
    <row r="115" spans="1:12" x14ac:dyDescent="0.25">
      <c r="A115" s="13">
        <v>16</v>
      </c>
      <c r="B115" s="506" t="s">
        <v>154</v>
      </c>
      <c r="C115" s="610"/>
      <c r="D115" s="43">
        <f t="shared" si="65"/>
        <v>0</v>
      </c>
      <c r="E115" s="43" t="e">
        <f t="shared" si="66"/>
        <v>#DIV/0!</v>
      </c>
      <c r="F115" s="43">
        <f t="shared" si="67"/>
        <v>0</v>
      </c>
      <c r="G115" s="316" t="e">
        <f t="shared" si="70"/>
        <v>#DIV/0!</v>
      </c>
      <c r="H115" s="48">
        <f t="shared" si="68"/>
        <v>0</v>
      </c>
      <c r="I115" s="48" t="e">
        <f t="shared" si="69"/>
        <v>#DIV/0!</v>
      </c>
      <c r="L115" s="124"/>
    </row>
    <row r="116" spans="1:12" x14ac:dyDescent="0.25">
      <c r="A116" s="13">
        <v>17</v>
      </c>
      <c r="B116" s="506" t="s">
        <v>155</v>
      </c>
      <c r="C116" s="610"/>
      <c r="D116" s="43">
        <f t="shared" si="65"/>
        <v>0</v>
      </c>
      <c r="E116" s="43" t="e">
        <f t="shared" si="66"/>
        <v>#DIV/0!</v>
      </c>
      <c r="F116" s="43">
        <f t="shared" si="67"/>
        <v>0</v>
      </c>
      <c r="G116" s="316" t="e">
        <f t="shared" si="70"/>
        <v>#DIV/0!</v>
      </c>
      <c r="H116" s="48">
        <f t="shared" si="68"/>
        <v>0</v>
      </c>
      <c r="I116" s="48" t="e">
        <f t="shared" si="69"/>
        <v>#DIV/0!</v>
      </c>
      <c r="L116" s="124"/>
    </row>
    <row r="117" spans="1:12" x14ac:dyDescent="0.25">
      <c r="A117" s="13">
        <v>18</v>
      </c>
      <c r="B117" s="506" t="s">
        <v>156</v>
      </c>
      <c r="C117" s="610"/>
      <c r="D117" s="43">
        <f t="shared" si="65"/>
        <v>0</v>
      </c>
      <c r="E117" s="43" t="e">
        <f t="shared" si="66"/>
        <v>#DIV/0!</v>
      </c>
      <c r="F117" s="43">
        <f t="shared" si="67"/>
        <v>0</v>
      </c>
      <c r="G117" s="316" t="e">
        <f t="shared" si="70"/>
        <v>#DIV/0!</v>
      </c>
      <c r="H117" s="48">
        <f t="shared" si="68"/>
        <v>0</v>
      </c>
      <c r="I117" s="48" t="e">
        <f t="shared" si="69"/>
        <v>#DIV/0!</v>
      </c>
      <c r="L117" s="124"/>
    </row>
    <row r="118" spans="1:12" x14ac:dyDescent="0.25">
      <c r="A118" s="13">
        <v>19</v>
      </c>
      <c r="B118" s="506" t="s">
        <v>157</v>
      </c>
      <c r="C118" s="610"/>
      <c r="D118" s="43">
        <f t="shared" si="65"/>
        <v>0</v>
      </c>
      <c r="E118" s="43" t="e">
        <f t="shared" si="66"/>
        <v>#DIV/0!</v>
      </c>
      <c r="F118" s="43">
        <f t="shared" si="67"/>
        <v>0</v>
      </c>
      <c r="G118" s="316" t="e">
        <f t="shared" si="70"/>
        <v>#DIV/0!</v>
      </c>
      <c r="H118" s="48">
        <f t="shared" si="68"/>
        <v>0</v>
      </c>
      <c r="I118" s="48" t="e">
        <f t="shared" si="69"/>
        <v>#DIV/0!</v>
      </c>
      <c r="L118" s="124"/>
    </row>
    <row r="119" spans="1:12" x14ac:dyDescent="0.25">
      <c r="A119" s="13">
        <v>20</v>
      </c>
      <c r="B119" s="506" t="s">
        <v>158</v>
      </c>
      <c r="C119" s="610"/>
      <c r="D119" s="43">
        <f t="shared" si="65"/>
        <v>0</v>
      </c>
      <c r="E119" s="43" t="e">
        <f t="shared" si="66"/>
        <v>#DIV/0!</v>
      </c>
      <c r="F119" s="43">
        <f t="shared" si="67"/>
        <v>0</v>
      </c>
      <c r="G119" s="316" t="e">
        <f t="shared" si="70"/>
        <v>#DIV/0!</v>
      </c>
      <c r="H119" s="48">
        <f t="shared" si="68"/>
        <v>0</v>
      </c>
      <c r="I119" s="48" t="e">
        <f t="shared" si="69"/>
        <v>#DIV/0!</v>
      </c>
    </row>
    <row r="120" spans="1:12" x14ac:dyDescent="0.25">
      <c r="A120" s="13">
        <v>21</v>
      </c>
      <c r="B120" s="506" t="s">
        <v>159</v>
      </c>
      <c r="C120" s="610"/>
      <c r="D120" s="43">
        <f t="shared" si="65"/>
        <v>0</v>
      </c>
      <c r="E120" s="43" t="e">
        <f t="shared" si="66"/>
        <v>#DIV/0!</v>
      </c>
      <c r="F120" s="43">
        <f t="shared" si="67"/>
        <v>0</v>
      </c>
      <c r="G120" s="316" t="e">
        <f t="shared" si="70"/>
        <v>#DIV/0!</v>
      </c>
      <c r="H120" s="48">
        <f t="shared" si="68"/>
        <v>0</v>
      </c>
      <c r="I120" s="48" t="e">
        <f t="shared" si="69"/>
        <v>#DIV/0!</v>
      </c>
    </row>
    <row r="121" spans="1:12" x14ac:dyDescent="0.25">
      <c r="A121" s="13">
        <v>22</v>
      </c>
      <c r="B121" s="506" t="s">
        <v>160</v>
      </c>
      <c r="C121" s="610"/>
      <c r="D121" s="43">
        <f t="shared" si="65"/>
        <v>0</v>
      </c>
      <c r="E121" s="43" t="e">
        <f t="shared" si="66"/>
        <v>#DIV/0!</v>
      </c>
      <c r="F121" s="43">
        <f t="shared" si="67"/>
        <v>0</v>
      </c>
      <c r="G121" s="316" t="e">
        <f t="shared" si="70"/>
        <v>#DIV/0!</v>
      </c>
      <c r="H121" s="48">
        <f t="shared" si="68"/>
        <v>0</v>
      </c>
      <c r="I121" s="48" t="e">
        <f t="shared" si="69"/>
        <v>#DIV/0!</v>
      </c>
    </row>
    <row r="122" spans="1:12" x14ac:dyDescent="0.25">
      <c r="A122" s="13">
        <v>23</v>
      </c>
      <c r="B122" s="506" t="s">
        <v>161</v>
      </c>
      <c r="C122" s="610"/>
      <c r="D122" s="43">
        <f t="shared" si="65"/>
        <v>0</v>
      </c>
      <c r="E122" s="43" t="e">
        <f t="shared" si="66"/>
        <v>#DIV/0!</v>
      </c>
      <c r="F122" s="43">
        <f t="shared" si="67"/>
        <v>0</v>
      </c>
      <c r="G122" s="316" t="e">
        <f t="shared" si="70"/>
        <v>#DIV/0!</v>
      </c>
      <c r="H122" s="48">
        <f t="shared" si="68"/>
        <v>0</v>
      </c>
      <c r="I122" s="48" t="e">
        <f t="shared" si="69"/>
        <v>#DIV/0!</v>
      </c>
    </row>
    <row r="123" spans="1:12" x14ac:dyDescent="0.25">
      <c r="A123" s="13">
        <v>24</v>
      </c>
      <c r="B123" s="506" t="s">
        <v>162</v>
      </c>
      <c r="C123" s="610"/>
      <c r="D123" s="43">
        <f t="shared" si="65"/>
        <v>0</v>
      </c>
      <c r="E123" s="43" t="e">
        <f t="shared" si="66"/>
        <v>#DIV/0!</v>
      </c>
      <c r="F123" s="43">
        <f t="shared" si="67"/>
        <v>0</v>
      </c>
      <c r="G123" s="316" t="e">
        <f t="shared" si="70"/>
        <v>#DIV/0!</v>
      </c>
      <c r="H123" s="48">
        <f t="shared" si="68"/>
        <v>0</v>
      </c>
      <c r="I123" s="48" t="e">
        <f t="shared" si="69"/>
        <v>#DIV/0!</v>
      </c>
    </row>
    <row r="124" spans="1:12" x14ac:dyDescent="0.25">
      <c r="B124" s="15" t="s">
        <v>163</v>
      </c>
      <c r="C124" s="15"/>
      <c r="D124" s="46">
        <f>SUM(D100:D123)</f>
        <v>0</v>
      </c>
      <c r="E124" s="46" t="e">
        <f>SUM(E100:E123)</f>
        <v>#DIV/0!</v>
      </c>
      <c r="F124" s="46">
        <f>SUM(F100:F123)</f>
        <v>0</v>
      </c>
      <c r="G124" s="46" t="e">
        <f>SUM(G100:G123)</f>
        <v>#DIV/0!</v>
      </c>
      <c r="H124" s="46">
        <f>SUM(H100:H123)</f>
        <v>0</v>
      </c>
      <c r="I124" s="46" t="e">
        <f t="shared" ref="I124" si="71">SUM(I100:I123)</f>
        <v>#DIV/0!</v>
      </c>
    </row>
  </sheetData>
  <mergeCells count="32">
    <mergeCell ref="Z3:AB3"/>
    <mergeCell ref="V3:X3"/>
    <mergeCell ref="Y3:Y4"/>
    <mergeCell ref="R3:U3"/>
    <mergeCell ref="O3:Q3"/>
    <mergeCell ref="K34:K35"/>
    <mergeCell ref="C3:C4"/>
    <mergeCell ref="J34:J35"/>
    <mergeCell ref="I34:I35"/>
    <mergeCell ref="C34:C35"/>
    <mergeCell ref="L71:P72"/>
    <mergeCell ref="L75:P76"/>
    <mergeCell ref="A3:A4"/>
    <mergeCell ref="H98:H99"/>
    <mergeCell ref="I98:I99"/>
    <mergeCell ref="B34:B35"/>
    <mergeCell ref="D34:G34"/>
    <mergeCell ref="A65:A66"/>
    <mergeCell ref="B65:B66"/>
    <mergeCell ref="D65:D66"/>
    <mergeCell ref="E65:E66"/>
    <mergeCell ref="F65:F66"/>
    <mergeCell ref="B3:B4"/>
    <mergeCell ref="D3:F3"/>
    <mergeCell ref="G3:G4"/>
    <mergeCell ref="H3:N3"/>
    <mergeCell ref="B61:C61"/>
    <mergeCell ref="J100:K100"/>
    <mergeCell ref="G65:G66"/>
    <mergeCell ref="H65:H66"/>
    <mergeCell ref="I65:I66"/>
    <mergeCell ref="D98:G98"/>
  </mergeCells>
  <hyperlinks>
    <hyperlink ref="M66" r:id="rId1" location=":~:text=In%20the%20entire%20Khorezm%20region,49%2C000%20tons%20of%20CO2%20Emissions." xr:uid="{E631C9FF-5447-43E8-8BEA-46FE174D9C09}"/>
    <hyperlink ref="R67" r:id="rId2" xr:uid="{E05CC5CB-182E-4754-BC22-0A0DAF72178E}"/>
    <hyperlink ref="R69" r:id="rId3" location=":~:text=The%20study%2C%20published%20today%20in,estimate%20of%20%2451%20per%20ton. " xr:uid="{B522F026-8642-4F30-B32B-1FCE055C0320}"/>
    <hyperlink ref="N105" r:id="rId4" xr:uid="{3BB5AECA-E10C-468A-A5DA-0559C9B89FAD}"/>
  </hyperlinks>
  <pageMargins left="0.7" right="0.7" top="0.75" bottom="0.75" header="0.3" footer="0.3"/>
  <pageSetup orientation="portrait"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14E02-2DFC-42CD-A6CF-BF62EE9D4F95}">
  <dimension ref="A1:X64"/>
  <sheetViews>
    <sheetView workbookViewId="0">
      <selection activeCell="T52" sqref="T52:T56"/>
    </sheetView>
  </sheetViews>
  <sheetFormatPr defaultRowHeight="15" x14ac:dyDescent="0.25"/>
  <cols>
    <col min="2" max="2" width="14.85546875" bestFit="1" customWidth="1"/>
    <col min="3" max="3" width="14.28515625" customWidth="1"/>
    <col min="4" max="4" width="12.140625" customWidth="1"/>
    <col min="5" max="5" width="12.5703125" customWidth="1"/>
    <col min="6" max="6" width="15.5703125" customWidth="1"/>
    <col min="7" max="7" width="14.42578125" customWidth="1"/>
    <col min="8" max="8" width="12.140625" customWidth="1"/>
    <col min="9" max="9" width="16.5703125" customWidth="1"/>
    <col min="10" max="10" width="13.140625" customWidth="1"/>
    <col min="11" max="12" width="13.5703125" customWidth="1"/>
    <col min="13" max="13" width="16.85546875" customWidth="1"/>
    <col min="14" max="14" width="15.7109375" customWidth="1"/>
    <col min="15" max="15" width="15.85546875" customWidth="1"/>
    <col min="16" max="16" width="8.7109375" customWidth="1"/>
    <col min="17" max="17" width="10.85546875" bestFit="1" customWidth="1"/>
    <col min="21" max="21" width="14.140625" customWidth="1"/>
    <col min="22" max="22" width="16.140625" customWidth="1"/>
  </cols>
  <sheetData>
    <row r="1" spans="1:16" x14ac:dyDescent="0.25">
      <c r="B1" s="1"/>
      <c r="K1" s="1" t="s">
        <v>962</v>
      </c>
      <c r="N1" s="1">
        <v>3.67</v>
      </c>
      <c r="O1" s="375" t="s">
        <v>345</v>
      </c>
      <c r="P1" s="20" t="s">
        <v>963</v>
      </c>
    </row>
    <row r="2" spans="1:16" ht="16.5" customHeight="1" x14ac:dyDescent="0.25">
      <c r="A2" s="831"/>
      <c r="B2" s="756" t="s">
        <v>101</v>
      </c>
      <c r="C2" s="756" t="s">
        <v>964</v>
      </c>
      <c r="D2" s="756"/>
      <c r="E2" s="756"/>
      <c r="F2" s="756"/>
      <c r="G2" s="756"/>
      <c r="H2" s="756"/>
      <c r="I2" s="756"/>
      <c r="J2" s="756"/>
      <c r="K2" s="756"/>
      <c r="L2" s="756"/>
      <c r="M2" s="756"/>
      <c r="N2" s="756"/>
      <c r="O2" s="836" t="s">
        <v>965</v>
      </c>
    </row>
    <row r="3" spans="1:16" ht="30" x14ac:dyDescent="0.25">
      <c r="A3" s="831"/>
      <c r="B3" s="756"/>
      <c r="C3" s="16" t="s">
        <v>24</v>
      </c>
      <c r="D3" s="16" t="s">
        <v>26</v>
      </c>
      <c r="E3" s="85" t="s">
        <v>28</v>
      </c>
      <c r="F3" s="85" t="s">
        <v>30</v>
      </c>
      <c r="G3" s="85" t="s">
        <v>121</v>
      </c>
      <c r="H3" s="85" t="s">
        <v>122</v>
      </c>
      <c r="I3" s="15" t="s">
        <v>966</v>
      </c>
      <c r="J3" s="85" t="s">
        <v>123</v>
      </c>
      <c r="K3" s="85" t="s">
        <v>38</v>
      </c>
      <c r="L3" s="85" t="s">
        <v>124</v>
      </c>
      <c r="M3" s="85" t="s">
        <v>125</v>
      </c>
      <c r="N3" s="15" t="s">
        <v>120</v>
      </c>
      <c r="O3" s="837"/>
    </row>
    <row r="4" spans="1:16" x14ac:dyDescent="0.25">
      <c r="A4" s="506">
        <v>1</v>
      </c>
      <c r="B4" s="506" t="s">
        <v>139</v>
      </c>
      <c r="C4" s="404">
        <f>'Cereals-all-year'!Q132</f>
        <v>0</v>
      </c>
      <c r="D4" s="404">
        <f>'Legumes-all-year'!Q135</f>
        <v>0</v>
      </c>
      <c r="E4" s="404">
        <f>'Vegetables-all-year'!Q135</f>
        <v>0</v>
      </c>
      <c r="F4" s="404">
        <f>'Fruits-all-year'!Q138</f>
        <v>0</v>
      </c>
      <c r="G4" s="404">
        <f>'Annual-forages-all-year'!Q135</f>
        <v>0</v>
      </c>
      <c r="H4" s="404">
        <f>'Alfalfa-all-year'!Q135</f>
        <v>0</v>
      </c>
      <c r="I4" s="214">
        <f>SUM(C4:H4)</f>
        <v>0</v>
      </c>
      <c r="J4" s="404">
        <f>'Pastoral-areas'!Q130</f>
        <v>0</v>
      </c>
      <c r="K4" s="404">
        <f>Prairies!Q131</f>
        <v>0</v>
      </c>
      <c r="L4" s="404">
        <f>'Agro-sylvopastoral-areas'!Q132</f>
        <v>0</v>
      </c>
      <c r="M4" s="404">
        <f>Forest!Q93</f>
        <v>0</v>
      </c>
      <c r="N4" s="214">
        <f>SUM(I4:M4)</f>
        <v>0</v>
      </c>
      <c r="O4" s="214">
        <f>N4*$N$1</f>
        <v>0</v>
      </c>
    </row>
    <row r="5" spans="1:16" x14ac:dyDescent="0.25">
      <c r="A5" s="506">
        <v>2</v>
      </c>
      <c r="B5" s="506" t="s">
        <v>140</v>
      </c>
      <c r="C5" s="404">
        <f>'Cereals-all-year'!Q133</f>
        <v>0</v>
      </c>
      <c r="D5" s="404">
        <f>'Legumes-all-year'!Q136</f>
        <v>0</v>
      </c>
      <c r="E5" s="404">
        <f>'Vegetables-all-year'!Q136</f>
        <v>0</v>
      </c>
      <c r="F5" s="404">
        <f>'Fruits-all-year'!Q139</f>
        <v>0</v>
      </c>
      <c r="G5" s="404">
        <f>'Annual-forages-all-year'!Q136</f>
        <v>0</v>
      </c>
      <c r="H5" s="404">
        <f>'Alfalfa-all-year'!Q136</f>
        <v>0</v>
      </c>
      <c r="I5" s="214">
        <f t="shared" ref="I5:I27" si="0">SUM(C5:H5)</f>
        <v>0</v>
      </c>
      <c r="J5" s="404">
        <f>'Pastoral-areas'!Q131</f>
        <v>0</v>
      </c>
      <c r="K5" s="404">
        <f>Prairies!Q132</f>
        <v>0</v>
      </c>
      <c r="L5" s="404">
        <f>'Agro-sylvopastoral-areas'!Q133</f>
        <v>0</v>
      </c>
      <c r="M5" s="404">
        <f>Forest!Q94</f>
        <v>0</v>
      </c>
      <c r="N5" s="214">
        <f t="shared" ref="N5:N27" si="1">SUM(I5:M5)</f>
        <v>0</v>
      </c>
      <c r="O5" s="214">
        <f t="shared" ref="O5:O27" si="2">N5*$N$1</f>
        <v>0</v>
      </c>
    </row>
    <row r="6" spans="1:16" x14ac:dyDescent="0.25">
      <c r="A6" s="506">
        <v>3</v>
      </c>
      <c r="B6" s="506" t="s">
        <v>141</v>
      </c>
      <c r="C6" s="404">
        <f>'Cereals-all-year'!Q134</f>
        <v>0</v>
      </c>
      <c r="D6" s="404">
        <f>'Legumes-all-year'!Q137</f>
        <v>0</v>
      </c>
      <c r="E6" s="404">
        <f>'Vegetables-all-year'!Q137</f>
        <v>0</v>
      </c>
      <c r="F6" s="404">
        <f>'Fruits-all-year'!Q140</f>
        <v>0</v>
      </c>
      <c r="G6" s="404">
        <f>'Annual-forages-all-year'!Q137</f>
        <v>0</v>
      </c>
      <c r="H6" s="404">
        <f>'Alfalfa-all-year'!Q137</f>
        <v>0</v>
      </c>
      <c r="I6" s="214">
        <f t="shared" si="0"/>
        <v>0</v>
      </c>
      <c r="J6" s="404">
        <f>'Pastoral-areas'!Q132</f>
        <v>0</v>
      </c>
      <c r="K6" s="404">
        <f>Prairies!Q133</f>
        <v>0</v>
      </c>
      <c r="L6" s="404">
        <f>'Agro-sylvopastoral-areas'!Q134</f>
        <v>0</v>
      </c>
      <c r="M6" s="404">
        <f>Forest!Q95</f>
        <v>0</v>
      </c>
      <c r="N6" s="214">
        <f t="shared" si="1"/>
        <v>0</v>
      </c>
      <c r="O6" s="214">
        <f t="shared" si="2"/>
        <v>0</v>
      </c>
    </row>
    <row r="7" spans="1:16" x14ac:dyDescent="0.25">
      <c r="A7" s="506">
        <v>4</v>
      </c>
      <c r="B7" s="506" t="s">
        <v>142</v>
      </c>
      <c r="C7" s="404">
        <f>'Cereals-all-year'!Q135</f>
        <v>0</v>
      </c>
      <c r="D7" s="404">
        <f>'Legumes-all-year'!Q138</f>
        <v>0</v>
      </c>
      <c r="E7" s="404">
        <f>'Vegetables-all-year'!Q138</f>
        <v>0</v>
      </c>
      <c r="F7" s="404">
        <f>'Fruits-all-year'!Q141</f>
        <v>0</v>
      </c>
      <c r="G7" s="404">
        <f>'Annual-forages-all-year'!Q138</f>
        <v>0</v>
      </c>
      <c r="H7" s="404">
        <f>'Alfalfa-all-year'!Q138</f>
        <v>0</v>
      </c>
      <c r="I7" s="214">
        <f t="shared" si="0"/>
        <v>0</v>
      </c>
      <c r="J7" s="404">
        <f>'Pastoral-areas'!Q133</f>
        <v>0</v>
      </c>
      <c r="K7" s="404">
        <f>Prairies!Q134</f>
        <v>0</v>
      </c>
      <c r="L7" s="404">
        <f>'Agro-sylvopastoral-areas'!Q135</f>
        <v>0</v>
      </c>
      <c r="M7" s="404">
        <f>Forest!Q96</f>
        <v>0</v>
      </c>
      <c r="N7" s="214">
        <f t="shared" si="1"/>
        <v>0</v>
      </c>
      <c r="O7" s="214">
        <f t="shared" si="2"/>
        <v>0</v>
      </c>
    </row>
    <row r="8" spans="1:16" x14ac:dyDescent="0.25">
      <c r="A8" s="506">
        <v>5</v>
      </c>
      <c r="B8" s="506" t="s">
        <v>143</v>
      </c>
      <c r="C8" s="404">
        <f>'Cereals-all-year'!Q136</f>
        <v>0</v>
      </c>
      <c r="D8" s="404">
        <f>'Legumes-all-year'!Q139</f>
        <v>0</v>
      </c>
      <c r="E8" s="404">
        <f>'Vegetables-all-year'!Q139</f>
        <v>0</v>
      </c>
      <c r="F8" s="404">
        <f>'Fruits-all-year'!Q142</f>
        <v>0</v>
      </c>
      <c r="G8" s="404">
        <f>'Annual-forages-all-year'!Q139</f>
        <v>0</v>
      </c>
      <c r="H8" s="404">
        <f>'Alfalfa-all-year'!Q139</f>
        <v>0</v>
      </c>
      <c r="I8" s="214">
        <f t="shared" si="0"/>
        <v>0</v>
      </c>
      <c r="J8" s="404">
        <f>'Pastoral-areas'!Q134</f>
        <v>0</v>
      </c>
      <c r="K8" s="404">
        <f>Prairies!Q135</f>
        <v>0</v>
      </c>
      <c r="L8" s="404">
        <f>'Agro-sylvopastoral-areas'!Q136</f>
        <v>0</v>
      </c>
      <c r="M8" s="404">
        <f>Forest!Q97</f>
        <v>0</v>
      </c>
      <c r="N8" s="214">
        <f t="shared" si="1"/>
        <v>0</v>
      </c>
      <c r="O8" s="214">
        <f t="shared" si="2"/>
        <v>0</v>
      </c>
    </row>
    <row r="9" spans="1:16" x14ac:dyDescent="0.25">
      <c r="A9" s="506">
        <v>6</v>
      </c>
      <c r="B9" s="506" t="s">
        <v>144</v>
      </c>
      <c r="C9" s="404">
        <f>'Cereals-all-year'!Q137</f>
        <v>0</v>
      </c>
      <c r="D9" s="404">
        <f>'Legumes-all-year'!Q140</f>
        <v>0</v>
      </c>
      <c r="E9" s="404">
        <f>'Vegetables-all-year'!Q140</f>
        <v>0</v>
      </c>
      <c r="F9" s="404">
        <f>'Fruits-all-year'!Q143</f>
        <v>0</v>
      </c>
      <c r="G9" s="404">
        <f>'Annual-forages-all-year'!Q140</f>
        <v>0</v>
      </c>
      <c r="H9" s="404">
        <f>'Alfalfa-all-year'!Q140</f>
        <v>0</v>
      </c>
      <c r="I9" s="214">
        <f t="shared" si="0"/>
        <v>0</v>
      </c>
      <c r="J9" s="404">
        <f>'Pastoral-areas'!Q135</f>
        <v>0</v>
      </c>
      <c r="K9" s="404">
        <f>Prairies!Q136</f>
        <v>0</v>
      </c>
      <c r="L9" s="404">
        <f>'Agro-sylvopastoral-areas'!Q137</f>
        <v>0</v>
      </c>
      <c r="M9" s="404">
        <f>Forest!Q98</f>
        <v>0</v>
      </c>
      <c r="N9" s="214">
        <f t="shared" si="1"/>
        <v>0</v>
      </c>
      <c r="O9" s="214">
        <f t="shared" si="2"/>
        <v>0</v>
      </c>
    </row>
    <row r="10" spans="1:16" x14ac:dyDescent="0.25">
      <c r="A10" s="506">
        <v>7</v>
      </c>
      <c r="B10" s="506" t="s">
        <v>145</v>
      </c>
      <c r="C10" s="404">
        <f>'Cereals-all-year'!Q138</f>
        <v>0</v>
      </c>
      <c r="D10" s="404">
        <f>'Legumes-all-year'!Q141</f>
        <v>0</v>
      </c>
      <c r="E10" s="404">
        <f>'Vegetables-all-year'!Q141</f>
        <v>0</v>
      </c>
      <c r="F10" s="404">
        <f>'Fruits-all-year'!Q144</f>
        <v>0</v>
      </c>
      <c r="G10" s="404">
        <f>'Annual-forages-all-year'!Q141</f>
        <v>0</v>
      </c>
      <c r="H10" s="404">
        <f>'Alfalfa-all-year'!Q141</f>
        <v>0</v>
      </c>
      <c r="I10" s="214">
        <f t="shared" si="0"/>
        <v>0</v>
      </c>
      <c r="J10" s="404">
        <f>'Pastoral-areas'!Q136</f>
        <v>0</v>
      </c>
      <c r="K10" s="404">
        <f>Prairies!Q137</f>
        <v>0</v>
      </c>
      <c r="L10" s="404">
        <f>'Agro-sylvopastoral-areas'!Q138</f>
        <v>0</v>
      </c>
      <c r="M10" s="404">
        <f>Forest!Q99</f>
        <v>0</v>
      </c>
      <c r="N10" s="214">
        <f t="shared" si="1"/>
        <v>0</v>
      </c>
      <c r="O10" s="214">
        <f t="shared" si="2"/>
        <v>0</v>
      </c>
    </row>
    <row r="11" spans="1:16" x14ac:dyDescent="0.25">
      <c r="A11" s="506">
        <v>8</v>
      </c>
      <c r="B11" s="506" t="s">
        <v>146</v>
      </c>
      <c r="C11" s="404">
        <f>'Cereals-all-year'!Q139</f>
        <v>0</v>
      </c>
      <c r="D11" s="404">
        <f>'Legumes-all-year'!Q142</f>
        <v>0</v>
      </c>
      <c r="E11" s="404">
        <f>'Vegetables-all-year'!Q142</f>
        <v>0</v>
      </c>
      <c r="F11" s="404">
        <f>'Fruits-all-year'!Q145</f>
        <v>0</v>
      </c>
      <c r="G11" s="404">
        <f>'Annual-forages-all-year'!Q142</f>
        <v>0</v>
      </c>
      <c r="H11" s="404">
        <f>'Alfalfa-all-year'!Q142</f>
        <v>0</v>
      </c>
      <c r="I11" s="214">
        <f t="shared" si="0"/>
        <v>0</v>
      </c>
      <c r="J11" s="404">
        <f>'Pastoral-areas'!Q137</f>
        <v>0</v>
      </c>
      <c r="K11" s="404">
        <f>Prairies!Q138</f>
        <v>0</v>
      </c>
      <c r="L11" s="404">
        <f>'Agro-sylvopastoral-areas'!Q139</f>
        <v>0</v>
      </c>
      <c r="M11" s="404">
        <f>Forest!Q100</f>
        <v>0</v>
      </c>
      <c r="N11" s="214">
        <f t="shared" si="1"/>
        <v>0</v>
      </c>
      <c r="O11" s="214">
        <f t="shared" si="2"/>
        <v>0</v>
      </c>
    </row>
    <row r="12" spans="1:16" x14ac:dyDescent="0.25">
      <c r="A12" s="506">
        <v>9</v>
      </c>
      <c r="B12" s="506" t="s">
        <v>147</v>
      </c>
      <c r="C12" s="404">
        <f>'Cereals-all-year'!Q140</f>
        <v>0</v>
      </c>
      <c r="D12" s="404">
        <f>'Legumes-all-year'!Q143</f>
        <v>0</v>
      </c>
      <c r="E12" s="404">
        <f>'Vegetables-all-year'!Q143</f>
        <v>0</v>
      </c>
      <c r="F12" s="404">
        <f>'Fruits-all-year'!Q146</f>
        <v>0</v>
      </c>
      <c r="G12" s="404">
        <f>'Annual-forages-all-year'!Q143</f>
        <v>0</v>
      </c>
      <c r="H12" s="404">
        <f>'Alfalfa-all-year'!Q143</f>
        <v>0</v>
      </c>
      <c r="I12" s="214">
        <f t="shared" si="0"/>
        <v>0</v>
      </c>
      <c r="J12" s="404">
        <f>'Pastoral-areas'!Q138</f>
        <v>0</v>
      </c>
      <c r="K12" s="404">
        <f>Prairies!Q139</f>
        <v>0</v>
      </c>
      <c r="L12" s="404">
        <f>'Agro-sylvopastoral-areas'!Q140</f>
        <v>0</v>
      </c>
      <c r="M12" s="404">
        <f>Forest!Q101</f>
        <v>0</v>
      </c>
      <c r="N12" s="214">
        <f t="shared" si="1"/>
        <v>0</v>
      </c>
      <c r="O12" s="214">
        <f t="shared" si="2"/>
        <v>0</v>
      </c>
    </row>
    <row r="13" spans="1:16" x14ac:dyDescent="0.25">
      <c r="A13" s="506">
        <v>10</v>
      </c>
      <c r="B13" s="506" t="s">
        <v>148</v>
      </c>
      <c r="C13" s="404">
        <f>'Cereals-all-year'!Q141</f>
        <v>0</v>
      </c>
      <c r="D13" s="404">
        <f>'Legumes-all-year'!Q144</f>
        <v>0</v>
      </c>
      <c r="E13" s="404">
        <f>'Vegetables-all-year'!Q144</f>
        <v>0</v>
      </c>
      <c r="F13" s="404">
        <f>'Fruits-all-year'!Q147</f>
        <v>0</v>
      </c>
      <c r="G13" s="404">
        <f>'Annual-forages-all-year'!Q144</f>
        <v>0</v>
      </c>
      <c r="H13" s="404">
        <f>'Alfalfa-all-year'!Q144</f>
        <v>0</v>
      </c>
      <c r="I13" s="214">
        <f t="shared" si="0"/>
        <v>0</v>
      </c>
      <c r="J13" s="404">
        <f>'Pastoral-areas'!Q139</f>
        <v>0</v>
      </c>
      <c r="K13" s="404">
        <f>Prairies!Q140</f>
        <v>0</v>
      </c>
      <c r="L13" s="404">
        <f>'Agro-sylvopastoral-areas'!Q141</f>
        <v>0</v>
      </c>
      <c r="M13" s="404">
        <f>Forest!Q102</f>
        <v>0</v>
      </c>
      <c r="N13" s="214">
        <f t="shared" si="1"/>
        <v>0</v>
      </c>
      <c r="O13" s="214">
        <f t="shared" si="2"/>
        <v>0</v>
      </c>
    </row>
    <row r="14" spans="1:16" x14ac:dyDescent="0.25">
      <c r="A14" s="506">
        <v>11</v>
      </c>
      <c r="B14" s="506" t="s">
        <v>149</v>
      </c>
      <c r="C14" s="404">
        <f>'Cereals-all-year'!Q142</f>
        <v>0</v>
      </c>
      <c r="D14" s="404">
        <f>'Legumes-all-year'!Q145</f>
        <v>0</v>
      </c>
      <c r="E14" s="404">
        <f>'Vegetables-all-year'!Q145</f>
        <v>0</v>
      </c>
      <c r="F14" s="404">
        <f>'Fruits-all-year'!Q148</f>
        <v>0</v>
      </c>
      <c r="G14" s="404">
        <f>'Annual-forages-all-year'!Q145</f>
        <v>0</v>
      </c>
      <c r="H14" s="404">
        <f>'Alfalfa-all-year'!Q145</f>
        <v>0</v>
      </c>
      <c r="I14" s="214">
        <f t="shared" si="0"/>
        <v>0</v>
      </c>
      <c r="J14" s="404">
        <f>'Pastoral-areas'!Q140</f>
        <v>0</v>
      </c>
      <c r="K14" s="404">
        <f>Prairies!Q141</f>
        <v>0</v>
      </c>
      <c r="L14" s="404">
        <f>'Agro-sylvopastoral-areas'!Q142</f>
        <v>0</v>
      </c>
      <c r="M14" s="404">
        <f>Forest!Q103</f>
        <v>0</v>
      </c>
      <c r="N14" s="214">
        <f t="shared" si="1"/>
        <v>0</v>
      </c>
      <c r="O14" s="214">
        <f t="shared" si="2"/>
        <v>0</v>
      </c>
    </row>
    <row r="15" spans="1:16" x14ac:dyDescent="0.25">
      <c r="A15" s="506">
        <v>12</v>
      </c>
      <c r="B15" s="506" t="s">
        <v>150</v>
      </c>
      <c r="C15" s="404">
        <f>'Cereals-all-year'!Q143</f>
        <v>0</v>
      </c>
      <c r="D15" s="404">
        <f>'Legumes-all-year'!Q146</f>
        <v>0</v>
      </c>
      <c r="E15" s="404">
        <f>'Vegetables-all-year'!Q146</f>
        <v>0</v>
      </c>
      <c r="F15" s="404">
        <f>'Fruits-all-year'!Q149</f>
        <v>0</v>
      </c>
      <c r="G15" s="404">
        <f>'Annual-forages-all-year'!Q146</f>
        <v>0</v>
      </c>
      <c r="H15" s="404">
        <f>'Alfalfa-all-year'!Q146</f>
        <v>0</v>
      </c>
      <c r="I15" s="214">
        <f t="shared" si="0"/>
        <v>0</v>
      </c>
      <c r="J15" s="404">
        <f>'Pastoral-areas'!Q141</f>
        <v>0</v>
      </c>
      <c r="K15" s="404">
        <f>Prairies!Q142</f>
        <v>0</v>
      </c>
      <c r="L15" s="404">
        <f>'Agro-sylvopastoral-areas'!Q143</f>
        <v>0</v>
      </c>
      <c r="M15" s="404">
        <f>Forest!Q104</f>
        <v>0</v>
      </c>
      <c r="N15" s="214">
        <f t="shared" si="1"/>
        <v>0</v>
      </c>
      <c r="O15" s="214">
        <f t="shared" si="2"/>
        <v>0</v>
      </c>
    </row>
    <row r="16" spans="1:16" x14ac:dyDescent="0.25">
      <c r="A16" s="506">
        <v>13</v>
      </c>
      <c r="B16" s="506" t="s">
        <v>151</v>
      </c>
      <c r="C16" s="404">
        <f>'Cereals-all-year'!Q144</f>
        <v>0</v>
      </c>
      <c r="D16" s="404">
        <f>'Legumes-all-year'!Q147</f>
        <v>0</v>
      </c>
      <c r="E16" s="404">
        <f>'Vegetables-all-year'!Q147</f>
        <v>0</v>
      </c>
      <c r="F16" s="404">
        <f>'Fruits-all-year'!Q150</f>
        <v>0</v>
      </c>
      <c r="G16" s="404">
        <f>'Annual-forages-all-year'!Q147</f>
        <v>0</v>
      </c>
      <c r="H16" s="404">
        <f>'Alfalfa-all-year'!Q147</f>
        <v>0</v>
      </c>
      <c r="I16" s="214">
        <f t="shared" si="0"/>
        <v>0</v>
      </c>
      <c r="J16" s="404">
        <f>'Pastoral-areas'!Q142</f>
        <v>0</v>
      </c>
      <c r="K16" s="404">
        <f>Prairies!Q143</f>
        <v>0</v>
      </c>
      <c r="L16" s="404">
        <f>'Agro-sylvopastoral-areas'!Q144</f>
        <v>0</v>
      </c>
      <c r="M16" s="404">
        <f>Forest!Q105</f>
        <v>0</v>
      </c>
      <c r="N16" s="214">
        <f t="shared" si="1"/>
        <v>0</v>
      </c>
      <c r="O16" s="214">
        <f t="shared" si="2"/>
        <v>0</v>
      </c>
    </row>
    <row r="17" spans="1:24" x14ac:dyDescent="0.25">
      <c r="A17" s="506">
        <v>14</v>
      </c>
      <c r="B17" s="506" t="s">
        <v>152</v>
      </c>
      <c r="C17" s="404">
        <f>'Cereals-all-year'!Q145</f>
        <v>0</v>
      </c>
      <c r="D17" s="404">
        <f>'Legumes-all-year'!Q148</f>
        <v>0</v>
      </c>
      <c r="E17" s="404">
        <f>'Vegetables-all-year'!Q148</f>
        <v>0</v>
      </c>
      <c r="F17" s="404">
        <f>'Fruits-all-year'!Q151</f>
        <v>0</v>
      </c>
      <c r="G17" s="404">
        <f>'Annual-forages-all-year'!Q148</f>
        <v>0</v>
      </c>
      <c r="H17" s="404">
        <f>'Alfalfa-all-year'!Q148</f>
        <v>0</v>
      </c>
      <c r="I17" s="214">
        <f t="shared" si="0"/>
        <v>0</v>
      </c>
      <c r="J17" s="404">
        <f>'Pastoral-areas'!Q143</f>
        <v>0</v>
      </c>
      <c r="K17" s="404">
        <f>Prairies!Q144</f>
        <v>0</v>
      </c>
      <c r="L17" s="404">
        <f>'Agro-sylvopastoral-areas'!Q145</f>
        <v>0</v>
      </c>
      <c r="M17" s="404">
        <f>Forest!Q106</f>
        <v>0</v>
      </c>
      <c r="N17" s="214">
        <f t="shared" si="1"/>
        <v>0</v>
      </c>
      <c r="O17" s="214">
        <f t="shared" si="2"/>
        <v>0</v>
      </c>
    </row>
    <row r="18" spans="1:24" x14ac:dyDescent="0.25">
      <c r="A18" s="506">
        <v>15</v>
      </c>
      <c r="B18" s="506" t="s">
        <v>153</v>
      </c>
      <c r="C18" s="404">
        <f>'Cereals-all-year'!Q146</f>
        <v>0</v>
      </c>
      <c r="D18" s="404">
        <f>'Legumes-all-year'!Q149</f>
        <v>0</v>
      </c>
      <c r="E18" s="404">
        <f>'Vegetables-all-year'!Q149</f>
        <v>0</v>
      </c>
      <c r="F18" s="404">
        <f>'Fruits-all-year'!Q152</f>
        <v>0</v>
      </c>
      <c r="G18" s="404">
        <f>'Annual-forages-all-year'!Q149</f>
        <v>0</v>
      </c>
      <c r="H18" s="404">
        <f>'Alfalfa-all-year'!Q149</f>
        <v>0</v>
      </c>
      <c r="I18" s="214">
        <f t="shared" si="0"/>
        <v>0</v>
      </c>
      <c r="J18" s="404">
        <f>'Pastoral-areas'!Q144</f>
        <v>0</v>
      </c>
      <c r="K18" s="404">
        <f>Prairies!Q145</f>
        <v>0</v>
      </c>
      <c r="L18" s="404">
        <f>'Agro-sylvopastoral-areas'!Q146</f>
        <v>0</v>
      </c>
      <c r="M18" s="404">
        <f>Forest!Q107</f>
        <v>0</v>
      </c>
      <c r="N18" s="214">
        <f t="shared" si="1"/>
        <v>0</v>
      </c>
      <c r="O18" s="214">
        <f t="shared" si="2"/>
        <v>0</v>
      </c>
      <c r="V18" s="84"/>
    </row>
    <row r="19" spans="1:24" x14ac:dyDescent="0.25">
      <c r="A19" s="506">
        <v>16</v>
      </c>
      <c r="B19" s="506" t="s">
        <v>154</v>
      </c>
      <c r="C19" s="404">
        <f>'Cereals-all-year'!Q147</f>
        <v>0</v>
      </c>
      <c r="D19" s="404">
        <f>'Legumes-all-year'!Q150</f>
        <v>0</v>
      </c>
      <c r="E19" s="404">
        <f>'Vegetables-all-year'!Q150</f>
        <v>0</v>
      </c>
      <c r="F19" s="404">
        <f>'Fruits-all-year'!Q153</f>
        <v>0</v>
      </c>
      <c r="G19" s="404">
        <f>'Annual-forages-all-year'!Q150</f>
        <v>0</v>
      </c>
      <c r="H19" s="404">
        <f>'Alfalfa-all-year'!Q150</f>
        <v>0</v>
      </c>
      <c r="I19" s="214">
        <f t="shared" si="0"/>
        <v>0</v>
      </c>
      <c r="J19" s="404">
        <f>'Pastoral-areas'!Q145</f>
        <v>0</v>
      </c>
      <c r="K19" s="404">
        <f>Prairies!Q146</f>
        <v>0</v>
      </c>
      <c r="L19" s="404">
        <f>'Agro-sylvopastoral-areas'!Q147</f>
        <v>0</v>
      </c>
      <c r="M19" s="404">
        <f>Forest!Q108</f>
        <v>0</v>
      </c>
      <c r="N19" s="214">
        <f t="shared" si="1"/>
        <v>0</v>
      </c>
      <c r="O19" s="214">
        <f t="shared" si="2"/>
        <v>0</v>
      </c>
      <c r="V19" s="1"/>
      <c r="X19" s="20"/>
    </row>
    <row r="20" spans="1:24" x14ac:dyDescent="0.25">
      <c r="A20" s="506">
        <v>17</v>
      </c>
      <c r="B20" s="506" t="s">
        <v>155</v>
      </c>
      <c r="C20" s="404">
        <f>'Cereals-all-year'!Q148</f>
        <v>0</v>
      </c>
      <c r="D20" s="404">
        <f>'Legumes-all-year'!Q151</f>
        <v>0</v>
      </c>
      <c r="E20" s="404">
        <f>'Vegetables-all-year'!Q151</f>
        <v>0</v>
      </c>
      <c r="F20" s="404">
        <f>'Fruits-all-year'!Q154</f>
        <v>0</v>
      </c>
      <c r="G20" s="404">
        <f>'Annual-forages-all-year'!Q151</f>
        <v>0</v>
      </c>
      <c r="H20" s="404">
        <f>'Alfalfa-all-year'!Q151</f>
        <v>0</v>
      </c>
      <c r="I20" s="214">
        <f t="shared" si="0"/>
        <v>0</v>
      </c>
      <c r="J20" s="404">
        <f>'Pastoral-areas'!Q146</f>
        <v>0</v>
      </c>
      <c r="K20" s="404">
        <f>Prairies!Q147</f>
        <v>0</v>
      </c>
      <c r="L20" s="404">
        <f>'Agro-sylvopastoral-areas'!Q148</f>
        <v>0</v>
      </c>
      <c r="M20" s="404">
        <f>Forest!Q109</f>
        <v>0</v>
      </c>
      <c r="N20" s="214">
        <f t="shared" si="1"/>
        <v>0</v>
      </c>
      <c r="O20" s="214">
        <f t="shared" si="2"/>
        <v>0</v>
      </c>
    </row>
    <row r="21" spans="1:24" x14ac:dyDescent="0.25">
      <c r="A21" s="506">
        <v>18</v>
      </c>
      <c r="B21" s="506" t="s">
        <v>156</v>
      </c>
      <c r="C21" s="404">
        <f>'Cereals-all-year'!Q149</f>
        <v>0</v>
      </c>
      <c r="D21" s="404">
        <f>'Legumes-all-year'!Q152</f>
        <v>0</v>
      </c>
      <c r="E21" s="404">
        <f>'Vegetables-all-year'!Q152</f>
        <v>0</v>
      </c>
      <c r="F21" s="404">
        <f>'Fruits-all-year'!Q155</f>
        <v>0</v>
      </c>
      <c r="G21" s="404">
        <f>'Annual-forages-all-year'!Q152</f>
        <v>0</v>
      </c>
      <c r="H21" s="404">
        <f>'Alfalfa-all-year'!Q152</f>
        <v>0</v>
      </c>
      <c r="I21" s="214">
        <f t="shared" si="0"/>
        <v>0</v>
      </c>
      <c r="J21" s="404">
        <f>'Pastoral-areas'!Q147</f>
        <v>0</v>
      </c>
      <c r="K21" s="404">
        <f>Prairies!Q148</f>
        <v>0</v>
      </c>
      <c r="L21" s="404">
        <f>'Agro-sylvopastoral-areas'!Q149</f>
        <v>0</v>
      </c>
      <c r="M21" s="404">
        <f>Forest!Q110</f>
        <v>0</v>
      </c>
      <c r="N21" s="214">
        <f t="shared" si="1"/>
        <v>0</v>
      </c>
      <c r="O21" s="214">
        <f t="shared" si="2"/>
        <v>0</v>
      </c>
    </row>
    <row r="22" spans="1:24" x14ac:dyDescent="0.25">
      <c r="A22" s="506">
        <v>19</v>
      </c>
      <c r="B22" s="506" t="s">
        <v>157</v>
      </c>
      <c r="C22" s="404">
        <f>'Cereals-all-year'!Q150</f>
        <v>0</v>
      </c>
      <c r="D22" s="404">
        <f>'Legumes-all-year'!Q153</f>
        <v>0</v>
      </c>
      <c r="E22" s="404">
        <f>'Vegetables-all-year'!Q153</f>
        <v>0</v>
      </c>
      <c r="F22" s="404">
        <f>'Fruits-all-year'!Q156</f>
        <v>0</v>
      </c>
      <c r="G22" s="404">
        <f>'Annual-forages-all-year'!Q153</f>
        <v>0</v>
      </c>
      <c r="H22" s="404">
        <f>'Alfalfa-all-year'!Q153</f>
        <v>0</v>
      </c>
      <c r="I22" s="214">
        <f t="shared" si="0"/>
        <v>0</v>
      </c>
      <c r="J22" s="404">
        <f>'Pastoral-areas'!Q148</f>
        <v>0</v>
      </c>
      <c r="K22" s="404">
        <f>Prairies!Q149</f>
        <v>0</v>
      </c>
      <c r="L22" s="404">
        <f>'Agro-sylvopastoral-areas'!Q150</f>
        <v>0</v>
      </c>
      <c r="M22" s="404">
        <f>Forest!Q111</f>
        <v>0</v>
      </c>
      <c r="N22" s="214">
        <f t="shared" si="1"/>
        <v>0</v>
      </c>
      <c r="O22" s="214">
        <f t="shared" si="2"/>
        <v>0</v>
      </c>
      <c r="U22" s="342"/>
    </row>
    <row r="23" spans="1:24" x14ac:dyDescent="0.25">
      <c r="A23" s="506">
        <v>20</v>
      </c>
      <c r="B23" s="506" t="s">
        <v>158</v>
      </c>
      <c r="C23" s="404">
        <f>'Cereals-all-year'!Q151</f>
        <v>0</v>
      </c>
      <c r="D23" s="404">
        <f>'Legumes-all-year'!Q154</f>
        <v>0</v>
      </c>
      <c r="E23" s="404">
        <f>'Vegetables-all-year'!Q154</f>
        <v>0</v>
      </c>
      <c r="F23" s="404">
        <f>'Fruits-all-year'!Q157</f>
        <v>0</v>
      </c>
      <c r="G23" s="404">
        <f>'Annual-forages-all-year'!Q154</f>
        <v>0</v>
      </c>
      <c r="H23" s="404">
        <f>'Alfalfa-all-year'!Q154</f>
        <v>0</v>
      </c>
      <c r="I23" s="214">
        <f t="shared" si="0"/>
        <v>0</v>
      </c>
      <c r="J23" s="404">
        <f>'Pastoral-areas'!Q149</f>
        <v>0</v>
      </c>
      <c r="K23" s="404">
        <f>Prairies!Q150</f>
        <v>0</v>
      </c>
      <c r="L23" s="404">
        <f>'Agro-sylvopastoral-areas'!Q151</f>
        <v>0</v>
      </c>
      <c r="M23" s="404">
        <f>Forest!Q112</f>
        <v>0</v>
      </c>
      <c r="N23" s="214">
        <f t="shared" si="1"/>
        <v>0</v>
      </c>
      <c r="O23" s="214">
        <f t="shared" si="2"/>
        <v>0</v>
      </c>
    </row>
    <row r="24" spans="1:24" x14ac:dyDescent="0.25">
      <c r="A24" s="506">
        <v>21</v>
      </c>
      <c r="B24" s="506" t="s">
        <v>159</v>
      </c>
      <c r="C24" s="404">
        <f>'Cereals-all-year'!Q152</f>
        <v>0</v>
      </c>
      <c r="D24" s="404">
        <f>'Legumes-all-year'!Q155</f>
        <v>0</v>
      </c>
      <c r="E24" s="404">
        <f>'Vegetables-all-year'!Q155</f>
        <v>0</v>
      </c>
      <c r="F24" s="404">
        <f>'Fruits-all-year'!Q158</f>
        <v>0</v>
      </c>
      <c r="G24" s="404">
        <f>'Annual-forages-all-year'!Q155</f>
        <v>0</v>
      </c>
      <c r="H24" s="404">
        <f>'Alfalfa-all-year'!Q155</f>
        <v>0</v>
      </c>
      <c r="I24" s="214">
        <f t="shared" si="0"/>
        <v>0</v>
      </c>
      <c r="J24" s="404">
        <f>'Pastoral-areas'!Q150</f>
        <v>0</v>
      </c>
      <c r="K24" s="404">
        <f>Prairies!Q151</f>
        <v>0</v>
      </c>
      <c r="L24" s="404">
        <f>'Agro-sylvopastoral-areas'!Q152</f>
        <v>0</v>
      </c>
      <c r="M24" s="404">
        <f>Forest!Q113</f>
        <v>0</v>
      </c>
      <c r="N24" s="214">
        <f t="shared" si="1"/>
        <v>0</v>
      </c>
      <c r="O24" s="214">
        <f t="shared" si="2"/>
        <v>0</v>
      </c>
    </row>
    <row r="25" spans="1:24" x14ac:dyDescent="0.25">
      <c r="A25" s="506">
        <v>22</v>
      </c>
      <c r="B25" s="506" t="s">
        <v>160</v>
      </c>
      <c r="C25" s="404">
        <f>'Cereals-all-year'!Q153</f>
        <v>0</v>
      </c>
      <c r="D25" s="404">
        <f>'Legumes-all-year'!Q156</f>
        <v>0</v>
      </c>
      <c r="E25" s="404">
        <f>'Vegetables-all-year'!Q156</f>
        <v>0</v>
      </c>
      <c r="F25" s="404">
        <f>'Fruits-all-year'!Q159</f>
        <v>0</v>
      </c>
      <c r="G25" s="404">
        <f>'Annual-forages-all-year'!Q156</f>
        <v>0</v>
      </c>
      <c r="H25" s="404">
        <f>'Alfalfa-all-year'!Q156</f>
        <v>0</v>
      </c>
      <c r="I25" s="214">
        <f t="shared" si="0"/>
        <v>0</v>
      </c>
      <c r="J25" s="404">
        <f>'Pastoral-areas'!Q151</f>
        <v>0</v>
      </c>
      <c r="K25" s="404">
        <f>Prairies!Q152</f>
        <v>0</v>
      </c>
      <c r="L25" s="404">
        <f>'Agro-sylvopastoral-areas'!Q153</f>
        <v>0</v>
      </c>
      <c r="M25" s="404">
        <f>Forest!Q114</f>
        <v>0</v>
      </c>
      <c r="N25" s="214">
        <f t="shared" si="1"/>
        <v>0</v>
      </c>
      <c r="O25" s="214">
        <f t="shared" si="2"/>
        <v>0</v>
      </c>
    </row>
    <row r="26" spans="1:24" x14ac:dyDescent="0.25">
      <c r="A26" s="506">
        <v>23</v>
      </c>
      <c r="B26" s="506" t="s">
        <v>161</v>
      </c>
      <c r="C26" s="404">
        <f>'Cereals-all-year'!Q154</f>
        <v>0</v>
      </c>
      <c r="D26" s="404">
        <f>'Legumes-all-year'!Q157</f>
        <v>0</v>
      </c>
      <c r="E26" s="404">
        <f>'Vegetables-all-year'!Q157</f>
        <v>0</v>
      </c>
      <c r="F26" s="404">
        <f>'Fruits-all-year'!Q160</f>
        <v>0</v>
      </c>
      <c r="G26" s="404">
        <f>'Annual-forages-all-year'!Q157</f>
        <v>0</v>
      </c>
      <c r="H26" s="404">
        <f>'Alfalfa-all-year'!Q157</f>
        <v>0</v>
      </c>
      <c r="I26" s="214">
        <f t="shared" si="0"/>
        <v>0</v>
      </c>
      <c r="J26" s="404">
        <f>'Pastoral-areas'!Q152</f>
        <v>0</v>
      </c>
      <c r="K26" s="404">
        <f>Prairies!Q153</f>
        <v>0</v>
      </c>
      <c r="L26" s="404">
        <f>'Agro-sylvopastoral-areas'!Q154</f>
        <v>0</v>
      </c>
      <c r="M26" s="404">
        <f>Forest!Q115</f>
        <v>0</v>
      </c>
      <c r="N26" s="214">
        <f t="shared" si="1"/>
        <v>0</v>
      </c>
      <c r="O26" s="214">
        <f t="shared" si="2"/>
        <v>0</v>
      </c>
    </row>
    <row r="27" spans="1:24" x14ac:dyDescent="0.25">
      <c r="A27" s="506">
        <v>24</v>
      </c>
      <c r="B27" s="506" t="s">
        <v>162</v>
      </c>
      <c r="C27" s="404">
        <f>'Cereals-all-year'!Q155</f>
        <v>0</v>
      </c>
      <c r="D27" s="404">
        <f>'Legumes-all-year'!Q158</f>
        <v>0</v>
      </c>
      <c r="E27" s="404">
        <f>'Vegetables-all-year'!Q158</f>
        <v>0</v>
      </c>
      <c r="F27" s="404">
        <f>'Fruits-all-year'!Q161</f>
        <v>0</v>
      </c>
      <c r="G27" s="404">
        <f>'Annual-forages-all-year'!Q158</f>
        <v>0</v>
      </c>
      <c r="H27" s="404">
        <f>'Alfalfa-all-year'!Q158</f>
        <v>0</v>
      </c>
      <c r="I27" s="214">
        <f t="shared" si="0"/>
        <v>0</v>
      </c>
      <c r="J27" s="404">
        <f>'Pastoral-areas'!Q153</f>
        <v>0</v>
      </c>
      <c r="K27" s="404">
        <f>Prairies!Q154</f>
        <v>0</v>
      </c>
      <c r="L27" s="404">
        <f>'Agro-sylvopastoral-areas'!Q155</f>
        <v>0</v>
      </c>
      <c r="M27" s="404">
        <f>Forest!Q116</f>
        <v>0</v>
      </c>
      <c r="N27" s="214">
        <f t="shared" si="1"/>
        <v>0</v>
      </c>
      <c r="O27" s="214">
        <f t="shared" si="2"/>
        <v>0</v>
      </c>
    </row>
    <row r="28" spans="1:24" x14ac:dyDescent="0.25">
      <c r="A28" s="402"/>
      <c r="B28" s="15" t="s">
        <v>163</v>
      </c>
      <c r="C28" s="214">
        <f>SUM(C4:C27)</f>
        <v>0</v>
      </c>
      <c r="D28" s="214">
        <f t="shared" ref="D28:O28" si="3">SUM(D4:D27)</f>
        <v>0</v>
      </c>
      <c r="E28" s="214">
        <f t="shared" si="3"/>
        <v>0</v>
      </c>
      <c r="F28" s="214">
        <f t="shared" si="3"/>
        <v>0</v>
      </c>
      <c r="G28" s="214">
        <f t="shared" si="3"/>
        <v>0</v>
      </c>
      <c r="H28" s="214">
        <f t="shared" si="3"/>
        <v>0</v>
      </c>
      <c r="I28" s="214">
        <f t="shared" si="3"/>
        <v>0</v>
      </c>
      <c r="J28" s="214">
        <f t="shared" si="3"/>
        <v>0</v>
      </c>
      <c r="K28" s="214">
        <f t="shared" si="3"/>
        <v>0</v>
      </c>
      <c r="L28" s="214">
        <f t="shared" si="3"/>
        <v>0</v>
      </c>
      <c r="M28" s="214">
        <f t="shared" si="3"/>
        <v>0</v>
      </c>
      <c r="N28" s="214">
        <f t="shared" si="3"/>
        <v>0</v>
      </c>
      <c r="O28" s="214">
        <f t="shared" si="3"/>
        <v>0</v>
      </c>
      <c r="P28" s="68"/>
      <c r="Q28" s="592"/>
    </row>
    <row r="29" spans="1:24" x14ac:dyDescent="0.25">
      <c r="J29" s="894">
        <f>SUM(J28:L28)</f>
        <v>0</v>
      </c>
      <c r="K29" s="895"/>
      <c r="L29" s="895"/>
      <c r="N29" s="205"/>
    </row>
    <row r="30" spans="1:24" x14ac:dyDescent="0.25">
      <c r="B30" s="1"/>
      <c r="D30" s="1"/>
      <c r="F30" s="1"/>
      <c r="J30" s="406"/>
      <c r="L30" s="597" t="e">
        <f>J29/N28</f>
        <v>#DIV/0!</v>
      </c>
    </row>
    <row r="31" spans="1:24" x14ac:dyDescent="0.25">
      <c r="B31" s="756" t="s">
        <v>101</v>
      </c>
      <c r="C31" s="822" t="s">
        <v>967</v>
      </c>
      <c r="D31" s="884"/>
      <c r="E31" s="884"/>
      <c r="F31" s="884"/>
      <c r="G31" s="884"/>
      <c r="H31" s="884"/>
      <c r="I31" s="884"/>
      <c r="J31" s="884"/>
      <c r="K31" s="884"/>
      <c r="L31" s="884"/>
      <c r="M31" s="884"/>
      <c r="N31" s="823"/>
      <c r="O31" s="600"/>
      <c r="P31" s="771" t="s">
        <v>1128</v>
      </c>
      <c r="Q31" s="771" t="s">
        <v>1130</v>
      </c>
      <c r="R31" s="771" t="s">
        <v>1129</v>
      </c>
      <c r="S31" s="896" t="s">
        <v>1127</v>
      </c>
    </row>
    <row r="32" spans="1:24" ht="57.95" customHeight="1" x14ac:dyDescent="0.25">
      <c r="B32" s="756"/>
      <c r="C32" s="16" t="s">
        <v>24</v>
      </c>
      <c r="D32" s="16" t="s">
        <v>26</v>
      </c>
      <c r="E32" s="85" t="s">
        <v>28</v>
      </c>
      <c r="F32" s="85" t="s">
        <v>30</v>
      </c>
      <c r="G32" s="85" t="s">
        <v>121</v>
      </c>
      <c r="H32" s="85" t="s">
        <v>122</v>
      </c>
      <c r="I32" s="85" t="s">
        <v>123</v>
      </c>
      <c r="J32" s="85" t="s">
        <v>38</v>
      </c>
      <c r="K32" s="85" t="s">
        <v>124</v>
      </c>
      <c r="L32" s="85" t="s">
        <v>125</v>
      </c>
      <c r="M32" s="15" t="s">
        <v>966</v>
      </c>
      <c r="N32" s="15" t="s">
        <v>196</v>
      </c>
      <c r="O32" s="601" t="s">
        <v>120</v>
      </c>
      <c r="P32" s="772"/>
      <c r="Q32" s="772"/>
      <c r="R32" s="772"/>
      <c r="S32" s="896"/>
    </row>
    <row r="33" spans="2:20" x14ac:dyDescent="0.25">
      <c r="B33" s="13" t="str">
        <f>B4</f>
        <v>Tunis</v>
      </c>
      <c r="C33" s="242">
        <f>'Soil-errosion1'!AJ98</f>
        <v>0</v>
      </c>
      <c r="D33" s="242">
        <f>'Soil-errosion1'!AK98</f>
        <v>0</v>
      </c>
      <c r="E33" s="242">
        <f>'Soil-errosion1'!AL98</f>
        <v>0</v>
      </c>
      <c r="F33" s="242">
        <f>'Soil-errosion1'!AM98</f>
        <v>0</v>
      </c>
      <c r="G33" s="242">
        <f>'Soil-errosion1'!AN98</f>
        <v>0</v>
      </c>
      <c r="H33" s="242">
        <f>'Soil-errosion1'!AO98</f>
        <v>0</v>
      </c>
      <c r="I33" s="242">
        <f>'Soil-errosion1'!AP98</f>
        <v>0</v>
      </c>
      <c r="J33" s="242">
        <f>'Soil-errosion1'!AQ98</f>
        <v>0</v>
      </c>
      <c r="K33" s="242">
        <f>'Soil-errosion1'!AR98</f>
        <v>0</v>
      </c>
      <c r="L33" s="242">
        <f>'Soil-errosion1'!AS98</f>
        <v>0</v>
      </c>
      <c r="M33" s="214">
        <f>SUM(C33:H33)</f>
        <v>0</v>
      </c>
      <c r="N33" s="214">
        <f>SUM(I33:K33)</f>
        <v>0</v>
      </c>
      <c r="O33" s="214">
        <f t="shared" ref="O33:O56" si="4">SUM(L33:N33)</f>
        <v>0</v>
      </c>
      <c r="P33" s="214" t="e">
        <f>O33/SUM('Area&amp;production data'!Q5:S5)</f>
        <v>#DIV/0!</v>
      </c>
      <c r="Q33" s="48" t="e">
        <f t="shared" ref="Q33:Q56" si="5">RANK(P33,$P$33:$P$56)</f>
        <v>#DIV/0!</v>
      </c>
      <c r="R33" s="14">
        <f t="shared" ref="R33:R56" si="6">RANK(O33,$O$33:$O$56)</f>
        <v>1</v>
      </c>
      <c r="S33" s="233" t="e">
        <f t="shared" ref="S33:S57" si="7">O33/$O$57</f>
        <v>#DIV/0!</v>
      </c>
    </row>
    <row r="34" spans="2:20" x14ac:dyDescent="0.25">
      <c r="B34" s="13" t="str">
        <f t="shared" ref="B34:B56" si="8">B5</f>
        <v>Ariana</v>
      </c>
      <c r="C34" s="242">
        <f>'Soil-errosion1'!AJ99</f>
        <v>0</v>
      </c>
      <c r="D34" s="242">
        <f>'Soil-errosion1'!AK99</f>
        <v>0</v>
      </c>
      <c r="E34" s="242">
        <f>'Soil-errosion1'!AL99</f>
        <v>0</v>
      </c>
      <c r="F34" s="242">
        <f>'Soil-errosion1'!AM99</f>
        <v>0</v>
      </c>
      <c r="G34" s="242">
        <f>'Soil-errosion1'!AN99</f>
        <v>0</v>
      </c>
      <c r="H34" s="242">
        <f>'Soil-errosion1'!AO99</f>
        <v>0</v>
      </c>
      <c r="I34" s="242">
        <f>'Soil-errosion1'!AP99</f>
        <v>0</v>
      </c>
      <c r="J34" s="242">
        <f>'Soil-errosion1'!AQ99</f>
        <v>0</v>
      </c>
      <c r="K34" s="242">
        <f>'Soil-errosion1'!AR99</f>
        <v>0</v>
      </c>
      <c r="L34" s="242">
        <f>'Soil-errosion1'!AS99</f>
        <v>0</v>
      </c>
      <c r="M34" s="214">
        <f t="shared" ref="M34:M56" si="9">SUM(C34:H34)</f>
        <v>0</v>
      </c>
      <c r="N34" s="214">
        <f t="shared" ref="N34:N56" si="10">SUM(I34:K34)</f>
        <v>0</v>
      </c>
      <c r="O34" s="214">
        <f t="shared" si="4"/>
        <v>0</v>
      </c>
      <c r="P34" s="214" t="e">
        <f>O34/SUM('Area&amp;production data'!Q6:S6)</f>
        <v>#DIV/0!</v>
      </c>
      <c r="Q34" s="48" t="e">
        <f t="shared" si="5"/>
        <v>#DIV/0!</v>
      </c>
      <c r="R34" s="14">
        <f t="shared" si="6"/>
        <v>1</v>
      </c>
      <c r="S34" s="233" t="e">
        <f t="shared" si="7"/>
        <v>#DIV/0!</v>
      </c>
    </row>
    <row r="35" spans="2:20" x14ac:dyDescent="0.25">
      <c r="B35" s="13" t="str">
        <f t="shared" si="8"/>
        <v>La Manouba</v>
      </c>
      <c r="C35" s="242">
        <f>'Soil-errosion1'!AJ100</f>
        <v>0</v>
      </c>
      <c r="D35" s="242">
        <f>'Soil-errosion1'!AK100</f>
        <v>0</v>
      </c>
      <c r="E35" s="242">
        <f>'Soil-errosion1'!AL100</f>
        <v>0</v>
      </c>
      <c r="F35" s="242">
        <f>'Soil-errosion1'!AM100</f>
        <v>0</v>
      </c>
      <c r="G35" s="242">
        <f>'Soil-errosion1'!AN100</f>
        <v>0</v>
      </c>
      <c r="H35" s="242">
        <f>'Soil-errosion1'!AO100</f>
        <v>0</v>
      </c>
      <c r="I35" s="242">
        <f>'Soil-errosion1'!AP100</f>
        <v>0</v>
      </c>
      <c r="J35" s="242">
        <f>'Soil-errosion1'!AQ100</f>
        <v>0</v>
      </c>
      <c r="K35" s="242">
        <f>'Soil-errosion1'!AR100</f>
        <v>0</v>
      </c>
      <c r="L35" s="242">
        <f>'Soil-errosion1'!AS100</f>
        <v>0</v>
      </c>
      <c r="M35" s="214">
        <f t="shared" si="9"/>
        <v>0</v>
      </c>
      <c r="N35" s="214">
        <f t="shared" si="10"/>
        <v>0</v>
      </c>
      <c r="O35" s="214">
        <f t="shared" si="4"/>
        <v>0</v>
      </c>
      <c r="P35" s="214" t="e">
        <f>O35/SUM('Area&amp;production data'!Q7:S7)</f>
        <v>#DIV/0!</v>
      </c>
      <c r="Q35" s="48" t="e">
        <f t="shared" si="5"/>
        <v>#DIV/0!</v>
      </c>
      <c r="R35" s="14">
        <f t="shared" si="6"/>
        <v>1</v>
      </c>
      <c r="S35" s="233" t="e">
        <f t="shared" si="7"/>
        <v>#DIV/0!</v>
      </c>
    </row>
    <row r="36" spans="2:20" x14ac:dyDescent="0.25">
      <c r="B36" s="13" t="str">
        <f t="shared" si="8"/>
        <v>Ben Arous</v>
      </c>
      <c r="C36" s="242">
        <f>'Soil-errosion1'!AJ101</f>
        <v>0</v>
      </c>
      <c r="D36" s="242">
        <f>'Soil-errosion1'!AK101</f>
        <v>0</v>
      </c>
      <c r="E36" s="242">
        <f>'Soil-errosion1'!AL101</f>
        <v>0</v>
      </c>
      <c r="F36" s="242">
        <f>'Soil-errosion1'!AM101</f>
        <v>0</v>
      </c>
      <c r="G36" s="242">
        <f>'Soil-errosion1'!AN101</f>
        <v>0</v>
      </c>
      <c r="H36" s="242">
        <f>'Soil-errosion1'!AO101</f>
        <v>0</v>
      </c>
      <c r="I36" s="242">
        <f>'Soil-errosion1'!AP101</f>
        <v>0</v>
      </c>
      <c r="J36" s="242">
        <f>'Soil-errosion1'!AQ101</f>
        <v>0</v>
      </c>
      <c r="K36" s="242">
        <f>'Soil-errosion1'!AR101</f>
        <v>0</v>
      </c>
      <c r="L36" s="242">
        <f>'Soil-errosion1'!AS101</f>
        <v>0</v>
      </c>
      <c r="M36" s="214">
        <f t="shared" si="9"/>
        <v>0</v>
      </c>
      <c r="N36" s="214">
        <f t="shared" si="10"/>
        <v>0</v>
      </c>
      <c r="O36" s="214">
        <f t="shared" si="4"/>
        <v>0</v>
      </c>
      <c r="P36" s="214" t="e">
        <f>O36/SUM('Area&amp;production data'!Q8:S8)</f>
        <v>#DIV/0!</v>
      </c>
      <c r="Q36" s="48" t="e">
        <f t="shared" si="5"/>
        <v>#DIV/0!</v>
      </c>
      <c r="R36" s="14">
        <f t="shared" si="6"/>
        <v>1</v>
      </c>
      <c r="S36" s="233" t="e">
        <f t="shared" si="7"/>
        <v>#DIV/0!</v>
      </c>
    </row>
    <row r="37" spans="2:20" x14ac:dyDescent="0.25">
      <c r="B37" s="13" t="str">
        <f t="shared" si="8"/>
        <v>Nabeul</v>
      </c>
      <c r="C37" s="242">
        <f>'Soil-errosion1'!AJ102</f>
        <v>0</v>
      </c>
      <c r="D37" s="242">
        <f>'Soil-errosion1'!AK102</f>
        <v>0</v>
      </c>
      <c r="E37" s="242">
        <f>'Soil-errosion1'!AL102</f>
        <v>0</v>
      </c>
      <c r="F37" s="242">
        <f>'Soil-errosion1'!AM102</f>
        <v>0</v>
      </c>
      <c r="G37" s="242">
        <f>'Soil-errosion1'!AN102</f>
        <v>0</v>
      </c>
      <c r="H37" s="242">
        <f>'Soil-errosion1'!AO102</f>
        <v>0</v>
      </c>
      <c r="I37" s="242">
        <f>'Soil-errosion1'!AP102</f>
        <v>0</v>
      </c>
      <c r="J37" s="242">
        <f>'Soil-errosion1'!AQ102</f>
        <v>0</v>
      </c>
      <c r="K37" s="242">
        <f>'Soil-errosion1'!AR102</f>
        <v>0</v>
      </c>
      <c r="L37" s="242">
        <f>'Soil-errosion1'!AS102</f>
        <v>0</v>
      </c>
      <c r="M37" s="214">
        <f t="shared" si="9"/>
        <v>0</v>
      </c>
      <c r="N37" s="214">
        <f t="shared" si="10"/>
        <v>0</v>
      </c>
      <c r="O37" s="214">
        <f t="shared" si="4"/>
        <v>0</v>
      </c>
      <c r="P37" s="214" t="e">
        <f>O37/SUM('Area&amp;production data'!Q9:S9)</f>
        <v>#DIV/0!</v>
      </c>
      <c r="Q37" s="48" t="e">
        <f t="shared" si="5"/>
        <v>#DIV/0!</v>
      </c>
      <c r="R37" s="14">
        <f t="shared" si="6"/>
        <v>1</v>
      </c>
      <c r="S37" s="233" t="e">
        <f t="shared" si="7"/>
        <v>#DIV/0!</v>
      </c>
    </row>
    <row r="38" spans="2:20" x14ac:dyDescent="0.25">
      <c r="B38" s="13" t="str">
        <f t="shared" si="8"/>
        <v>Bizerte</v>
      </c>
      <c r="C38" s="242">
        <f>'Soil-errosion1'!AJ103</f>
        <v>0</v>
      </c>
      <c r="D38" s="242">
        <f>'Soil-errosion1'!AK103</f>
        <v>0</v>
      </c>
      <c r="E38" s="242">
        <f>'Soil-errosion1'!AL103</f>
        <v>0</v>
      </c>
      <c r="F38" s="242">
        <f>'Soil-errosion1'!AM103</f>
        <v>0</v>
      </c>
      <c r="G38" s="242">
        <f>'Soil-errosion1'!AN103</f>
        <v>0</v>
      </c>
      <c r="H38" s="242">
        <f>'Soil-errosion1'!AO103</f>
        <v>0</v>
      </c>
      <c r="I38" s="242">
        <f>'Soil-errosion1'!AP103</f>
        <v>0</v>
      </c>
      <c r="J38" s="242">
        <f>'Soil-errosion1'!AQ103</f>
        <v>0</v>
      </c>
      <c r="K38" s="242">
        <f>'Soil-errosion1'!AR103</f>
        <v>0</v>
      </c>
      <c r="L38" s="242">
        <f>'Soil-errosion1'!AS103</f>
        <v>0</v>
      </c>
      <c r="M38" s="214">
        <f t="shared" si="9"/>
        <v>0</v>
      </c>
      <c r="N38" s="214">
        <f t="shared" si="10"/>
        <v>0</v>
      </c>
      <c r="O38" s="214">
        <f t="shared" si="4"/>
        <v>0</v>
      </c>
      <c r="P38" s="214" t="e">
        <f>O38/SUM('Area&amp;production data'!Q10:S10)</f>
        <v>#DIV/0!</v>
      </c>
      <c r="Q38" s="48" t="e">
        <f t="shared" si="5"/>
        <v>#DIV/0!</v>
      </c>
      <c r="R38" s="14">
        <f t="shared" si="6"/>
        <v>1</v>
      </c>
      <c r="S38" s="233" t="e">
        <f t="shared" si="7"/>
        <v>#DIV/0!</v>
      </c>
    </row>
    <row r="39" spans="2:20" x14ac:dyDescent="0.25">
      <c r="B39" s="13" t="str">
        <f t="shared" si="8"/>
        <v>Zaghouan</v>
      </c>
      <c r="C39" s="242">
        <f>'Soil-errosion1'!AJ104</f>
        <v>0</v>
      </c>
      <c r="D39" s="242">
        <f>'Soil-errosion1'!AK104</f>
        <v>0</v>
      </c>
      <c r="E39" s="242">
        <f>'Soil-errosion1'!AL104</f>
        <v>0</v>
      </c>
      <c r="F39" s="242">
        <f>'Soil-errosion1'!AM104</f>
        <v>0</v>
      </c>
      <c r="G39" s="242">
        <f>'Soil-errosion1'!AN104</f>
        <v>0</v>
      </c>
      <c r="H39" s="242">
        <f>'Soil-errosion1'!AO104</f>
        <v>0</v>
      </c>
      <c r="I39" s="242">
        <f>'Soil-errosion1'!AP104</f>
        <v>0</v>
      </c>
      <c r="J39" s="242">
        <f>'Soil-errosion1'!AQ104</f>
        <v>0</v>
      </c>
      <c r="K39" s="242">
        <f>'Soil-errosion1'!AR104</f>
        <v>0</v>
      </c>
      <c r="L39" s="242">
        <f>'Soil-errosion1'!AS104</f>
        <v>0</v>
      </c>
      <c r="M39" s="214">
        <f t="shared" si="9"/>
        <v>0</v>
      </c>
      <c r="N39" s="214">
        <f t="shared" si="10"/>
        <v>0</v>
      </c>
      <c r="O39" s="214">
        <f t="shared" si="4"/>
        <v>0</v>
      </c>
      <c r="P39" s="214" t="e">
        <f>O39/SUM('Area&amp;production data'!Q11:S11)</f>
        <v>#DIV/0!</v>
      </c>
      <c r="Q39" s="48" t="e">
        <f t="shared" si="5"/>
        <v>#DIV/0!</v>
      </c>
      <c r="R39" s="14">
        <f t="shared" si="6"/>
        <v>1</v>
      </c>
      <c r="S39" s="233" t="e">
        <f t="shared" si="7"/>
        <v>#DIV/0!</v>
      </c>
    </row>
    <row r="40" spans="2:20" x14ac:dyDescent="0.25">
      <c r="B40" s="13" t="str">
        <f t="shared" si="8"/>
        <v>Béja</v>
      </c>
      <c r="C40" s="242">
        <f>'Soil-errosion1'!AJ105</f>
        <v>0</v>
      </c>
      <c r="D40" s="242">
        <f>'Soil-errosion1'!AK105</f>
        <v>0</v>
      </c>
      <c r="E40" s="242">
        <f>'Soil-errosion1'!AL105</f>
        <v>0</v>
      </c>
      <c r="F40" s="242">
        <f>'Soil-errosion1'!AM105</f>
        <v>0</v>
      </c>
      <c r="G40" s="242">
        <f>'Soil-errosion1'!AN105</f>
        <v>0</v>
      </c>
      <c r="H40" s="242">
        <f>'Soil-errosion1'!AO105</f>
        <v>0</v>
      </c>
      <c r="I40" s="242">
        <f>'Soil-errosion1'!AP105</f>
        <v>0</v>
      </c>
      <c r="J40" s="242">
        <f>'Soil-errosion1'!AQ105</f>
        <v>0</v>
      </c>
      <c r="K40" s="242">
        <f>'Soil-errosion1'!AR105</f>
        <v>0</v>
      </c>
      <c r="L40" s="242">
        <f>'Soil-errosion1'!AS105</f>
        <v>0</v>
      </c>
      <c r="M40" s="214">
        <f t="shared" si="9"/>
        <v>0</v>
      </c>
      <c r="N40" s="214">
        <f t="shared" si="10"/>
        <v>0</v>
      </c>
      <c r="O40" s="214">
        <f t="shared" si="4"/>
        <v>0</v>
      </c>
      <c r="P40" s="214" t="e">
        <f>O40/SUM('Area&amp;production data'!Q12:S12)</f>
        <v>#DIV/0!</v>
      </c>
      <c r="Q40" s="48" t="e">
        <f t="shared" si="5"/>
        <v>#DIV/0!</v>
      </c>
      <c r="R40" s="14">
        <f t="shared" si="6"/>
        <v>1</v>
      </c>
      <c r="S40" s="233" t="e">
        <f t="shared" si="7"/>
        <v>#DIV/0!</v>
      </c>
    </row>
    <row r="41" spans="2:20" x14ac:dyDescent="0.25">
      <c r="B41" s="13" t="str">
        <f t="shared" si="8"/>
        <v>Jendouba</v>
      </c>
      <c r="C41" s="242">
        <f>'Soil-errosion1'!AJ106</f>
        <v>0</v>
      </c>
      <c r="D41" s="242">
        <f>'Soil-errosion1'!AK106</f>
        <v>0</v>
      </c>
      <c r="E41" s="242">
        <f>'Soil-errosion1'!AL106</f>
        <v>0</v>
      </c>
      <c r="F41" s="242">
        <f>'Soil-errosion1'!AM106</f>
        <v>0</v>
      </c>
      <c r="G41" s="242">
        <f>'Soil-errosion1'!AN106</f>
        <v>0</v>
      </c>
      <c r="H41" s="242">
        <f>'Soil-errosion1'!AO106</f>
        <v>0</v>
      </c>
      <c r="I41" s="242">
        <f>'Soil-errosion1'!AP106</f>
        <v>0</v>
      </c>
      <c r="J41" s="242">
        <f>'Soil-errosion1'!AQ106</f>
        <v>0</v>
      </c>
      <c r="K41" s="242">
        <f>'Soil-errosion1'!AR106</f>
        <v>0</v>
      </c>
      <c r="L41" s="242">
        <f>'Soil-errosion1'!AS106</f>
        <v>0</v>
      </c>
      <c r="M41" s="214">
        <f t="shared" si="9"/>
        <v>0</v>
      </c>
      <c r="N41" s="214">
        <f t="shared" si="10"/>
        <v>0</v>
      </c>
      <c r="O41" s="214">
        <f t="shared" si="4"/>
        <v>0</v>
      </c>
      <c r="P41" s="214" t="e">
        <f>O41/SUM('Area&amp;production data'!Q13:S13)</f>
        <v>#DIV/0!</v>
      </c>
      <c r="Q41" s="48" t="e">
        <f t="shared" si="5"/>
        <v>#DIV/0!</v>
      </c>
      <c r="R41" s="14">
        <f t="shared" si="6"/>
        <v>1</v>
      </c>
      <c r="S41" s="233" t="e">
        <f t="shared" si="7"/>
        <v>#DIV/0!</v>
      </c>
      <c r="T41" s="897">
        <v>0.18</v>
      </c>
    </row>
    <row r="42" spans="2:20" x14ac:dyDescent="0.25">
      <c r="B42" s="13" t="str">
        <f t="shared" si="8"/>
        <v>Le Kef</v>
      </c>
      <c r="C42" s="242">
        <f>'Soil-errosion1'!AJ107</f>
        <v>0</v>
      </c>
      <c r="D42" s="242">
        <f>'Soil-errosion1'!AK107</f>
        <v>0</v>
      </c>
      <c r="E42" s="242">
        <f>'Soil-errosion1'!AL107</f>
        <v>0</v>
      </c>
      <c r="F42" s="242">
        <f>'Soil-errosion1'!AM107</f>
        <v>0</v>
      </c>
      <c r="G42" s="242">
        <f>'Soil-errosion1'!AN107</f>
        <v>0</v>
      </c>
      <c r="H42" s="242">
        <f>'Soil-errosion1'!AO107</f>
        <v>0</v>
      </c>
      <c r="I42" s="242">
        <f>'Soil-errosion1'!AP107</f>
        <v>0</v>
      </c>
      <c r="J42" s="242">
        <f>'Soil-errosion1'!AQ107</f>
        <v>0</v>
      </c>
      <c r="K42" s="242">
        <f>'Soil-errosion1'!AR107</f>
        <v>0</v>
      </c>
      <c r="L42" s="242">
        <f>'Soil-errosion1'!AS107</f>
        <v>0</v>
      </c>
      <c r="M42" s="214">
        <f t="shared" si="9"/>
        <v>0</v>
      </c>
      <c r="N42" s="214">
        <f t="shared" si="10"/>
        <v>0</v>
      </c>
      <c r="O42" s="214">
        <f t="shared" si="4"/>
        <v>0</v>
      </c>
      <c r="P42" s="214" t="e">
        <f>O42/SUM('Area&amp;production data'!Q14:S14)</f>
        <v>#DIV/0!</v>
      </c>
      <c r="Q42" s="48" t="e">
        <f t="shared" si="5"/>
        <v>#DIV/0!</v>
      </c>
      <c r="R42" s="14">
        <f t="shared" si="6"/>
        <v>1</v>
      </c>
      <c r="S42" s="233" t="e">
        <f t="shared" si="7"/>
        <v>#DIV/0!</v>
      </c>
      <c r="T42" s="898"/>
    </row>
    <row r="43" spans="2:20" x14ac:dyDescent="0.25">
      <c r="B43" s="13" t="str">
        <f t="shared" si="8"/>
        <v>Siliana</v>
      </c>
      <c r="C43" s="242">
        <f>'Soil-errosion1'!AJ108</f>
        <v>0</v>
      </c>
      <c r="D43" s="242">
        <f>'Soil-errosion1'!AK108</f>
        <v>0</v>
      </c>
      <c r="E43" s="242">
        <f>'Soil-errosion1'!AL108</f>
        <v>0</v>
      </c>
      <c r="F43" s="242">
        <f>'Soil-errosion1'!AM108</f>
        <v>0</v>
      </c>
      <c r="G43" s="242">
        <f>'Soil-errosion1'!AN108</f>
        <v>0</v>
      </c>
      <c r="H43" s="242">
        <f>'Soil-errosion1'!AO108</f>
        <v>0</v>
      </c>
      <c r="I43" s="242">
        <f>'Soil-errosion1'!AP108</f>
        <v>0</v>
      </c>
      <c r="J43" s="242">
        <f>'Soil-errosion1'!AQ108</f>
        <v>0</v>
      </c>
      <c r="K43" s="242">
        <f>'Soil-errosion1'!AR108</f>
        <v>0</v>
      </c>
      <c r="L43" s="242">
        <f>'Soil-errosion1'!AS108</f>
        <v>0</v>
      </c>
      <c r="M43" s="214">
        <f t="shared" si="9"/>
        <v>0</v>
      </c>
      <c r="N43" s="214">
        <f t="shared" si="10"/>
        <v>0</v>
      </c>
      <c r="O43" s="214">
        <f t="shared" si="4"/>
        <v>0</v>
      </c>
      <c r="P43" s="214" t="e">
        <f>O43/SUM('Area&amp;production data'!Q15:S15)</f>
        <v>#DIV/0!</v>
      </c>
      <c r="Q43" s="48" t="e">
        <f t="shared" si="5"/>
        <v>#DIV/0!</v>
      </c>
      <c r="R43" s="14">
        <f t="shared" si="6"/>
        <v>1</v>
      </c>
      <c r="S43" s="233" t="e">
        <f t="shared" si="7"/>
        <v>#DIV/0!</v>
      </c>
      <c r="T43" s="898"/>
    </row>
    <row r="44" spans="2:20" x14ac:dyDescent="0.25">
      <c r="B44" s="13" t="str">
        <f t="shared" si="8"/>
        <v>Sousse</v>
      </c>
      <c r="C44" s="242">
        <f>'Soil-errosion1'!AJ109</f>
        <v>0</v>
      </c>
      <c r="D44" s="242">
        <f>'Soil-errosion1'!AK109</f>
        <v>0</v>
      </c>
      <c r="E44" s="242">
        <f>'Soil-errosion1'!AL109</f>
        <v>0</v>
      </c>
      <c r="F44" s="242">
        <f>'Soil-errosion1'!AM109</f>
        <v>0</v>
      </c>
      <c r="G44" s="242">
        <f>'Soil-errosion1'!AN109</f>
        <v>0</v>
      </c>
      <c r="H44" s="242">
        <f>'Soil-errosion1'!AO109</f>
        <v>0</v>
      </c>
      <c r="I44" s="242">
        <f>'Soil-errosion1'!AP109</f>
        <v>0</v>
      </c>
      <c r="J44" s="242">
        <f>'Soil-errosion1'!AQ109</f>
        <v>0</v>
      </c>
      <c r="K44" s="242">
        <f>'Soil-errosion1'!AR109</f>
        <v>0</v>
      </c>
      <c r="L44" s="242">
        <f>'Soil-errosion1'!AS109</f>
        <v>0</v>
      </c>
      <c r="M44" s="214">
        <f t="shared" si="9"/>
        <v>0</v>
      </c>
      <c r="N44" s="214">
        <f t="shared" si="10"/>
        <v>0</v>
      </c>
      <c r="O44" s="214">
        <f t="shared" si="4"/>
        <v>0</v>
      </c>
      <c r="P44" s="214" t="e">
        <f>O44/SUM('Area&amp;production data'!Q16:S16)</f>
        <v>#DIV/0!</v>
      </c>
      <c r="Q44" s="48" t="e">
        <f t="shared" si="5"/>
        <v>#DIV/0!</v>
      </c>
      <c r="R44" s="14">
        <f t="shared" si="6"/>
        <v>1</v>
      </c>
      <c r="S44" s="233" t="e">
        <f t="shared" si="7"/>
        <v>#DIV/0!</v>
      </c>
    </row>
    <row r="45" spans="2:20" x14ac:dyDescent="0.25">
      <c r="B45" s="13" t="str">
        <f t="shared" si="8"/>
        <v>Monastir</v>
      </c>
      <c r="C45" s="242">
        <f>'Soil-errosion1'!AJ110</f>
        <v>0</v>
      </c>
      <c r="D45" s="242">
        <f>'Soil-errosion1'!AK110</f>
        <v>0</v>
      </c>
      <c r="E45" s="242">
        <f>'Soil-errosion1'!AL110</f>
        <v>0</v>
      </c>
      <c r="F45" s="242">
        <f>'Soil-errosion1'!AM110</f>
        <v>0</v>
      </c>
      <c r="G45" s="242">
        <f>'Soil-errosion1'!AN110</f>
        <v>0</v>
      </c>
      <c r="H45" s="242">
        <f>'Soil-errosion1'!AO110</f>
        <v>0</v>
      </c>
      <c r="I45" s="242">
        <f>'Soil-errosion1'!AP110</f>
        <v>0</v>
      </c>
      <c r="J45" s="242">
        <f>'Soil-errosion1'!AQ110</f>
        <v>0</v>
      </c>
      <c r="K45" s="242">
        <f>'Soil-errosion1'!AR110</f>
        <v>0</v>
      </c>
      <c r="L45" s="242">
        <f>'Soil-errosion1'!AS110</f>
        <v>0</v>
      </c>
      <c r="M45" s="214">
        <f t="shared" si="9"/>
        <v>0</v>
      </c>
      <c r="N45" s="214">
        <f t="shared" si="10"/>
        <v>0</v>
      </c>
      <c r="O45" s="214">
        <f t="shared" si="4"/>
        <v>0</v>
      </c>
      <c r="P45" s="214" t="e">
        <f>O45/SUM('Area&amp;production data'!Q17:S17)</f>
        <v>#DIV/0!</v>
      </c>
      <c r="Q45" s="48" t="e">
        <f t="shared" si="5"/>
        <v>#DIV/0!</v>
      </c>
      <c r="R45" s="14">
        <f t="shared" si="6"/>
        <v>1</v>
      </c>
      <c r="S45" s="233" t="e">
        <f t="shared" si="7"/>
        <v>#DIV/0!</v>
      </c>
    </row>
    <row r="46" spans="2:20" x14ac:dyDescent="0.25">
      <c r="B46" s="13" t="str">
        <f t="shared" si="8"/>
        <v>Mahdia</v>
      </c>
      <c r="C46" s="242">
        <f>'Soil-errosion1'!AJ111</f>
        <v>0</v>
      </c>
      <c r="D46" s="242">
        <f>'Soil-errosion1'!AK111</f>
        <v>0</v>
      </c>
      <c r="E46" s="242">
        <f>'Soil-errosion1'!AL111</f>
        <v>0</v>
      </c>
      <c r="F46" s="242">
        <f>'Soil-errosion1'!AM111</f>
        <v>0</v>
      </c>
      <c r="G46" s="242">
        <f>'Soil-errosion1'!AN111</f>
        <v>0</v>
      </c>
      <c r="H46" s="242">
        <f>'Soil-errosion1'!AO111</f>
        <v>0</v>
      </c>
      <c r="I46" s="242">
        <f>'Soil-errosion1'!AP111</f>
        <v>0</v>
      </c>
      <c r="J46" s="242">
        <f>'Soil-errosion1'!AQ111</f>
        <v>0</v>
      </c>
      <c r="K46" s="242">
        <f>'Soil-errosion1'!AR111</f>
        <v>0</v>
      </c>
      <c r="L46" s="242">
        <f>'Soil-errosion1'!AS111</f>
        <v>0</v>
      </c>
      <c r="M46" s="214">
        <f t="shared" si="9"/>
        <v>0</v>
      </c>
      <c r="N46" s="214">
        <f t="shared" si="10"/>
        <v>0</v>
      </c>
      <c r="O46" s="214">
        <f t="shared" si="4"/>
        <v>0</v>
      </c>
      <c r="P46" s="214" t="e">
        <f>O46/SUM('Area&amp;production data'!Q18:S18)</f>
        <v>#DIV/0!</v>
      </c>
      <c r="Q46" s="48" t="e">
        <f t="shared" si="5"/>
        <v>#DIV/0!</v>
      </c>
      <c r="R46" s="14">
        <f t="shared" si="6"/>
        <v>1</v>
      </c>
      <c r="S46" s="233" t="e">
        <f t="shared" si="7"/>
        <v>#DIV/0!</v>
      </c>
    </row>
    <row r="47" spans="2:20" x14ac:dyDescent="0.25">
      <c r="B47" s="13" t="str">
        <f t="shared" si="8"/>
        <v>Sfax</v>
      </c>
      <c r="C47" s="242">
        <f>'Soil-errosion1'!AJ112</f>
        <v>0</v>
      </c>
      <c r="D47" s="242">
        <f>'Soil-errosion1'!AK112</f>
        <v>0</v>
      </c>
      <c r="E47" s="242">
        <f>'Soil-errosion1'!AL112</f>
        <v>0</v>
      </c>
      <c r="F47" s="242">
        <f>'Soil-errosion1'!AM112</f>
        <v>0</v>
      </c>
      <c r="G47" s="242">
        <f>'Soil-errosion1'!AN112</f>
        <v>0</v>
      </c>
      <c r="H47" s="242">
        <f>'Soil-errosion1'!AO112</f>
        <v>0</v>
      </c>
      <c r="I47" s="242">
        <f>'Soil-errosion1'!AP112</f>
        <v>0</v>
      </c>
      <c r="J47" s="242">
        <f>'Soil-errosion1'!AQ112</f>
        <v>0</v>
      </c>
      <c r="K47" s="242">
        <f>'Soil-errosion1'!AR112</f>
        <v>0</v>
      </c>
      <c r="L47" s="242">
        <f>'Soil-errosion1'!AS112</f>
        <v>0</v>
      </c>
      <c r="M47" s="214">
        <f t="shared" si="9"/>
        <v>0</v>
      </c>
      <c r="N47" s="214">
        <f t="shared" si="10"/>
        <v>0</v>
      </c>
      <c r="O47" s="214">
        <f t="shared" si="4"/>
        <v>0</v>
      </c>
      <c r="P47" s="214" t="e">
        <f>O47/SUM('Area&amp;production data'!Q19:S19)</f>
        <v>#DIV/0!</v>
      </c>
      <c r="Q47" s="48" t="e">
        <f t="shared" si="5"/>
        <v>#DIV/0!</v>
      </c>
      <c r="R47" s="14">
        <f t="shared" si="6"/>
        <v>1</v>
      </c>
      <c r="S47" s="233" t="e">
        <f t="shared" si="7"/>
        <v>#DIV/0!</v>
      </c>
    </row>
    <row r="48" spans="2:20" x14ac:dyDescent="0.25">
      <c r="B48" s="13" t="str">
        <f t="shared" si="8"/>
        <v>Kairouan</v>
      </c>
      <c r="C48" s="242">
        <f>'Soil-errosion1'!AJ113</f>
        <v>0</v>
      </c>
      <c r="D48" s="242">
        <f>'Soil-errosion1'!AK113</f>
        <v>0</v>
      </c>
      <c r="E48" s="242">
        <f>'Soil-errosion1'!AL113</f>
        <v>0</v>
      </c>
      <c r="F48" s="242">
        <f>'Soil-errosion1'!AM113</f>
        <v>0</v>
      </c>
      <c r="G48" s="242">
        <f>'Soil-errosion1'!AN113</f>
        <v>0</v>
      </c>
      <c r="H48" s="242">
        <f>'Soil-errosion1'!AO113</f>
        <v>0</v>
      </c>
      <c r="I48" s="242">
        <f>'Soil-errosion1'!AP113</f>
        <v>0</v>
      </c>
      <c r="J48" s="242">
        <f>'Soil-errosion1'!AQ113</f>
        <v>0</v>
      </c>
      <c r="K48" s="242">
        <f>'Soil-errosion1'!AR113</f>
        <v>0</v>
      </c>
      <c r="L48" s="242">
        <f>'Soil-errosion1'!AS113</f>
        <v>0</v>
      </c>
      <c r="M48" s="214">
        <f t="shared" si="9"/>
        <v>0</v>
      </c>
      <c r="N48" s="214">
        <f t="shared" si="10"/>
        <v>0</v>
      </c>
      <c r="O48" s="214">
        <f t="shared" si="4"/>
        <v>0</v>
      </c>
      <c r="P48" s="214" t="e">
        <f>O48/SUM('Area&amp;production data'!Q20:S20)</f>
        <v>#DIV/0!</v>
      </c>
      <c r="Q48" s="48" t="e">
        <f t="shared" si="5"/>
        <v>#DIV/0!</v>
      </c>
      <c r="R48" s="14">
        <f t="shared" si="6"/>
        <v>1</v>
      </c>
      <c r="S48" s="233" t="e">
        <f t="shared" si="7"/>
        <v>#DIV/0!</v>
      </c>
    </row>
    <row r="49" spans="2:20" x14ac:dyDescent="0.25">
      <c r="B49" s="13" t="str">
        <f t="shared" si="8"/>
        <v>Kasserine</v>
      </c>
      <c r="C49" s="242">
        <f>'Soil-errosion1'!AJ114</f>
        <v>0</v>
      </c>
      <c r="D49" s="242">
        <f>'Soil-errosion1'!AK114</f>
        <v>0</v>
      </c>
      <c r="E49" s="242">
        <f>'Soil-errosion1'!AL114</f>
        <v>0</v>
      </c>
      <c r="F49" s="242">
        <f>'Soil-errosion1'!AM114</f>
        <v>0</v>
      </c>
      <c r="G49" s="242">
        <f>'Soil-errosion1'!AN114</f>
        <v>0</v>
      </c>
      <c r="H49" s="242">
        <f>'Soil-errosion1'!AO114</f>
        <v>0</v>
      </c>
      <c r="I49" s="242">
        <f>'Soil-errosion1'!AP114</f>
        <v>0</v>
      </c>
      <c r="J49" s="242">
        <f>'Soil-errosion1'!AQ114</f>
        <v>0</v>
      </c>
      <c r="K49" s="242">
        <f>'Soil-errosion1'!AR114</f>
        <v>0</v>
      </c>
      <c r="L49" s="242">
        <f>'Soil-errosion1'!AS114</f>
        <v>0</v>
      </c>
      <c r="M49" s="214">
        <f t="shared" si="9"/>
        <v>0</v>
      </c>
      <c r="N49" s="214">
        <f t="shared" si="10"/>
        <v>0</v>
      </c>
      <c r="O49" s="214">
        <f t="shared" si="4"/>
        <v>0</v>
      </c>
      <c r="P49" s="214" t="e">
        <f>O49/SUM('Area&amp;production data'!Q21:S21)</f>
        <v>#DIV/0!</v>
      </c>
      <c r="Q49" s="48" t="e">
        <f t="shared" si="5"/>
        <v>#DIV/0!</v>
      </c>
      <c r="R49" s="14">
        <f t="shared" si="6"/>
        <v>1</v>
      </c>
      <c r="S49" s="233" t="e">
        <f t="shared" si="7"/>
        <v>#DIV/0!</v>
      </c>
    </row>
    <row r="50" spans="2:20" x14ac:dyDescent="0.25">
      <c r="B50" s="13" t="str">
        <f t="shared" si="8"/>
        <v>Sidi Bouzid</v>
      </c>
      <c r="C50" s="242">
        <f>'Soil-errosion1'!AJ115</f>
        <v>0</v>
      </c>
      <c r="D50" s="242">
        <f>'Soil-errosion1'!AK115</f>
        <v>0</v>
      </c>
      <c r="E50" s="242">
        <f>'Soil-errosion1'!AL115</f>
        <v>0</v>
      </c>
      <c r="F50" s="242">
        <f>'Soil-errosion1'!AM115</f>
        <v>0</v>
      </c>
      <c r="G50" s="242">
        <f>'Soil-errosion1'!AN115</f>
        <v>0</v>
      </c>
      <c r="H50" s="242">
        <f>'Soil-errosion1'!AO115</f>
        <v>0</v>
      </c>
      <c r="I50" s="242">
        <f>'Soil-errosion1'!AP115</f>
        <v>0</v>
      </c>
      <c r="J50" s="242">
        <f>'Soil-errosion1'!AQ115</f>
        <v>0</v>
      </c>
      <c r="K50" s="242">
        <f>'Soil-errosion1'!AR115</f>
        <v>0</v>
      </c>
      <c r="L50" s="242">
        <f>'Soil-errosion1'!AS115</f>
        <v>0</v>
      </c>
      <c r="M50" s="214">
        <f t="shared" si="9"/>
        <v>0</v>
      </c>
      <c r="N50" s="214">
        <f t="shared" si="10"/>
        <v>0</v>
      </c>
      <c r="O50" s="214">
        <f t="shared" si="4"/>
        <v>0</v>
      </c>
      <c r="P50" s="214" t="e">
        <f>O50/SUM('Area&amp;production data'!Q22:S22)</f>
        <v>#DIV/0!</v>
      </c>
      <c r="Q50" s="48" t="e">
        <f t="shared" si="5"/>
        <v>#DIV/0!</v>
      </c>
      <c r="R50" s="14">
        <f t="shared" si="6"/>
        <v>1</v>
      </c>
      <c r="S50" s="233" t="e">
        <f t="shared" si="7"/>
        <v>#DIV/0!</v>
      </c>
      <c r="T50" s="602"/>
    </row>
    <row r="51" spans="2:20" x14ac:dyDescent="0.25">
      <c r="B51" s="13" t="str">
        <f t="shared" si="8"/>
        <v>Gafsa</v>
      </c>
      <c r="C51" s="242">
        <f>'Soil-errosion1'!AJ116</f>
        <v>0</v>
      </c>
      <c r="D51" s="242">
        <f>'Soil-errosion1'!AK116</f>
        <v>0</v>
      </c>
      <c r="E51" s="242">
        <f>'Soil-errosion1'!AL116</f>
        <v>0</v>
      </c>
      <c r="F51" s="242">
        <f>'Soil-errosion1'!AM116</f>
        <v>0</v>
      </c>
      <c r="G51" s="242">
        <f>'Soil-errosion1'!AN116</f>
        <v>0</v>
      </c>
      <c r="H51" s="242">
        <f>'Soil-errosion1'!AO116</f>
        <v>0</v>
      </c>
      <c r="I51" s="242">
        <f>'Soil-errosion1'!AP116</f>
        <v>0</v>
      </c>
      <c r="J51" s="242">
        <f>'Soil-errosion1'!AQ116</f>
        <v>0</v>
      </c>
      <c r="K51" s="242">
        <f>'Soil-errosion1'!AR116</f>
        <v>0</v>
      </c>
      <c r="L51" s="242">
        <f>'Soil-errosion1'!AS116</f>
        <v>0</v>
      </c>
      <c r="M51" s="214">
        <f t="shared" si="9"/>
        <v>0</v>
      </c>
      <c r="N51" s="214">
        <f t="shared" si="10"/>
        <v>0</v>
      </c>
      <c r="O51" s="214">
        <f t="shared" si="4"/>
        <v>0</v>
      </c>
      <c r="P51" s="214" t="e">
        <f>O51/SUM('Area&amp;production data'!Q23:S23)</f>
        <v>#DIV/0!</v>
      </c>
      <c r="Q51" s="48" t="e">
        <f t="shared" si="5"/>
        <v>#DIV/0!</v>
      </c>
      <c r="R51" s="14">
        <f t="shared" si="6"/>
        <v>1</v>
      </c>
      <c r="S51" s="233" t="e">
        <f t="shared" si="7"/>
        <v>#DIV/0!</v>
      </c>
      <c r="T51" s="602"/>
    </row>
    <row r="52" spans="2:20" x14ac:dyDescent="0.25">
      <c r="B52" s="13" t="str">
        <f t="shared" si="8"/>
        <v>Gabès</v>
      </c>
      <c r="C52" s="242">
        <f>'Soil-errosion1'!AJ117</f>
        <v>0</v>
      </c>
      <c r="D52" s="242">
        <f>'Soil-errosion1'!AK117</f>
        <v>0</v>
      </c>
      <c r="E52" s="242">
        <f>'Soil-errosion1'!AL117</f>
        <v>0</v>
      </c>
      <c r="F52" s="242">
        <f>'Soil-errosion1'!AM117</f>
        <v>0</v>
      </c>
      <c r="G52" s="242">
        <f>'Soil-errosion1'!AN117</f>
        <v>0</v>
      </c>
      <c r="H52" s="242">
        <f>'Soil-errosion1'!AO117</f>
        <v>0</v>
      </c>
      <c r="I52" s="242">
        <f>'Soil-errosion1'!AP117</f>
        <v>0</v>
      </c>
      <c r="J52" s="242">
        <f>'Soil-errosion1'!AQ117</f>
        <v>0</v>
      </c>
      <c r="K52" s="242">
        <f>'Soil-errosion1'!AR117</f>
        <v>0</v>
      </c>
      <c r="L52" s="242">
        <f>'Soil-errosion1'!AS117</f>
        <v>0</v>
      </c>
      <c r="M52" s="214">
        <f t="shared" si="9"/>
        <v>0</v>
      </c>
      <c r="N52" s="214">
        <f t="shared" si="10"/>
        <v>0</v>
      </c>
      <c r="O52" s="214">
        <f t="shared" si="4"/>
        <v>0</v>
      </c>
      <c r="P52" s="214" t="e">
        <f>O52/SUM('Area&amp;production data'!Q24:S24)</f>
        <v>#DIV/0!</v>
      </c>
      <c r="Q52" s="48" t="e">
        <f t="shared" si="5"/>
        <v>#DIV/0!</v>
      </c>
      <c r="R52" s="14">
        <f t="shared" si="6"/>
        <v>1</v>
      </c>
      <c r="S52" s="233" t="e">
        <f>O52/$O$57</f>
        <v>#DIV/0!</v>
      </c>
      <c r="T52" s="893" t="e">
        <f>SUM(S52:S56)</f>
        <v>#DIV/0!</v>
      </c>
    </row>
    <row r="53" spans="2:20" x14ac:dyDescent="0.25">
      <c r="B53" s="13" t="str">
        <f t="shared" si="8"/>
        <v>Médenine</v>
      </c>
      <c r="C53" s="242">
        <f>'Soil-errosion1'!AJ118</f>
        <v>0</v>
      </c>
      <c r="D53" s="242">
        <f>'Soil-errosion1'!AK118</f>
        <v>0</v>
      </c>
      <c r="E53" s="242">
        <f>'Soil-errosion1'!AL118</f>
        <v>0</v>
      </c>
      <c r="F53" s="242">
        <f>'Soil-errosion1'!AM118</f>
        <v>0</v>
      </c>
      <c r="G53" s="242">
        <f>'Soil-errosion1'!AN118</f>
        <v>0</v>
      </c>
      <c r="H53" s="242">
        <f>'Soil-errosion1'!AO118</f>
        <v>0</v>
      </c>
      <c r="I53" s="242">
        <f>'Soil-errosion1'!AP118</f>
        <v>0</v>
      </c>
      <c r="J53" s="242">
        <f>'Soil-errosion1'!AQ118</f>
        <v>0</v>
      </c>
      <c r="K53" s="242">
        <f>'Soil-errosion1'!AR118</f>
        <v>0</v>
      </c>
      <c r="L53" s="242">
        <f>'Soil-errosion1'!AS118</f>
        <v>0</v>
      </c>
      <c r="M53" s="214">
        <f t="shared" si="9"/>
        <v>0</v>
      </c>
      <c r="N53" s="214">
        <f t="shared" si="10"/>
        <v>0</v>
      </c>
      <c r="O53" s="214">
        <f t="shared" si="4"/>
        <v>0</v>
      </c>
      <c r="P53" s="214" t="e">
        <f>O53/SUM('Area&amp;production data'!Q25:S25)</f>
        <v>#DIV/0!</v>
      </c>
      <c r="Q53" s="48" t="e">
        <f t="shared" si="5"/>
        <v>#DIV/0!</v>
      </c>
      <c r="R53" s="14">
        <f t="shared" si="6"/>
        <v>1</v>
      </c>
      <c r="S53" s="233" t="e">
        <f t="shared" si="7"/>
        <v>#DIV/0!</v>
      </c>
      <c r="T53" s="893"/>
    </row>
    <row r="54" spans="2:20" x14ac:dyDescent="0.25">
      <c r="B54" s="13" t="str">
        <f t="shared" si="8"/>
        <v>Tataouine</v>
      </c>
      <c r="C54" s="242">
        <f>'Soil-errosion1'!AJ119</f>
        <v>0</v>
      </c>
      <c r="D54" s="242">
        <f>'Soil-errosion1'!AK119</f>
        <v>0</v>
      </c>
      <c r="E54" s="242">
        <f>'Soil-errosion1'!AL119</f>
        <v>0</v>
      </c>
      <c r="F54" s="242">
        <f>'Soil-errosion1'!AM119</f>
        <v>0</v>
      </c>
      <c r="G54" s="242">
        <f>'Soil-errosion1'!AN119</f>
        <v>0</v>
      </c>
      <c r="H54" s="242">
        <f>'Soil-errosion1'!AO119</f>
        <v>0</v>
      </c>
      <c r="I54" s="242">
        <f>'Soil-errosion1'!AP119</f>
        <v>0</v>
      </c>
      <c r="J54" s="242">
        <f>'Soil-errosion1'!AQ119</f>
        <v>0</v>
      </c>
      <c r="K54" s="242">
        <f>'Soil-errosion1'!AR119</f>
        <v>0</v>
      </c>
      <c r="L54" s="242">
        <f>'Soil-errosion1'!AS119</f>
        <v>0</v>
      </c>
      <c r="M54" s="214">
        <f t="shared" si="9"/>
        <v>0</v>
      </c>
      <c r="N54" s="214">
        <f t="shared" si="10"/>
        <v>0</v>
      </c>
      <c r="O54" s="214">
        <f t="shared" si="4"/>
        <v>0</v>
      </c>
      <c r="P54" s="214" t="e">
        <f>O54/SUM('Area&amp;production data'!Q26:S26)</f>
        <v>#DIV/0!</v>
      </c>
      <c r="Q54" s="48" t="e">
        <f t="shared" si="5"/>
        <v>#DIV/0!</v>
      </c>
      <c r="R54" s="14">
        <f t="shared" si="6"/>
        <v>1</v>
      </c>
      <c r="S54" s="233" t="e">
        <f t="shared" si="7"/>
        <v>#DIV/0!</v>
      </c>
      <c r="T54" s="893"/>
    </row>
    <row r="55" spans="2:20" x14ac:dyDescent="0.25">
      <c r="B55" s="13" t="str">
        <f t="shared" si="8"/>
        <v>Tozeur</v>
      </c>
      <c r="C55" s="242">
        <f>'Soil-errosion1'!AJ120</f>
        <v>0</v>
      </c>
      <c r="D55" s="242">
        <f>'Soil-errosion1'!AK120</f>
        <v>0</v>
      </c>
      <c r="E55" s="242">
        <f>'Soil-errosion1'!AL120</f>
        <v>0</v>
      </c>
      <c r="F55" s="242">
        <f>'Soil-errosion1'!AM120</f>
        <v>0</v>
      </c>
      <c r="G55" s="242">
        <f>'Soil-errosion1'!AN120</f>
        <v>0</v>
      </c>
      <c r="H55" s="242">
        <f>'Soil-errosion1'!AO120</f>
        <v>0</v>
      </c>
      <c r="I55" s="242">
        <f>'Soil-errosion1'!AP120</f>
        <v>0</v>
      </c>
      <c r="J55" s="242">
        <f>'Soil-errosion1'!AQ120</f>
        <v>0</v>
      </c>
      <c r="K55" s="242">
        <f>'Soil-errosion1'!AR120</f>
        <v>0</v>
      </c>
      <c r="L55" s="242">
        <f>'Soil-errosion1'!AS120</f>
        <v>0</v>
      </c>
      <c r="M55" s="214">
        <f t="shared" si="9"/>
        <v>0</v>
      </c>
      <c r="N55" s="214">
        <f t="shared" si="10"/>
        <v>0</v>
      </c>
      <c r="O55" s="214">
        <f t="shared" si="4"/>
        <v>0</v>
      </c>
      <c r="P55" s="214" t="e">
        <f>O55/SUM('Area&amp;production data'!Q27:S27)</f>
        <v>#DIV/0!</v>
      </c>
      <c r="Q55" s="48" t="e">
        <f t="shared" si="5"/>
        <v>#DIV/0!</v>
      </c>
      <c r="R55" s="14">
        <f t="shared" si="6"/>
        <v>1</v>
      </c>
      <c r="S55" s="233" t="e">
        <f t="shared" si="7"/>
        <v>#DIV/0!</v>
      </c>
      <c r="T55" s="893"/>
    </row>
    <row r="56" spans="2:20" x14ac:dyDescent="0.25">
      <c r="B56" s="13" t="str">
        <f t="shared" si="8"/>
        <v>Kébili</v>
      </c>
      <c r="C56" s="242">
        <f>'Soil-errosion1'!AJ121</f>
        <v>0</v>
      </c>
      <c r="D56" s="242">
        <f>'Soil-errosion1'!AK121</f>
        <v>0</v>
      </c>
      <c r="E56" s="242">
        <f>'Soil-errosion1'!AL121</f>
        <v>0</v>
      </c>
      <c r="F56" s="242">
        <f>'Soil-errosion1'!AM121</f>
        <v>0</v>
      </c>
      <c r="G56" s="242">
        <f>'Soil-errosion1'!AN121</f>
        <v>0</v>
      </c>
      <c r="H56" s="242">
        <f>'Soil-errosion1'!AO121</f>
        <v>0</v>
      </c>
      <c r="I56" s="242">
        <f>'Soil-errosion1'!AP121</f>
        <v>0</v>
      </c>
      <c r="J56" s="242">
        <f>'Soil-errosion1'!AQ121</f>
        <v>0</v>
      </c>
      <c r="K56" s="242">
        <f>'Soil-errosion1'!AR121</f>
        <v>0</v>
      </c>
      <c r="L56" s="242">
        <f>'Soil-errosion1'!AS121</f>
        <v>0</v>
      </c>
      <c r="M56" s="214">
        <f t="shared" si="9"/>
        <v>0</v>
      </c>
      <c r="N56" s="214">
        <f t="shared" si="10"/>
        <v>0</v>
      </c>
      <c r="O56" s="214">
        <f t="shared" si="4"/>
        <v>0</v>
      </c>
      <c r="P56" s="214" t="e">
        <f>O56/SUM('Area&amp;production data'!Q28:S28)</f>
        <v>#DIV/0!</v>
      </c>
      <c r="Q56" s="48" t="e">
        <f t="shared" si="5"/>
        <v>#DIV/0!</v>
      </c>
      <c r="R56" s="14">
        <f t="shared" si="6"/>
        <v>1</v>
      </c>
      <c r="S56" s="233" t="e">
        <f t="shared" si="7"/>
        <v>#DIV/0!</v>
      </c>
      <c r="T56" s="893"/>
    </row>
    <row r="57" spans="2:20" x14ac:dyDescent="0.25">
      <c r="B57" s="15" t="s">
        <v>163</v>
      </c>
      <c r="C57" s="214">
        <f t="shared" ref="C57:H57" si="11">SUM(C33:C56)</f>
        <v>0</v>
      </c>
      <c r="D57" s="214">
        <f t="shared" si="11"/>
        <v>0</v>
      </c>
      <c r="E57" s="214">
        <f t="shared" si="11"/>
        <v>0</v>
      </c>
      <c r="F57" s="214">
        <f t="shared" si="11"/>
        <v>0</v>
      </c>
      <c r="G57" s="214">
        <f t="shared" si="11"/>
        <v>0</v>
      </c>
      <c r="H57" s="214">
        <f t="shared" si="11"/>
        <v>0</v>
      </c>
      <c r="I57" s="214">
        <f t="shared" ref="I57:L57" si="12">SUM(I33:I56)</f>
        <v>0</v>
      </c>
      <c r="J57" s="214">
        <f t="shared" si="12"/>
        <v>0</v>
      </c>
      <c r="K57" s="214">
        <f t="shared" si="12"/>
        <v>0</v>
      </c>
      <c r="L57" s="214">
        <f t="shared" si="12"/>
        <v>0</v>
      </c>
      <c r="M57" s="214">
        <f>SUM(M33:M56)</f>
        <v>0</v>
      </c>
      <c r="N57" s="214">
        <f t="shared" ref="N57:O57" si="13">SUM(N33:N56)</f>
        <v>0</v>
      </c>
      <c r="O57" s="214">
        <f t="shared" si="13"/>
        <v>0</v>
      </c>
      <c r="P57" s="214" t="e">
        <f>O57/SUM('Area&amp;production data'!Q29:S29)</f>
        <v>#DIV/0!</v>
      </c>
      <c r="Q57" s="214"/>
      <c r="R57" s="214" t="b">
        <f>ABS(SUM(N33:N56)-N57)&lt;0.1</f>
        <v>1</v>
      </c>
      <c r="S57" s="233" t="e">
        <f t="shared" si="7"/>
        <v>#DIV/0!</v>
      </c>
    </row>
    <row r="58" spans="2:20" x14ac:dyDescent="0.25">
      <c r="C58" s="30"/>
      <c r="D58" s="30"/>
      <c r="E58" s="30"/>
      <c r="F58" s="30"/>
      <c r="G58" s="30"/>
      <c r="H58" s="30"/>
      <c r="I58" s="613"/>
      <c r="J58" s="614"/>
      <c r="K58" s="614"/>
      <c r="L58" s="387" t="e">
        <f>L57/$O$57</f>
        <v>#DIV/0!</v>
      </c>
      <c r="M58" s="387" t="e">
        <f>M57/$O$57</f>
        <v>#DIV/0!</v>
      </c>
      <c r="N58" s="387" t="e">
        <f>N57/$O$57</f>
        <v>#DIV/0!</v>
      </c>
      <c r="O58" s="583" t="b">
        <f>ABS(O57-'Soil-errosion1'!AT122)&lt;0.1</f>
        <v>1</v>
      </c>
      <c r="P58" s="583"/>
      <c r="Q58" s="583"/>
    </row>
    <row r="59" spans="2:20" x14ac:dyDescent="0.25">
      <c r="K59" s="68"/>
      <c r="N59" s="233" t="e">
        <f>SUM(N52:N56)/N57</f>
        <v>#DIV/0!</v>
      </c>
      <c r="O59" s="233" t="e">
        <f>N28/O57</f>
        <v>#DIV/0!</v>
      </c>
    </row>
    <row r="60" spans="2:20" x14ac:dyDescent="0.25">
      <c r="B60" t="s">
        <v>1132</v>
      </c>
      <c r="C60" s="26" t="e">
        <f>C57/'Area&amp;production data'!F29</f>
        <v>#DIV/0!</v>
      </c>
      <c r="D60" s="26" t="e">
        <f>D57/'Area&amp;production data'!G29</f>
        <v>#DIV/0!</v>
      </c>
      <c r="E60" s="26" t="e">
        <f>E57/'Area&amp;production data'!H29</f>
        <v>#DIV/0!</v>
      </c>
      <c r="F60" s="26" t="e">
        <f>F57/'Area&amp;production data'!I29</f>
        <v>#DIV/0!</v>
      </c>
      <c r="G60" s="26" t="e">
        <f>G57/'Area&amp;production data'!J29</f>
        <v>#DIV/0!</v>
      </c>
      <c r="H60" s="26" t="e">
        <f>H57/'Area&amp;production data'!K29</f>
        <v>#DIV/0!</v>
      </c>
      <c r="I60" s="26" t="e">
        <f>I57/'Area&amp;production data'!L29</f>
        <v>#DIV/0!</v>
      </c>
      <c r="J60" s="26" t="e">
        <f>J57/'Area&amp;production data'!M29</f>
        <v>#DIV/0!</v>
      </c>
      <c r="K60" s="26" t="e">
        <f>K57/'Area&amp;production data'!N29</f>
        <v>#DIV/0!</v>
      </c>
      <c r="L60" s="26" t="e">
        <f>L57/'Area&amp;production data'!O29</f>
        <v>#DIV/0!</v>
      </c>
      <c r="M60" s="26" t="e">
        <f>M57/'Area&amp;production data'!Q29</f>
        <v>#DIV/0!</v>
      </c>
      <c r="N60" s="26" t="e">
        <f>N57/'Area&amp;production data'!R29</f>
        <v>#DIV/0!</v>
      </c>
      <c r="O60" s="26" t="e">
        <f>O57/'Area&amp;production data'!V29</f>
        <v>#DIV/0!</v>
      </c>
    </row>
    <row r="61" spans="2:20" x14ac:dyDescent="0.25">
      <c r="B61" t="s">
        <v>187</v>
      </c>
      <c r="C61" s="9" t="e">
        <f>RANK(C60,$C$60:$L$60)</f>
        <v>#DIV/0!</v>
      </c>
      <c r="D61" s="9" t="e">
        <f t="shared" ref="D61:L61" si="14">RANK(D60,$C$60:$L$60)</f>
        <v>#DIV/0!</v>
      </c>
      <c r="E61" s="9" t="e">
        <f t="shared" si="14"/>
        <v>#DIV/0!</v>
      </c>
      <c r="F61" s="9" t="e">
        <f t="shared" si="14"/>
        <v>#DIV/0!</v>
      </c>
      <c r="G61" s="9" t="e">
        <f t="shared" si="14"/>
        <v>#DIV/0!</v>
      </c>
      <c r="H61" s="9" t="e">
        <f t="shared" si="14"/>
        <v>#DIV/0!</v>
      </c>
      <c r="I61" s="9" t="e">
        <f t="shared" si="14"/>
        <v>#DIV/0!</v>
      </c>
      <c r="J61" s="9" t="e">
        <f t="shared" si="14"/>
        <v>#DIV/0!</v>
      </c>
      <c r="K61" s="9" t="e">
        <f t="shared" si="14"/>
        <v>#DIV/0!</v>
      </c>
      <c r="L61" s="9" t="e">
        <f t="shared" si="14"/>
        <v>#DIV/0!</v>
      </c>
      <c r="N61" s="9" t="e">
        <f>SUM(N52:N56)/O57</f>
        <v>#DIV/0!</v>
      </c>
      <c r="O61" s="37" t="e">
        <f>SUM(O51:O56)/O57</f>
        <v>#DIV/0!</v>
      </c>
    </row>
    <row r="63" spans="2:20" x14ac:dyDescent="0.25">
      <c r="O63" s="30"/>
    </row>
    <row r="64" spans="2:20" x14ac:dyDescent="0.25">
      <c r="N64" s="598"/>
      <c r="O64" s="119"/>
    </row>
  </sheetData>
  <mergeCells count="13">
    <mergeCell ref="T52:T56"/>
    <mergeCell ref="O2:O3"/>
    <mergeCell ref="A2:A3"/>
    <mergeCell ref="B2:B3"/>
    <mergeCell ref="C2:N2"/>
    <mergeCell ref="B31:B32"/>
    <mergeCell ref="C31:N31"/>
    <mergeCell ref="J29:L29"/>
    <mergeCell ref="R31:R32"/>
    <mergeCell ref="S31:S32"/>
    <mergeCell ref="T41:T43"/>
    <mergeCell ref="Q31:Q32"/>
    <mergeCell ref="P31:P32"/>
  </mergeCells>
  <hyperlinks>
    <hyperlink ref="P1" r:id="rId1" location=":~:text=Carbon%20is%20often%20used%20as,carbon%20dioxide%2C%20multiply%20by%203.67. " xr:uid="{B3AF3392-3CC8-404D-8619-F9D0C489842E}"/>
  </hyperlinks>
  <pageMargins left="0.7" right="0.7" top="0.75" bottom="0.75" header="0.3" footer="0.3"/>
  <pageSetup orientation="portrait"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6F09A-46CB-4D1D-BA00-9F5A3E5EB74F}">
  <dimension ref="A1:T36"/>
  <sheetViews>
    <sheetView topLeftCell="A25" workbookViewId="0">
      <selection activeCell="C32" sqref="C32"/>
    </sheetView>
  </sheetViews>
  <sheetFormatPr defaultRowHeight="15" x14ac:dyDescent="0.25"/>
  <cols>
    <col min="1" max="1" width="2.85546875" bestFit="1" customWidth="1"/>
    <col min="2" max="2" width="14.85546875" bestFit="1" customWidth="1"/>
    <col min="3" max="3" width="13.85546875" customWidth="1"/>
    <col min="4" max="4" width="16.42578125" customWidth="1"/>
    <col min="5" max="5" width="19.28515625" customWidth="1"/>
    <col min="6" max="6" width="12.5703125" customWidth="1"/>
    <col min="7" max="7" width="14.140625" customWidth="1"/>
    <col min="8" max="8" width="12.5703125" customWidth="1"/>
    <col min="9" max="10" width="14.5703125" customWidth="1"/>
    <col min="11" max="11" width="18.42578125" customWidth="1"/>
    <col min="12" max="12" width="13.42578125" customWidth="1"/>
    <col min="13" max="13" width="20" bestFit="1" customWidth="1"/>
    <col min="15" max="15" width="20" bestFit="1" customWidth="1"/>
    <col min="16" max="16" width="25.85546875" customWidth="1"/>
    <col min="17" max="17" width="17.5703125" customWidth="1"/>
    <col min="18" max="18" width="16.7109375" customWidth="1"/>
  </cols>
  <sheetData>
    <row r="1" spans="1:18" ht="15.75" thickBot="1" x14ac:dyDescent="0.3">
      <c r="B1" s="1" t="s">
        <v>962</v>
      </c>
      <c r="E1" s="1">
        <v>3.67</v>
      </c>
      <c r="F1" s="375" t="s">
        <v>345</v>
      </c>
    </row>
    <row r="2" spans="1:18" x14ac:dyDescent="0.25">
      <c r="A2" s="796" t="s">
        <v>968</v>
      </c>
      <c r="B2" s="820" t="s">
        <v>101</v>
      </c>
      <c r="C2" s="821" t="s">
        <v>969</v>
      </c>
      <c r="D2" s="821"/>
      <c r="E2" s="821"/>
      <c r="F2" s="821"/>
      <c r="G2" s="821" t="s">
        <v>970</v>
      </c>
      <c r="H2" s="821" t="s">
        <v>120</v>
      </c>
      <c r="I2" s="810" t="s">
        <v>965</v>
      </c>
      <c r="J2" s="810" t="s">
        <v>1126</v>
      </c>
      <c r="K2" s="408"/>
    </row>
    <row r="3" spans="1:18" ht="30" x14ac:dyDescent="0.25">
      <c r="A3" s="899"/>
      <c r="B3" s="756"/>
      <c r="C3" s="85" t="s">
        <v>971</v>
      </c>
      <c r="D3" s="85" t="s">
        <v>972</v>
      </c>
      <c r="E3" s="85" t="s">
        <v>973</v>
      </c>
      <c r="F3" s="16" t="s">
        <v>974</v>
      </c>
      <c r="G3" s="759"/>
      <c r="H3" s="759"/>
      <c r="I3" s="762"/>
      <c r="J3" s="762"/>
      <c r="K3" s="409" t="s">
        <v>975</v>
      </c>
    </row>
    <row r="4" spans="1:18" x14ac:dyDescent="0.25">
      <c r="A4" s="506">
        <v>1</v>
      </c>
      <c r="B4" s="506" t="s">
        <v>139</v>
      </c>
      <c r="C4" s="242">
        <f>'Soil-erosion'!N4</f>
        <v>0</v>
      </c>
      <c r="D4" s="242" t="e">
        <f>Forest!R93</f>
        <v>#DIV/0!</v>
      </c>
      <c r="E4" s="242">
        <f>'Value-of-fuel-used-under-CT'!R4</f>
        <v>0</v>
      </c>
      <c r="F4" s="242" t="e">
        <f>'value-of-carbon-in-Greenhouses'!J29</f>
        <v>#DIV/0!</v>
      </c>
      <c r="G4" s="242">
        <f>Water!E67</f>
        <v>0</v>
      </c>
      <c r="H4" s="214" t="e">
        <f>SUM(C4:G4)</f>
        <v>#DIV/0!</v>
      </c>
      <c r="I4" s="729" t="e">
        <f>H4*$E$1</f>
        <v>#DIV/0!</v>
      </c>
      <c r="J4" s="730" t="e">
        <f>I4/'Area&amp;production data'!V5</f>
        <v>#DIV/0!</v>
      </c>
      <c r="K4" s="731" t="e">
        <f>$O$4*H4</f>
        <v>#DIV/0!</v>
      </c>
      <c r="M4" s="1" t="s">
        <v>976</v>
      </c>
      <c r="O4" s="733">
        <v>51</v>
      </c>
    </row>
    <row r="5" spans="1:18" x14ac:dyDescent="0.25">
      <c r="A5" s="506">
        <v>2</v>
      </c>
      <c r="B5" s="506" t="s">
        <v>140</v>
      </c>
      <c r="C5" s="242">
        <f>'Soil-erosion'!N5</f>
        <v>0</v>
      </c>
      <c r="D5" s="242" t="e">
        <f>Forest!R94</f>
        <v>#DIV/0!</v>
      </c>
      <c r="E5" s="242">
        <f>'Value-of-fuel-used-under-CT'!R5</f>
        <v>0</v>
      </c>
      <c r="F5" s="242" t="e">
        <f>'value-of-carbon-in-Greenhouses'!J30</f>
        <v>#DIV/0!</v>
      </c>
      <c r="G5" s="242">
        <f>Water!E68</f>
        <v>0</v>
      </c>
      <c r="H5" s="214" t="e">
        <f t="shared" ref="H5:H27" si="0">SUM(C5:G5)</f>
        <v>#DIV/0!</v>
      </c>
      <c r="I5" s="729" t="e">
        <f t="shared" ref="I5:I27" si="1">H5*$E$1</f>
        <v>#DIV/0!</v>
      </c>
      <c r="J5" s="730" t="e">
        <f>I5/'Area&amp;production data'!V6</f>
        <v>#DIV/0!</v>
      </c>
      <c r="K5" s="731" t="e">
        <f t="shared" ref="K5:K27" si="2">$O$4*H5</f>
        <v>#DIV/0!</v>
      </c>
      <c r="M5" s="1" t="s">
        <v>977</v>
      </c>
      <c r="O5" s="124">
        <f>'Cereals-all-year'!D124</f>
        <v>187</v>
      </c>
      <c r="R5" s="84"/>
    </row>
    <row r="6" spans="1:18" x14ac:dyDescent="0.25">
      <c r="A6" s="506">
        <v>3</v>
      </c>
      <c r="B6" s="506" t="s">
        <v>141</v>
      </c>
      <c r="C6" s="242">
        <f>'Soil-erosion'!N6</f>
        <v>0</v>
      </c>
      <c r="D6" s="242" t="e">
        <f>Forest!R95</f>
        <v>#DIV/0!</v>
      </c>
      <c r="E6" s="242">
        <f>'Value-of-fuel-used-under-CT'!R6</f>
        <v>0</v>
      </c>
      <c r="F6" s="242" t="e">
        <f>'value-of-carbon-in-Greenhouses'!J31</f>
        <v>#DIV/0!</v>
      </c>
      <c r="G6" s="242">
        <f>Water!E69</f>
        <v>0</v>
      </c>
      <c r="H6" s="214" t="e">
        <f t="shared" si="0"/>
        <v>#DIV/0!</v>
      </c>
      <c r="I6" s="729" t="e">
        <f t="shared" si="1"/>
        <v>#DIV/0!</v>
      </c>
      <c r="J6" s="730" t="e">
        <f>I6/'Area&amp;production data'!V7</f>
        <v>#DIV/0!</v>
      </c>
      <c r="K6" s="731" t="e">
        <f t="shared" si="2"/>
        <v>#DIV/0!</v>
      </c>
      <c r="R6" s="84"/>
    </row>
    <row r="7" spans="1:18" x14ac:dyDescent="0.25">
      <c r="A7" s="506">
        <v>4</v>
      </c>
      <c r="B7" s="506" t="s">
        <v>142</v>
      </c>
      <c r="C7" s="242">
        <f>'Soil-erosion'!N7</f>
        <v>0</v>
      </c>
      <c r="D7" s="242" t="e">
        <f>Forest!R96</f>
        <v>#DIV/0!</v>
      </c>
      <c r="E7" s="242">
        <f>'Value-of-fuel-used-under-CT'!R7</f>
        <v>0</v>
      </c>
      <c r="F7" s="242" t="e">
        <f>'value-of-carbon-in-Greenhouses'!J32</f>
        <v>#DIV/0!</v>
      </c>
      <c r="G7" s="242">
        <f>Water!E70</f>
        <v>0</v>
      </c>
      <c r="H7" s="214" t="e">
        <f t="shared" si="0"/>
        <v>#DIV/0!</v>
      </c>
      <c r="I7" s="729" t="e">
        <f t="shared" si="1"/>
        <v>#DIV/0!</v>
      </c>
      <c r="J7" s="730" t="e">
        <f>I7/'Area&amp;production data'!V8</f>
        <v>#DIV/0!</v>
      </c>
      <c r="K7" s="731" t="e">
        <f t="shared" si="2"/>
        <v>#DIV/0!</v>
      </c>
      <c r="R7" s="84"/>
    </row>
    <row r="8" spans="1:18" x14ac:dyDescent="0.25">
      <c r="A8" s="506">
        <v>5</v>
      </c>
      <c r="B8" s="506" t="s">
        <v>143</v>
      </c>
      <c r="C8" s="242">
        <f>'Soil-erosion'!N8</f>
        <v>0</v>
      </c>
      <c r="D8" s="242" t="e">
        <f>Forest!R97</f>
        <v>#DIV/0!</v>
      </c>
      <c r="E8" s="242">
        <f>'Value-of-fuel-used-under-CT'!R8</f>
        <v>0</v>
      </c>
      <c r="F8" s="242" t="e">
        <f>'value-of-carbon-in-Greenhouses'!J33</f>
        <v>#DIV/0!</v>
      </c>
      <c r="G8" s="242">
        <f>Water!E71</f>
        <v>0</v>
      </c>
      <c r="H8" s="214" t="e">
        <f t="shared" si="0"/>
        <v>#DIV/0!</v>
      </c>
      <c r="I8" s="729" t="e">
        <f t="shared" si="1"/>
        <v>#DIV/0!</v>
      </c>
      <c r="J8" s="730" t="e">
        <f>I8/'Area&amp;production data'!V9</f>
        <v>#DIV/0!</v>
      </c>
      <c r="K8" s="731" t="e">
        <f t="shared" si="2"/>
        <v>#DIV/0!</v>
      </c>
      <c r="R8" s="84"/>
    </row>
    <row r="9" spans="1:18" x14ac:dyDescent="0.25">
      <c r="A9" s="506">
        <v>6</v>
      </c>
      <c r="B9" s="506" t="s">
        <v>144</v>
      </c>
      <c r="C9" s="242">
        <f>'Soil-erosion'!N9</f>
        <v>0</v>
      </c>
      <c r="D9" s="242" t="e">
        <f>Forest!R98</f>
        <v>#DIV/0!</v>
      </c>
      <c r="E9" s="242">
        <f>'Value-of-fuel-used-under-CT'!R9</f>
        <v>0</v>
      </c>
      <c r="F9" s="242" t="e">
        <f>'value-of-carbon-in-Greenhouses'!J34</f>
        <v>#DIV/0!</v>
      </c>
      <c r="G9" s="242">
        <f>Water!E72</f>
        <v>0</v>
      </c>
      <c r="H9" s="214" t="e">
        <f t="shared" si="0"/>
        <v>#DIV/0!</v>
      </c>
      <c r="I9" s="729" t="e">
        <f t="shared" si="1"/>
        <v>#DIV/0!</v>
      </c>
      <c r="J9" s="730" t="e">
        <f>I9/'Area&amp;production data'!V10</f>
        <v>#DIV/0!</v>
      </c>
      <c r="K9" s="731" t="e">
        <f t="shared" si="2"/>
        <v>#DIV/0!</v>
      </c>
      <c r="R9" s="84"/>
    </row>
    <row r="10" spans="1:18" x14ac:dyDescent="0.25">
      <c r="A10" s="506">
        <v>7</v>
      </c>
      <c r="B10" s="506" t="s">
        <v>145</v>
      </c>
      <c r="C10" s="242">
        <f>'Soil-erosion'!N10</f>
        <v>0</v>
      </c>
      <c r="D10" s="242" t="e">
        <f>Forest!R99</f>
        <v>#DIV/0!</v>
      </c>
      <c r="E10" s="242">
        <f>'Value-of-fuel-used-under-CT'!R10</f>
        <v>0</v>
      </c>
      <c r="F10" s="242" t="e">
        <f>'value-of-carbon-in-Greenhouses'!J35</f>
        <v>#DIV/0!</v>
      </c>
      <c r="G10" s="242">
        <f>Water!E73</f>
        <v>0</v>
      </c>
      <c r="H10" s="214" t="e">
        <f t="shared" si="0"/>
        <v>#DIV/0!</v>
      </c>
      <c r="I10" s="729" t="e">
        <f t="shared" si="1"/>
        <v>#DIV/0!</v>
      </c>
      <c r="J10" s="730" t="e">
        <f>I10/'Area&amp;production data'!V11</f>
        <v>#DIV/0!</v>
      </c>
      <c r="K10" s="731" t="e">
        <f t="shared" si="2"/>
        <v>#DIV/0!</v>
      </c>
      <c r="R10" s="84"/>
    </row>
    <row r="11" spans="1:18" x14ac:dyDescent="0.25">
      <c r="A11" s="506">
        <v>8</v>
      </c>
      <c r="B11" s="506" t="s">
        <v>146</v>
      </c>
      <c r="C11" s="242">
        <f>'Soil-erosion'!N11</f>
        <v>0</v>
      </c>
      <c r="D11" s="242" t="e">
        <f>Forest!R100</f>
        <v>#DIV/0!</v>
      </c>
      <c r="E11" s="242">
        <f>'Value-of-fuel-used-under-CT'!R11</f>
        <v>0</v>
      </c>
      <c r="F11" s="242" t="e">
        <f>'value-of-carbon-in-Greenhouses'!J36</f>
        <v>#DIV/0!</v>
      </c>
      <c r="G11" s="242">
        <f>Water!E74</f>
        <v>0</v>
      </c>
      <c r="H11" s="214" t="e">
        <f t="shared" si="0"/>
        <v>#DIV/0!</v>
      </c>
      <c r="I11" s="729" t="e">
        <f t="shared" si="1"/>
        <v>#DIV/0!</v>
      </c>
      <c r="J11" s="730" t="e">
        <f>I11/'Area&amp;production data'!V12</f>
        <v>#DIV/0!</v>
      </c>
      <c r="K11" s="731" t="e">
        <f t="shared" si="2"/>
        <v>#DIV/0!</v>
      </c>
      <c r="R11" s="84"/>
    </row>
    <row r="12" spans="1:18" x14ac:dyDescent="0.25">
      <c r="A12" s="506">
        <v>9</v>
      </c>
      <c r="B12" s="506" t="s">
        <v>147</v>
      </c>
      <c r="C12" s="242">
        <f>'Soil-erosion'!N12</f>
        <v>0</v>
      </c>
      <c r="D12" s="242" t="e">
        <f>Forest!R101</f>
        <v>#DIV/0!</v>
      </c>
      <c r="E12" s="242">
        <f>'Value-of-fuel-used-under-CT'!R12</f>
        <v>0</v>
      </c>
      <c r="F12" s="242" t="e">
        <f>'value-of-carbon-in-Greenhouses'!J37</f>
        <v>#DIV/0!</v>
      </c>
      <c r="G12" s="242">
        <f>Water!E75</f>
        <v>0</v>
      </c>
      <c r="H12" s="214" t="e">
        <f t="shared" si="0"/>
        <v>#DIV/0!</v>
      </c>
      <c r="I12" s="729" t="e">
        <f t="shared" si="1"/>
        <v>#DIV/0!</v>
      </c>
      <c r="J12" s="730" t="e">
        <f>I12/'Area&amp;production data'!V13</f>
        <v>#DIV/0!</v>
      </c>
      <c r="K12" s="731" t="e">
        <f t="shared" si="2"/>
        <v>#DIV/0!</v>
      </c>
      <c r="R12" s="84"/>
    </row>
    <row r="13" spans="1:18" x14ac:dyDescent="0.25">
      <c r="A13" s="506">
        <v>10</v>
      </c>
      <c r="B13" s="506" t="s">
        <v>148</v>
      </c>
      <c r="C13" s="242">
        <f>'Soil-erosion'!N13</f>
        <v>0</v>
      </c>
      <c r="D13" s="242" t="e">
        <f>Forest!R102</f>
        <v>#DIV/0!</v>
      </c>
      <c r="E13" s="242">
        <f>'Value-of-fuel-used-under-CT'!R13</f>
        <v>0</v>
      </c>
      <c r="F13" s="242" t="e">
        <f>'value-of-carbon-in-Greenhouses'!J38</f>
        <v>#DIV/0!</v>
      </c>
      <c r="G13" s="242">
        <f>Water!E76</f>
        <v>0</v>
      </c>
      <c r="H13" s="214" t="e">
        <f t="shared" si="0"/>
        <v>#DIV/0!</v>
      </c>
      <c r="I13" s="729" t="e">
        <f t="shared" si="1"/>
        <v>#DIV/0!</v>
      </c>
      <c r="J13" s="730" t="e">
        <f>I13/'Area&amp;production data'!V14</f>
        <v>#DIV/0!</v>
      </c>
      <c r="K13" s="731" t="e">
        <f t="shared" si="2"/>
        <v>#DIV/0!</v>
      </c>
      <c r="R13" s="84"/>
    </row>
    <row r="14" spans="1:18" x14ac:dyDescent="0.25">
      <c r="A14" s="506">
        <v>11</v>
      </c>
      <c r="B14" s="506" t="s">
        <v>149</v>
      </c>
      <c r="C14" s="242">
        <f>'Soil-erosion'!N14</f>
        <v>0</v>
      </c>
      <c r="D14" s="242" t="e">
        <f>Forest!R103</f>
        <v>#DIV/0!</v>
      </c>
      <c r="E14" s="242">
        <f>'Value-of-fuel-used-under-CT'!R14</f>
        <v>0</v>
      </c>
      <c r="F14" s="242" t="e">
        <f>'value-of-carbon-in-Greenhouses'!J39</f>
        <v>#DIV/0!</v>
      </c>
      <c r="G14" s="242">
        <f>Water!E77</f>
        <v>0</v>
      </c>
      <c r="H14" s="214" t="e">
        <f t="shared" si="0"/>
        <v>#DIV/0!</v>
      </c>
      <c r="I14" s="729" t="e">
        <f t="shared" si="1"/>
        <v>#DIV/0!</v>
      </c>
      <c r="J14" s="730" t="e">
        <f>I14/'Area&amp;production data'!V15</f>
        <v>#DIV/0!</v>
      </c>
      <c r="K14" s="731" t="e">
        <f t="shared" si="2"/>
        <v>#DIV/0!</v>
      </c>
      <c r="R14" s="84"/>
    </row>
    <row r="15" spans="1:18" x14ac:dyDescent="0.25">
      <c r="A15" s="506">
        <v>12</v>
      </c>
      <c r="B15" s="506" t="s">
        <v>150</v>
      </c>
      <c r="C15" s="242">
        <f>'Soil-erosion'!N15</f>
        <v>0</v>
      </c>
      <c r="D15" s="242" t="e">
        <f>Forest!R104</f>
        <v>#DIV/0!</v>
      </c>
      <c r="E15" s="242">
        <f>'Value-of-fuel-used-under-CT'!R15</f>
        <v>0</v>
      </c>
      <c r="F15" s="242" t="e">
        <f>'value-of-carbon-in-Greenhouses'!J40</f>
        <v>#DIV/0!</v>
      </c>
      <c r="G15" s="242">
        <f>Water!E78</f>
        <v>0</v>
      </c>
      <c r="H15" s="214" t="e">
        <f t="shared" si="0"/>
        <v>#DIV/0!</v>
      </c>
      <c r="I15" s="729" t="e">
        <f t="shared" si="1"/>
        <v>#DIV/0!</v>
      </c>
      <c r="J15" s="730" t="e">
        <f>I15/'Area&amp;production data'!V16</f>
        <v>#DIV/0!</v>
      </c>
      <c r="K15" s="731" t="e">
        <f t="shared" si="2"/>
        <v>#DIV/0!</v>
      </c>
      <c r="R15" s="84"/>
    </row>
    <row r="16" spans="1:18" x14ac:dyDescent="0.25">
      <c r="A16" s="506">
        <v>13</v>
      </c>
      <c r="B16" s="506" t="s">
        <v>151</v>
      </c>
      <c r="C16" s="242">
        <f>'Soil-erosion'!N16</f>
        <v>0</v>
      </c>
      <c r="D16" s="242" t="e">
        <f>Forest!R105</f>
        <v>#DIV/0!</v>
      </c>
      <c r="E16" s="242">
        <f>'Value-of-fuel-used-under-CT'!R16</f>
        <v>0</v>
      </c>
      <c r="F16" s="242" t="e">
        <f>'value-of-carbon-in-Greenhouses'!J41</f>
        <v>#DIV/0!</v>
      </c>
      <c r="G16" s="242">
        <f>Water!E79</f>
        <v>0</v>
      </c>
      <c r="H16" s="214" t="e">
        <f t="shared" si="0"/>
        <v>#DIV/0!</v>
      </c>
      <c r="I16" s="729" t="e">
        <f t="shared" si="1"/>
        <v>#DIV/0!</v>
      </c>
      <c r="J16" s="730" t="e">
        <f>I16/'Area&amp;production data'!V17</f>
        <v>#DIV/0!</v>
      </c>
      <c r="K16" s="731" t="e">
        <f t="shared" si="2"/>
        <v>#DIV/0!</v>
      </c>
      <c r="R16" s="84"/>
    </row>
    <row r="17" spans="1:20" x14ac:dyDescent="0.25">
      <c r="A17" s="506">
        <v>14</v>
      </c>
      <c r="B17" s="506" t="s">
        <v>152</v>
      </c>
      <c r="C17" s="242">
        <f>'Soil-erosion'!N17</f>
        <v>0</v>
      </c>
      <c r="D17" s="242" t="e">
        <f>Forest!R106</f>
        <v>#DIV/0!</v>
      </c>
      <c r="E17" s="242">
        <f>'Value-of-fuel-used-under-CT'!R17</f>
        <v>0</v>
      </c>
      <c r="F17" s="242" t="e">
        <f>'value-of-carbon-in-Greenhouses'!J42</f>
        <v>#DIV/0!</v>
      </c>
      <c r="G17" s="242">
        <f>Water!E80</f>
        <v>0</v>
      </c>
      <c r="H17" s="214" t="e">
        <f t="shared" si="0"/>
        <v>#DIV/0!</v>
      </c>
      <c r="I17" s="729" t="e">
        <f t="shared" si="1"/>
        <v>#DIV/0!</v>
      </c>
      <c r="J17" s="730" t="e">
        <f>I17/'Area&amp;production data'!V18</f>
        <v>#DIV/0!</v>
      </c>
      <c r="K17" s="731" t="e">
        <f t="shared" si="2"/>
        <v>#DIV/0!</v>
      </c>
    </row>
    <row r="18" spans="1:20" x14ac:dyDescent="0.25">
      <c r="A18" s="506">
        <v>15</v>
      </c>
      <c r="B18" s="506" t="s">
        <v>153</v>
      </c>
      <c r="C18" s="242">
        <f>'Soil-erosion'!N18</f>
        <v>0</v>
      </c>
      <c r="D18" s="242" t="e">
        <f>Forest!R107</f>
        <v>#DIV/0!</v>
      </c>
      <c r="E18" s="242">
        <f>'Value-of-fuel-used-under-CT'!R18</f>
        <v>0</v>
      </c>
      <c r="F18" s="242" t="e">
        <f>'value-of-carbon-in-Greenhouses'!J43</f>
        <v>#DIV/0!</v>
      </c>
      <c r="G18" s="242">
        <f>Water!E81</f>
        <v>0</v>
      </c>
      <c r="H18" s="214" t="e">
        <f t="shared" si="0"/>
        <v>#DIV/0!</v>
      </c>
      <c r="I18" s="729" t="e">
        <f t="shared" si="1"/>
        <v>#DIV/0!</v>
      </c>
      <c r="J18" s="730" t="e">
        <f>I18/'Area&amp;production data'!V19</f>
        <v>#DIV/0!</v>
      </c>
      <c r="K18" s="731" t="e">
        <f t="shared" si="2"/>
        <v>#DIV/0!</v>
      </c>
      <c r="R18" s="84"/>
      <c r="T18" s="20"/>
    </row>
    <row r="19" spans="1:20" x14ac:dyDescent="0.25">
      <c r="A19" s="506">
        <v>16</v>
      </c>
      <c r="B19" s="506" t="s">
        <v>154</v>
      </c>
      <c r="C19" s="242">
        <f>'Soil-erosion'!N19</f>
        <v>0</v>
      </c>
      <c r="D19" s="242" t="e">
        <f>Forest!R108</f>
        <v>#DIV/0!</v>
      </c>
      <c r="E19" s="242">
        <f>'Value-of-fuel-used-under-CT'!R19</f>
        <v>0</v>
      </c>
      <c r="F19" s="242" t="e">
        <f>'value-of-carbon-in-Greenhouses'!J44</f>
        <v>#DIV/0!</v>
      </c>
      <c r="G19" s="242">
        <f>Water!E82</f>
        <v>0</v>
      </c>
      <c r="H19" s="214" t="e">
        <f t="shared" si="0"/>
        <v>#DIV/0!</v>
      </c>
      <c r="I19" s="729" t="e">
        <f t="shared" si="1"/>
        <v>#DIV/0!</v>
      </c>
      <c r="J19" s="730" t="e">
        <f>I19/'Area&amp;production data'!V20</f>
        <v>#DIV/0!</v>
      </c>
      <c r="K19" s="731" t="e">
        <f t="shared" si="2"/>
        <v>#DIV/0!</v>
      </c>
      <c r="R19" s="1"/>
      <c r="T19" s="20"/>
    </row>
    <row r="20" spans="1:20" x14ac:dyDescent="0.25">
      <c r="A20" s="506">
        <v>17</v>
      </c>
      <c r="B20" s="506" t="s">
        <v>155</v>
      </c>
      <c r="C20" s="242">
        <f>'Soil-erosion'!N20</f>
        <v>0</v>
      </c>
      <c r="D20" s="242" t="e">
        <f>Forest!R109</f>
        <v>#DIV/0!</v>
      </c>
      <c r="E20" s="242">
        <f>'Value-of-fuel-used-under-CT'!R20</f>
        <v>0</v>
      </c>
      <c r="F20" s="242" t="e">
        <f>'value-of-carbon-in-Greenhouses'!J45</f>
        <v>#DIV/0!</v>
      </c>
      <c r="G20" s="242">
        <f>Water!E83</f>
        <v>0</v>
      </c>
      <c r="H20" s="214" t="e">
        <f t="shared" si="0"/>
        <v>#DIV/0!</v>
      </c>
      <c r="I20" s="729" t="e">
        <f t="shared" si="1"/>
        <v>#DIV/0!</v>
      </c>
      <c r="J20" s="730" t="e">
        <f>I20/'Area&amp;production data'!V21</f>
        <v>#DIV/0!</v>
      </c>
      <c r="K20" s="731" t="e">
        <f t="shared" si="2"/>
        <v>#DIV/0!</v>
      </c>
      <c r="R20" s="84"/>
    </row>
    <row r="21" spans="1:20" x14ac:dyDescent="0.25">
      <c r="A21" s="506">
        <v>18</v>
      </c>
      <c r="B21" s="506" t="s">
        <v>156</v>
      </c>
      <c r="C21" s="242">
        <f>'Soil-erosion'!N21</f>
        <v>0</v>
      </c>
      <c r="D21" s="242" t="e">
        <f>Forest!R110</f>
        <v>#DIV/0!</v>
      </c>
      <c r="E21" s="242">
        <f>'Value-of-fuel-used-under-CT'!R21</f>
        <v>0</v>
      </c>
      <c r="F21" s="242" t="e">
        <f>'value-of-carbon-in-Greenhouses'!J46</f>
        <v>#DIV/0!</v>
      </c>
      <c r="G21" s="242">
        <f>Water!E84</f>
        <v>0</v>
      </c>
      <c r="H21" s="214" t="e">
        <f t="shared" si="0"/>
        <v>#DIV/0!</v>
      </c>
      <c r="I21" s="729" t="e">
        <f t="shared" si="1"/>
        <v>#DIV/0!</v>
      </c>
      <c r="J21" s="730" t="e">
        <f>I21/'Area&amp;production data'!V22</f>
        <v>#DIV/0!</v>
      </c>
      <c r="K21" s="731" t="e">
        <f t="shared" si="2"/>
        <v>#DIV/0!</v>
      </c>
    </row>
    <row r="22" spans="1:20" x14ac:dyDescent="0.25">
      <c r="A22" s="506">
        <v>19</v>
      </c>
      <c r="B22" s="506" t="s">
        <v>157</v>
      </c>
      <c r="C22" s="242">
        <f>'Soil-erosion'!N22</f>
        <v>0</v>
      </c>
      <c r="D22" s="242" t="e">
        <f>Forest!R111</f>
        <v>#DIV/0!</v>
      </c>
      <c r="E22" s="242">
        <f>'Value-of-fuel-used-under-CT'!R22</f>
        <v>0</v>
      </c>
      <c r="F22" s="242" t="e">
        <f>'value-of-carbon-in-Greenhouses'!J47</f>
        <v>#DIV/0!</v>
      </c>
      <c r="G22" s="242">
        <f>Water!E85</f>
        <v>0</v>
      </c>
      <c r="H22" s="214" t="e">
        <f t="shared" si="0"/>
        <v>#DIV/0!</v>
      </c>
      <c r="I22" s="729" t="e">
        <f t="shared" si="1"/>
        <v>#DIV/0!</v>
      </c>
      <c r="J22" s="730" t="e">
        <f>I22/'Area&amp;production data'!V23</f>
        <v>#DIV/0!</v>
      </c>
      <c r="K22" s="731" t="e">
        <f t="shared" si="2"/>
        <v>#DIV/0!</v>
      </c>
      <c r="Q22" s="342"/>
    </row>
    <row r="23" spans="1:20" x14ac:dyDescent="0.25">
      <c r="A23" s="506">
        <v>20</v>
      </c>
      <c r="B23" s="506" t="s">
        <v>158</v>
      </c>
      <c r="C23" s="242">
        <f>'Soil-erosion'!N23</f>
        <v>0</v>
      </c>
      <c r="D23" s="242" t="e">
        <f>Forest!R112</f>
        <v>#DIV/0!</v>
      </c>
      <c r="E23" s="242">
        <f>'Value-of-fuel-used-under-CT'!R23</f>
        <v>0</v>
      </c>
      <c r="F23" s="242" t="e">
        <f>'value-of-carbon-in-Greenhouses'!J48</f>
        <v>#DIV/0!</v>
      </c>
      <c r="G23" s="242">
        <f>Water!E86</f>
        <v>0</v>
      </c>
      <c r="H23" s="214" t="e">
        <f t="shared" si="0"/>
        <v>#DIV/0!</v>
      </c>
      <c r="I23" s="729" t="e">
        <f t="shared" si="1"/>
        <v>#DIV/0!</v>
      </c>
      <c r="J23" s="730" t="e">
        <f>I23/'Area&amp;production data'!V24</f>
        <v>#DIV/0!</v>
      </c>
      <c r="K23" s="731" t="e">
        <f t="shared" si="2"/>
        <v>#DIV/0!</v>
      </c>
    </row>
    <row r="24" spans="1:20" x14ac:dyDescent="0.25">
      <c r="A24" s="506">
        <v>21</v>
      </c>
      <c r="B24" s="506" t="s">
        <v>159</v>
      </c>
      <c r="C24" s="242">
        <f>'Soil-erosion'!N24</f>
        <v>0</v>
      </c>
      <c r="D24" s="242" t="e">
        <f>Forest!R113</f>
        <v>#DIV/0!</v>
      </c>
      <c r="E24" s="242">
        <f>'Value-of-fuel-used-under-CT'!R24</f>
        <v>0</v>
      </c>
      <c r="F24" s="242" t="e">
        <f>'value-of-carbon-in-Greenhouses'!J49</f>
        <v>#DIV/0!</v>
      </c>
      <c r="G24" s="242">
        <f>Water!E87</f>
        <v>0</v>
      </c>
      <c r="H24" s="214" t="e">
        <f t="shared" si="0"/>
        <v>#DIV/0!</v>
      </c>
      <c r="I24" s="729" t="e">
        <f t="shared" si="1"/>
        <v>#DIV/0!</v>
      </c>
      <c r="J24" s="730" t="e">
        <f>I24/'Area&amp;production data'!V25</f>
        <v>#DIV/0!</v>
      </c>
      <c r="K24" s="731" t="e">
        <f t="shared" si="2"/>
        <v>#DIV/0!</v>
      </c>
    </row>
    <row r="25" spans="1:20" x14ac:dyDescent="0.25">
      <c r="A25" s="506">
        <v>22</v>
      </c>
      <c r="B25" s="506" t="s">
        <v>160</v>
      </c>
      <c r="C25" s="242">
        <f>'Soil-erosion'!N25</f>
        <v>0</v>
      </c>
      <c r="D25" s="242" t="e">
        <f>Forest!R114</f>
        <v>#DIV/0!</v>
      </c>
      <c r="E25" s="242">
        <f>'Value-of-fuel-used-under-CT'!R25</f>
        <v>0</v>
      </c>
      <c r="F25" s="242" t="e">
        <f>'value-of-carbon-in-Greenhouses'!J50</f>
        <v>#DIV/0!</v>
      </c>
      <c r="G25" s="242">
        <f>Water!E88</f>
        <v>0</v>
      </c>
      <c r="H25" s="214" t="e">
        <f t="shared" si="0"/>
        <v>#DIV/0!</v>
      </c>
      <c r="I25" s="729" t="e">
        <f t="shared" si="1"/>
        <v>#DIV/0!</v>
      </c>
      <c r="J25" s="730" t="e">
        <f>I25/'Area&amp;production data'!V26</f>
        <v>#DIV/0!</v>
      </c>
      <c r="K25" s="731" t="e">
        <f t="shared" si="2"/>
        <v>#DIV/0!</v>
      </c>
    </row>
    <row r="26" spans="1:20" x14ac:dyDescent="0.25">
      <c r="A26" s="506">
        <v>23</v>
      </c>
      <c r="B26" s="506" t="s">
        <v>161</v>
      </c>
      <c r="C26" s="242">
        <f>'Soil-erosion'!N26</f>
        <v>0</v>
      </c>
      <c r="D26" s="242" t="e">
        <f>Forest!R115</f>
        <v>#DIV/0!</v>
      </c>
      <c r="E26" s="242">
        <f>'Value-of-fuel-used-under-CT'!R26</f>
        <v>0</v>
      </c>
      <c r="F26" s="242" t="e">
        <f>'value-of-carbon-in-Greenhouses'!J51</f>
        <v>#DIV/0!</v>
      </c>
      <c r="G26" s="242">
        <f>Water!E89</f>
        <v>0</v>
      </c>
      <c r="H26" s="214" t="e">
        <f t="shared" si="0"/>
        <v>#DIV/0!</v>
      </c>
      <c r="I26" s="729" t="e">
        <f t="shared" si="1"/>
        <v>#DIV/0!</v>
      </c>
      <c r="J26" s="730" t="e">
        <f>I26/'Area&amp;production data'!V27</f>
        <v>#DIV/0!</v>
      </c>
      <c r="K26" s="731" t="e">
        <f t="shared" si="2"/>
        <v>#DIV/0!</v>
      </c>
      <c r="N26" s="407"/>
    </row>
    <row r="27" spans="1:20" x14ac:dyDescent="0.25">
      <c r="A27" s="506">
        <v>24</v>
      </c>
      <c r="B27" s="506" t="s">
        <v>162</v>
      </c>
      <c r="C27" s="242">
        <f>'Soil-erosion'!N27</f>
        <v>0</v>
      </c>
      <c r="D27" s="242" t="e">
        <f>Forest!R116</f>
        <v>#DIV/0!</v>
      </c>
      <c r="E27" s="242">
        <f>'Value-of-fuel-used-under-CT'!R27</f>
        <v>0</v>
      </c>
      <c r="F27" s="242" t="e">
        <f>'value-of-carbon-in-Greenhouses'!J52</f>
        <v>#DIV/0!</v>
      </c>
      <c r="G27" s="242">
        <f>Water!E90</f>
        <v>0</v>
      </c>
      <c r="H27" s="214" t="e">
        <f t="shared" si="0"/>
        <v>#DIV/0!</v>
      </c>
      <c r="I27" s="729" t="e">
        <f t="shared" si="1"/>
        <v>#DIV/0!</v>
      </c>
      <c r="J27" s="730" t="e">
        <f>I27/'Area&amp;production data'!V28</f>
        <v>#DIV/0!</v>
      </c>
      <c r="K27" s="731" t="e">
        <f t="shared" si="2"/>
        <v>#DIV/0!</v>
      </c>
    </row>
    <row r="28" spans="1:20" ht="15.75" thickBot="1" x14ac:dyDescent="0.3">
      <c r="A28" s="209"/>
      <c r="B28" s="284" t="s">
        <v>163</v>
      </c>
      <c r="C28" s="732">
        <f>'Soil-erosion'!N28</f>
        <v>0</v>
      </c>
      <c r="D28" s="732" t="e">
        <f>SUM(D4:D27)</f>
        <v>#DIV/0!</v>
      </c>
      <c r="E28" s="732">
        <f>SUM(E4:E27)</f>
        <v>0</v>
      </c>
      <c r="F28" s="732" t="e">
        <f>SUM(F4:F27)</f>
        <v>#DIV/0!</v>
      </c>
      <c r="G28" s="732">
        <f>SUM(G4:G27)</f>
        <v>0</v>
      </c>
      <c r="H28" s="732" t="e">
        <f>SUM(C28:G28)</f>
        <v>#DIV/0!</v>
      </c>
      <c r="I28" s="732" t="e">
        <f t="shared" ref="I28" si="3">SUM(D28:H28)</f>
        <v>#DIV/0!</v>
      </c>
      <c r="J28" s="730" t="e">
        <f>I28/'Area&amp;production data'!V29</f>
        <v>#DIV/0!</v>
      </c>
      <c r="K28" s="732" t="e">
        <f>SUM(E28:I28)</f>
        <v>#DIV/0!</v>
      </c>
      <c r="L28" s="68"/>
      <c r="M28" s="406"/>
      <c r="N28" s="406"/>
      <c r="O28" s="403"/>
      <c r="P28" s="406"/>
    </row>
    <row r="29" spans="1:20" x14ac:dyDescent="0.25">
      <c r="A29" s="1"/>
      <c r="B29" s="1"/>
      <c r="C29" s="734" t="e">
        <f>C28/$H$28</f>
        <v>#DIV/0!</v>
      </c>
      <c r="D29" s="734" t="e">
        <f t="shared" ref="D29:H29" si="4">D28/$H$28</f>
        <v>#DIV/0!</v>
      </c>
      <c r="E29" s="734" t="e">
        <f t="shared" si="4"/>
        <v>#DIV/0!</v>
      </c>
      <c r="F29" s="734" t="e">
        <f t="shared" si="4"/>
        <v>#DIV/0!</v>
      </c>
      <c r="G29" s="734" t="e">
        <f t="shared" si="4"/>
        <v>#DIV/0!</v>
      </c>
      <c r="H29" s="734" t="e">
        <f t="shared" si="4"/>
        <v>#DIV/0!</v>
      </c>
      <c r="I29" s="617"/>
      <c r="J29" s="617"/>
      <c r="K29" s="617"/>
      <c r="L29" s="68"/>
      <c r="M29" s="406"/>
      <c r="N29" s="406"/>
      <c r="O29" s="91"/>
      <c r="P29" s="406"/>
    </row>
    <row r="30" spans="1:20" x14ac:dyDescent="0.25">
      <c r="C30" s="735" t="e">
        <f>RANK(C28,$C$28:$G$28)</f>
        <v>#DIV/0!</v>
      </c>
      <c r="D30" s="735" t="e">
        <f t="shared" ref="D30:G30" si="5">RANK(D28,$C$28:$G$28)</f>
        <v>#DIV/0!</v>
      </c>
      <c r="E30" s="735" t="e">
        <f t="shared" si="5"/>
        <v>#DIV/0!</v>
      </c>
      <c r="F30" s="735" t="e">
        <f t="shared" si="5"/>
        <v>#DIV/0!</v>
      </c>
      <c r="G30" s="735" t="e">
        <f t="shared" si="5"/>
        <v>#DIV/0!</v>
      </c>
      <c r="H30" s="51"/>
    </row>
    <row r="31" spans="1:20" x14ac:dyDescent="0.25">
      <c r="D31" s="191"/>
      <c r="E31" s="405"/>
      <c r="G31" s="4"/>
    </row>
    <row r="32" spans="1:20" ht="30" x14ac:dyDescent="0.25">
      <c r="B32" s="2" t="s">
        <v>1168</v>
      </c>
      <c r="C32" s="176" t="e">
        <f>'Soil-erosion'!N58*'Carbon-emission-by source'!C29</f>
        <v>#DIV/0!</v>
      </c>
      <c r="H32" t="s">
        <v>345</v>
      </c>
      <c r="I32" s="20" t="s">
        <v>978</v>
      </c>
      <c r="J32" s="20"/>
    </row>
    <row r="34" spans="2:12" x14ac:dyDescent="0.25">
      <c r="B34" s="885" t="s">
        <v>979</v>
      </c>
      <c r="C34" s="885"/>
      <c r="D34" s="885"/>
      <c r="E34" s="885"/>
      <c r="F34" s="885"/>
      <c r="G34" s="885"/>
      <c r="H34" s="885"/>
      <c r="I34" s="885"/>
      <c r="J34" s="448"/>
    </row>
    <row r="35" spans="2:12" x14ac:dyDescent="0.25">
      <c r="B35" s="885"/>
      <c r="C35" s="885"/>
      <c r="D35" s="885"/>
      <c r="E35" s="885"/>
      <c r="F35" s="885"/>
      <c r="G35" s="885"/>
      <c r="H35" s="885"/>
      <c r="I35" s="885"/>
      <c r="J35" s="448"/>
      <c r="K35" t="s">
        <v>345</v>
      </c>
      <c r="L35" s="20" t="s">
        <v>980</v>
      </c>
    </row>
    <row r="36" spans="2:12" x14ac:dyDescent="0.25">
      <c r="B36" s="885"/>
      <c r="C36" s="885"/>
      <c r="D36" s="885"/>
      <c r="E36" s="885"/>
      <c r="F36" s="885"/>
      <c r="G36" s="885"/>
      <c r="H36" s="885"/>
      <c r="I36" s="885"/>
      <c r="J36" s="448"/>
    </row>
  </sheetData>
  <mergeCells count="8">
    <mergeCell ref="J2:J3"/>
    <mergeCell ref="B34:I36"/>
    <mergeCell ref="A2:A3"/>
    <mergeCell ref="B2:B3"/>
    <mergeCell ref="C2:F2"/>
    <mergeCell ref="G2:G3"/>
    <mergeCell ref="I2:I3"/>
    <mergeCell ref="H2:H3"/>
  </mergeCells>
  <phoneticPr fontId="50" type="noConversion"/>
  <hyperlinks>
    <hyperlink ref="I32" r:id="rId1" display="https://www.climatelinks.org/sites/default/files/asset/document/2019_USAID_Uzbekistan%20Factsheet.pdf " xr:uid="{30385ABB-96F1-4D98-9934-9F8AF21102D4}"/>
    <hyperlink ref="L35" r:id="rId2" xr:uid="{F4FDF947-D029-495E-9116-4BE835571687}"/>
  </hyperlinks>
  <pageMargins left="0.7" right="0.7" top="0.75" bottom="0.75" header="0.3" footer="0.3"/>
  <pageSetup orientation="portrait"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A7288-5A07-45E8-90B9-2EB727B65D83}">
  <dimension ref="A1:AA114"/>
  <sheetViews>
    <sheetView topLeftCell="A100" workbookViewId="0">
      <selection activeCell="D112" sqref="D112"/>
    </sheetView>
  </sheetViews>
  <sheetFormatPr defaultRowHeight="15" x14ac:dyDescent="0.25"/>
  <cols>
    <col min="1" max="1" width="14.5703125" bestFit="1" customWidth="1"/>
    <col min="2" max="2" width="25.5703125" customWidth="1"/>
    <col min="3" max="3" width="27.42578125" customWidth="1"/>
    <col min="4" max="4" width="21.140625" customWidth="1"/>
    <col min="5" max="5" width="23.140625" customWidth="1"/>
    <col min="6" max="6" width="28.140625" customWidth="1"/>
    <col min="7" max="7" width="19" customWidth="1"/>
    <col min="8" max="8" width="13.5703125" customWidth="1"/>
    <col min="9" max="9" width="12.140625" customWidth="1"/>
    <col min="10" max="10" width="25.85546875" customWidth="1"/>
    <col min="11" max="11" width="22.140625" customWidth="1"/>
    <col min="12" max="12" width="11.85546875" customWidth="1"/>
    <col min="13" max="13" width="12.85546875" customWidth="1"/>
    <col min="14" max="14" width="13.85546875" customWidth="1"/>
    <col min="15" max="15" width="13.140625" bestFit="1" customWidth="1"/>
    <col min="16" max="16" width="14.42578125" customWidth="1"/>
    <col min="17" max="17" width="13.140625" bestFit="1" customWidth="1"/>
    <col min="18" max="18" width="18.42578125" customWidth="1"/>
    <col min="19" max="19" width="24.85546875" customWidth="1"/>
    <col min="20" max="20" width="20" customWidth="1"/>
    <col min="21" max="21" width="18.85546875" customWidth="1"/>
    <col min="22" max="22" width="16.5703125" customWidth="1"/>
    <col min="23" max="23" width="17.42578125" customWidth="1"/>
    <col min="24" max="24" width="22.42578125" customWidth="1"/>
    <col min="25" max="25" width="25.42578125" bestFit="1" customWidth="1"/>
    <col min="26" max="26" width="16" customWidth="1"/>
    <col min="27" max="27" width="16.5703125" bestFit="1" customWidth="1"/>
    <col min="28" max="28" width="17.42578125" customWidth="1"/>
    <col min="29" max="29" width="13.5703125" customWidth="1"/>
    <col min="30" max="30" width="16.5703125" customWidth="1"/>
    <col min="31" max="31" width="14" customWidth="1"/>
    <col min="32" max="32" width="14.85546875" customWidth="1"/>
    <col min="33" max="33" width="34" customWidth="1"/>
    <col min="34" max="34" width="16.85546875" customWidth="1"/>
    <col min="36" max="36" width="13.5703125" customWidth="1"/>
    <col min="37" max="37" width="10.5703125" customWidth="1"/>
    <col min="38" max="38" width="10.5703125" bestFit="1" customWidth="1"/>
  </cols>
  <sheetData>
    <row r="1" spans="1:21" ht="18.75" x14ac:dyDescent="0.3">
      <c r="A1" s="841" t="s">
        <v>981</v>
      </c>
      <c r="B1" s="841"/>
      <c r="C1" s="841"/>
      <c r="D1" s="841"/>
      <c r="E1" s="841"/>
      <c r="F1" s="12"/>
      <c r="G1" s="12"/>
      <c r="H1" s="58"/>
      <c r="J1" s="1" t="s">
        <v>256</v>
      </c>
      <c r="K1" s="445">
        <f>'Prices,exch.rates,harvest index'!M2</f>
        <v>2.8759999999999999</v>
      </c>
      <c r="L1" s="1" t="s">
        <v>257</v>
      </c>
      <c r="M1" s="1"/>
      <c r="N1" s="1" t="s">
        <v>258</v>
      </c>
      <c r="O1" s="446">
        <f>1/K1</f>
        <v>0.34770514603616137</v>
      </c>
      <c r="P1" t="s">
        <v>259</v>
      </c>
    </row>
    <row r="2" spans="1:21" x14ac:dyDescent="0.25">
      <c r="A2" s="3" t="s">
        <v>260</v>
      </c>
      <c r="B2" s="8" t="s">
        <v>261</v>
      </c>
      <c r="C2" s="8"/>
      <c r="D2" s="8"/>
      <c r="E2" s="4"/>
      <c r="G2" s="3"/>
      <c r="H2" s="3"/>
      <c r="J2" s="1" t="s">
        <v>262</v>
      </c>
      <c r="K2" s="24">
        <f>'Prices,exch.rates,harvest index'!M4</f>
        <v>134280440000</v>
      </c>
      <c r="L2" s="1" t="s">
        <v>257</v>
      </c>
      <c r="O2" s="446">
        <f>O1</f>
        <v>0.34770514603616137</v>
      </c>
    </row>
    <row r="3" spans="1:21" x14ac:dyDescent="0.25">
      <c r="A3" s="3"/>
      <c r="B3" s="10" t="s">
        <v>263</v>
      </c>
      <c r="C3" s="10"/>
      <c r="D3" s="10"/>
      <c r="E3" s="10"/>
      <c r="F3" s="1"/>
      <c r="G3" s="1"/>
      <c r="H3" s="1"/>
      <c r="I3" s="1"/>
      <c r="J3" s="1" t="s">
        <v>262</v>
      </c>
      <c r="K3" s="24">
        <f>K2/K1</f>
        <v>46690000000</v>
      </c>
      <c r="L3" s="1" t="s">
        <v>264</v>
      </c>
      <c r="M3" s="1"/>
      <c r="N3" s="1"/>
      <c r="O3" s="1"/>
      <c r="P3" s="1"/>
      <c r="Q3" s="1"/>
    </row>
    <row r="4" spans="1:21" x14ac:dyDescent="0.25">
      <c r="A4" s="3"/>
      <c r="B4" s="7" t="s">
        <v>265</v>
      </c>
      <c r="C4" s="62"/>
      <c r="D4" s="62"/>
      <c r="E4" s="62"/>
      <c r="F4" s="1"/>
      <c r="G4" s="1"/>
      <c r="H4" s="1"/>
      <c r="I4" s="1"/>
      <c r="J4" s="1"/>
      <c r="K4" s="1"/>
      <c r="L4" s="1"/>
      <c r="M4" s="1"/>
      <c r="N4" s="1"/>
      <c r="O4" s="1"/>
      <c r="P4" s="1"/>
      <c r="Q4" s="1"/>
    </row>
    <row r="5" spans="1:21" x14ac:dyDescent="0.25">
      <c r="A5" s="3"/>
      <c r="B5" s="183" t="s">
        <v>266</v>
      </c>
      <c r="C5" s="136"/>
      <c r="D5" s="136"/>
      <c r="E5" s="136"/>
      <c r="F5" s="1"/>
      <c r="G5" s="1"/>
      <c r="H5" s="1"/>
      <c r="I5" s="1"/>
      <c r="J5" s="1" t="s">
        <v>267</v>
      </c>
      <c r="K5" s="445">
        <f>'Prices,exch.rates,harvest index'!N2</f>
        <v>1.43</v>
      </c>
      <c r="L5" s="1" t="s">
        <v>257</v>
      </c>
      <c r="M5" s="1"/>
      <c r="N5" s="1"/>
      <c r="O5" s="1"/>
      <c r="P5" s="1"/>
      <c r="Q5" s="1"/>
    </row>
    <row r="6" spans="1:21" x14ac:dyDescent="0.25">
      <c r="A6" s="3"/>
      <c r="B6" s="293" t="s">
        <v>268</v>
      </c>
      <c r="C6" s="294"/>
      <c r="D6" s="294"/>
      <c r="E6" s="294"/>
      <c r="F6" s="1"/>
      <c r="G6" s="1"/>
      <c r="H6" s="1"/>
      <c r="I6" s="1"/>
      <c r="J6" s="1"/>
      <c r="K6" s="311"/>
      <c r="L6" s="1"/>
      <c r="N6" s="1"/>
      <c r="O6" s="1"/>
      <c r="P6" s="1"/>
      <c r="Q6" s="1"/>
    </row>
    <row r="7" spans="1:21" x14ac:dyDescent="0.25">
      <c r="A7" s="7" t="s">
        <v>269</v>
      </c>
      <c r="B7" s="7"/>
      <c r="C7" s="7"/>
      <c r="D7" s="7"/>
      <c r="E7" s="7"/>
      <c r="F7" s="7"/>
      <c r="G7" s="7"/>
      <c r="H7" s="3"/>
      <c r="J7" s="1"/>
      <c r="K7" s="122"/>
      <c r="L7" s="1"/>
      <c r="M7" s="1"/>
    </row>
    <row r="8" spans="1:21" ht="14.45" customHeight="1" x14ac:dyDescent="0.25">
      <c r="A8" s="7" t="s">
        <v>270</v>
      </c>
      <c r="B8" s="7"/>
      <c r="C8" s="7"/>
      <c r="D8" s="7"/>
      <c r="E8" s="7"/>
      <c r="F8" s="7"/>
      <c r="G8" s="7"/>
      <c r="H8" s="3"/>
      <c r="I8" s="3"/>
      <c r="J8" s="3"/>
      <c r="K8" s="3"/>
      <c r="L8" s="3"/>
      <c r="M8" s="3"/>
      <c r="N8" s="3"/>
      <c r="O8" s="3"/>
      <c r="P8" s="3"/>
      <c r="Q8" s="3"/>
      <c r="R8" s="3"/>
      <c r="S8" s="3"/>
      <c r="T8" s="3"/>
    </row>
    <row r="9" spans="1:21" ht="14.45" customHeight="1" x14ac:dyDescent="0.25">
      <c r="A9" s="3"/>
      <c r="B9" s="3"/>
      <c r="C9" s="3"/>
      <c r="D9" s="3"/>
      <c r="E9" s="3"/>
      <c r="F9" s="3"/>
      <c r="G9" s="3"/>
      <c r="H9" s="3"/>
      <c r="I9" s="3"/>
      <c r="J9" s="3"/>
      <c r="K9" s="3"/>
      <c r="L9" s="3"/>
      <c r="M9" s="3"/>
      <c r="N9" s="3"/>
      <c r="O9" s="3"/>
      <c r="P9" s="3"/>
      <c r="Q9" s="3"/>
      <c r="R9" s="3"/>
      <c r="S9" s="3"/>
      <c r="T9" s="3"/>
    </row>
    <row r="11" spans="1:21" x14ac:dyDescent="0.25">
      <c r="A11" s="1" t="s">
        <v>332</v>
      </c>
      <c r="D11" s="2"/>
      <c r="E11" s="2"/>
      <c r="H11" s="20" t="s">
        <v>333</v>
      </c>
    </row>
    <row r="12" spans="1:21" ht="18" x14ac:dyDescent="0.35">
      <c r="A12" s="1"/>
      <c r="B12" s="1" t="s">
        <v>334</v>
      </c>
      <c r="D12" s="124">
        <f>44*F12/12</f>
        <v>187</v>
      </c>
      <c r="E12" s="73" t="s">
        <v>335</v>
      </c>
      <c r="F12" s="62">
        <v>51</v>
      </c>
      <c r="G12" t="s">
        <v>96</v>
      </c>
      <c r="H12" s="20" t="s">
        <v>336</v>
      </c>
    </row>
    <row r="13" spans="1:21" x14ac:dyDescent="0.25">
      <c r="A13" s="1"/>
      <c r="B13" s="1" t="s">
        <v>337</v>
      </c>
      <c r="D13" s="703">
        <v>5.7999999999999996E-3</v>
      </c>
      <c r="E13" s="1"/>
      <c r="F13" s="74" t="s">
        <v>338</v>
      </c>
      <c r="H13" s="20" t="s">
        <v>339</v>
      </c>
    </row>
    <row r="14" spans="1:21" x14ac:dyDescent="0.25">
      <c r="A14" s="1"/>
      <c r="B14" s="1" t="s">
        <v>340</v>
      </c>
      <c r="C14" s="1"/>
      <c r="D14" s="5">
        <v>10</v>
      </c>
      <c r="E14" s="1"/>
      <c r="F14" s="63" t="s">
        <v>341</v>
      </c>
      <c r="G14" s="69">
        <f>10000*(D14/100)*D16</f>
        <v>1400</v>
      </c>
      <c r="H14" s="77"/>
      <c r="R14" s="29" t="s">
        <v>342</v>
      </c>
      <c r="S14" s="29"/>
      <c r="T14" s="736">
        <v>0.10482673846153846</v>
      </c>
      <c r="U14" s="29" t="s">
        <v>343</v>
      </c>
    </row>
    <row r="15" spans="1:21" x14ac:dyDescent="0.25">
      <c r="A15" s="1"/>
      <c r="B15" s="1" t="s">
        <v>344</v>
      </c>
      <c r="C15" s="1"/>
      <c r="D15" s="123" t="e">
        <f>G15/G14</f>
        <v>#DIV/0!</v>
      </c>
      <c r="E15" s="1"/>
      <c r="F15" s="63" t="s">
        <v>341</v>
      </c>
      <c r="G15" s="95" t="e">
        <f>'Soil-loss-in-abundoned lands'!J27</f>
        <v>#DIV/0!</v>
      </c>
      <c r="H15" t="s">
        <v>345</v>
      </c>
      <c r="I15" t="s">
        <v>346</v>
      </c>
      <c r="R15" s="29" t="s">
        <v>347</v>
      </c>
      <c r="S15" s="29"/>
      <c r="T15" s="54">
        <v>719.77</v>
      </c>
      <c r="U15" s="29" t="s">
        <v>348</v>
      </c>
    </row>
    <row r="16" spans="1:21" ht="17.25" x14ac:dyDescent="0.25">
      <c r="A16" s="1"/>
      <c r="B16" s="1" t="s">
        <v>349</v>
      </c>
      <c r="C16" s="1"/>
      <c r="D16" s="5">
        <v>1.4</v>
      </c>
      <c r="E16" s="1"/>
      <c r="F16" t="s">
        <v>350</v>
      </c>
      <c r="G16" s="140" t="e">
        <f>D14*G15/G14</f>
        <v>#DIV/0!</v>
      </c>
      <c r="I16" s="20" t="s">
        <v>351</v>
      </c>
    </row>
    <row r="17" spans="1:27" x14ac:dyDescent="0.25">
      <c r="A17" s="838" t="s">
        <v>101</v>
      </c>
      <c r="B17" s="814" t="s">
        <v>352</v>
      </c>
      <c r="C17" s="814"/>
      <c r="D17" s="814"/>
      <c r="E17" s="814"/>
      <c r="F17" s="814"/>
      <c r="H17" s="76"/>
    </row>
    <row r="18" spans="1:27" ht="72" x14ac:dyDescent="0.25">
      <c r="A18" s="838"/>
      <c r="B18" s="11" t="s">
        <v>353</v>
      </c>
      <c r="C18" s="839" t="s">
        <v>354</v>
      </c>
      <c r="D18" s="839"/>
      <c r="E18" s="839"/>
      <c r="F18" s="839" t="s">
        <v>355</v>
      </c>
      <c r="G18" s="839"/>
      <c r="H18" s="839"/>
      <c r="I18" s="839"/>
      <c r="J18" s="839" t="s">
        <v>982</v>
      </c>
      <c r="K18" s="839"/>
      <c r="L18" s="839"/>
      <c r="M18" s="839"/>
      <c r="N18" s="839" t="s">
        <v>357</v>
      </c>
      <c r="O18" s="839"/>
      <c r="P18" s="839"/>
      <c r="Q18" s="839"/>
      <c r="R18" s="839" t="s">
        <v>358</v>
      </c>
      <c r="S18" s="839" t="s">
        <v>359</v>
      </c>
      <c r="T18" s="839" t="s">
        <v>360</v>
      </c>
      <c r="U18" s="839" t="s">
        <v>361</v>
      </c>
      <c r="V18" s="839" t="s">
        <v>362</v>
      </c>
      <c r="W18" s="839" t="s">
        <v>363</v>
      </c>
      <c r="X18" s="11" t="s">
        <v>364</v>
      </c>
      <c r="Y18" s="11" t="s">
        <v>365</v>
      </c>
      <c r="Z18" s="839" t="s">
        <v>366</v>
      </c>
      <c r="AA18" s="11" t="s">
        <v>367</v>
      </c>
    </row>
    <row r="19" spans="1:27" x14ac:dyDescent="0.25">
      <c r="A19" s="17"/>
      <c r="B19" s="11"/>
      <c r="C19" s="11" t="s">
        <v>234</v>
      </c>
      <c r="D19" s="11" t="s">
        <v>368</v>
      </c>
      <c r="E19" s="11" t="s">
        <v>238</v>
      </c>
      <c r="F19" s="11" t="s">
        <v>234</v>
      </c>
      <c r="G19" s="11" t="s">
        <v>368</v>
      </c>
      <c r="H19" s="11" t="s">
        <v>238</v>
      </c>
      <c r="I19" s="11" t="s">
        <v>120</v>
      </c>
      <c r="J19" s="11" t="s">
        <v>234</v>
      </c>
      <c r="K19" s="11" t="s">
        <v>368</v>
      </c>
      <c r="L19" s="11" t="s">
        <v>238</v>
      </c>
      <c r="M19" s="11" t="s">
        <v>120</v>
      </c>
      <c r="N19" s="11" t="s">
        <v>234</v>
      </c>
      <c r="O19" s="11" t="s">
        <v>368</v>
      </c>
      <c r="P19" s="11" t="s">
        <v>238</v>
      </c>
      <c r="Q19" s="11" t="s">
        <v>120</v>
      </c>
      <c r="R19" s="839"/>
      <c r="S19" s="839"/>
      <c r="T19" s="839"/>
      <c r="U19" s="839"/>
      <c r="V19" s="839"/>
      <c r="W19" s="839"/>
      <c r="X19" s="11"/>
      <c r="Y19" s="11"/>
      <c r="Z19" s="839"/>
    </row>
    <row r="20" spans="1:27" x14ac:dyDescent="0.25">
      <c r="A20" s="506" t="s">
        <v>139</v>
      </c>
      <c r="B20" s="4"/>
      <c r="C20" s="64"/>
      <c r="D20" s="64"/>
      <c r="E20" s="64"/>
      <c r="F20" s="185" t="e">
        <f>'Percent-Soil-Carbon-Content'!M4*'Soil-errosion2'!M4</f>
        <v>#DIV/0!</v>
      </c>
      <c r="G20" s="185" t="e">
        <f>'Percent-Soil-Carbon-Content'!X4*'Soil-errosion2'!Y4</f>
        <v>#DIV/0!</v>
      </c>
      <c r="H20" s="185" t="e">
        <f>'Percent-Soil-Carbon-Content'!AI4*'Soil-errosion2'!AK4</f>
        <v>#DIV/0!</v>
      </c>
      <c r="I20" s="185" t="e">
        <f>SUMPRODUCT(F20:H20,'Soil-loss-in-abundoned lands'!D3:F3)</f>
        <v>#DIV/0!</v>
      </c>
      <c r="J20" s="185" t="e">
        <f>F20</f>
        <v>#DIV/0!</v>
      </c>
      <c r="K20" s="185" t="e">
        <f t="shared" ref="K20:L35" si="0">G20</f>
        <v>#DIV/0!</v>
      </c>
      <c r="L20" s="185" t="e">
        <f t="shared" si="0"/>
        <v>#DIV/0!</v>
      </c>
      <c r="M20" s="185" t="e">
        <f>SUMPRODUCT(J20:L20,'Soil-loss-in-abundoned lands'!D3:F3)</f>
        <v>#DIV/0!</v>
      </c>
      <c r="N20" s="570" t="e">
        <f>J20*'Soil-loss-in-abundoned lands'!$C3*'Soil-loss-in-abundoned lands'!D3</f>
        <v>#DIV/0!</v>
      </c>
      <c r="O20" s="570" t="e">
        <f>K20*'Soil-loss-in-abundoned lands'!$C3*'Soil-loss-in-abundoned lands'!E3</f>
        <v>#DIV/0!</v>
      </c>
      <c r="P20" s="570" t="e">
        <f>L20*'Soil-loss-in-abundoned lands'!$C3*'Soil-loss-in-abundoned lands'!F3</f>
        <v>#DIV/0!</v>
      </c>
      <c r="Q20" s="571" t="e">
        <f>SUM(N20:P20)</f>
        <v>#DIV/0!</v>
      </c>
      <c r="R20" s="496">
        <v>0</v>
      </c>
      <c r="S20" s="350">
        <f>1000*R20*$T$15/1000000</f>
        <v>0</v>
      </c>
      <c r="T20" s="24" t="e">
        <f>Q20+S20</f>
        <v>#DIV/0!</v>
      </c>
      <c r="U20" s="24">
        <f>S20*$D$12</f>
        <v>0</v>
      </c>
      <c r="V20" s="24" t="e">
        <f>Q20*$D$12</f>
        <v>#DIV/0!</v>
      </c>
      <c r="W20" s="38" t="e">
        <f>T20*$D$12</f>
        <v>#DIV/0!</v>
      </c>
      <c r="X20" s="9">
        <v>0</v>
      </c>
      <c r="Y20" s="9">
        <v>0</v>
      </c>
      <c r="Z20" s="38" t="e">
        <f t="shared" ref="Z20:Z44" si="1">B20+W20+X20+Y20</f>
        <v>#DIV/0!</v>
      </c>
    </row>
    <row r="21" spans="1:27" x14ac:dyDescent="0.25">
      <c r="A21" s="506" t="s">
        <v>140</v>
      </c>
      <c r="B21" s="4"/>
      <c r="C21" s="64"/>
      <c r="D21" s="64"/>
      <c r="E21" s="64"/>
      <c r="F21" s="185" t="e">
        <f>'Percent-Soil-Carbon-Content'!M5*'Soil-errosion2'!M5</f>
        <v>#DIV/0!</v>
      </c>
      <c r="G21" s="185" t="e">
        <f>'Percent-Soil-Carbon-Content'!X5*'Soil-errosion2'!Y5</f>
        <v>#DIV/0!</v>
      </c>
      <c r="H21" s="185" t="e">
        <f>'Percent-Soil-Carbon-Content'!AI5*'Soil-errosion2'!AK5</f>
        <v>#DIV/0!</v>
      </c>
      <c r="I21" s="185" t="e">
        <f>SUMPRODUCT(F21:H21,'Soil-loss-in-abundoned lands'!D4:F4)</f>
        <v>#DIV/0!</v>
      </c>
      <c r="J21" s="185" t="e">
        <f t="shared" ref="J21:L43" si="2">F21</f>
        <v>#DIV/0!</v>
      </c>
      <c r="K21" s="185" t="e">
        <f t="shared" si="0"/>
        <v>#DIV/0!</v>
      </c>
      <c r="L21" s="185" t="e">
        <f t="shared" si="0"/>
        <v>#DIV/0!</v>
      </c>
      <c r="M21" s="185" t="e">
        <f>SUMPRODUCT(J21:L21,'Soil-loss-in-abundoned lands'!D4:F4)</f>
        <v>#DIV/0!</v>
      </c>
      <c r="N21" s="570" t="e">
        <f>J21*'Soil-loss-in-abundoned lands'!$C4*'Soil-loss-in-abundoned lands'!D4</f>
        <v>#DIV/0!</v>
      </c>
      <c r="O21" s="570" t="e">
        <f>K21*'Soil-loss-in-abundoned lands'!$C4*'Soil-loss-in-abundoned lands'!E4</f>
        <v>#DIV/0!</v>
      </c>
      <c r="P21" s="570" t="e">
        <f>L21*'Soil-loss-in-abundoned lands'!$C4*'Soil-loss-in-abundoned lands'!F4</f>
        <v>#DIV/0!</v>
      </c>
      <c r="Q21" s="571" t="e">
        <f t="shared" ref="Q21:Q43" si="3">SUM(N21:P21)</f>
        <v>#DIV/0!</v>
      </c>
      <c r="R21" s="496">
        <v>0</v>
      </c>
      <c r="S21" s="350">
        <f t="shared" ref="S21:S43" si="4">1000*R21*$T$15/1000000</f>
        <v>0</v>
      </c>
      <c r="T21" s="24" t="e">
        <f t="shared" ref="T21:T43" si="5">Q21+S21</f>
        <v>#DIV/0!</v>
      </c>
      <c r="U21" s="24">
        <f t="shared" ref="U21:U43" si="6">S21*$D$12</f>
        <v>0</v>
      </c>
      <c r="V21" s="24" t="e">
        <f t="shared" ref="V21:V43" si="7">Q21*$D$12</f>
        <v>#DIV/0!</v>
      </c>
      <c r="W21" s="38" t="e">
        <f t="shared" ref="W21:W43" si="8">T21*$D$12</f>
        <v>#DIV/0!</v>
      </c>
      <c r="X21" s="9">
        <v>0</v>
      </c>
      <c r="Y21" s="9">
        <v>0</v>
      </c>
      <c r="Z21" s="38" t="e">
        <f t="shared" si="1"/>
        <v>#DIV/0!</v>
      </c>
    </row>
    <row r="22" spans="1:27" x14ac:dyDescent="0.25">
      <c r="A22" s="506" t="s">
        <v>141</v>
      </c>
      <c r="B22" s="4"/>
      <c r="C22" s="64"/>
      <c r="D22" s="64"/>
      <c r="E22" s="64"/>
      <c r="F22" s="185" t="e">
        <f>'Percent-Soil-Carbon-Content'!M6*'Soil-errosion2'!M6</f>
        <v>#DIV/0!</v>
      </c>
      <c r="G22" s="185" t="e">
        <f>'Percent-Soil-Carbon-Content'!X6*'Soil-errosion2'!Y6</f>
        <v>#DIV/0!</v>
      </c>
      <c r="H22" s="185" t="e">
        <f>'Percent-Soil-Carbon-Content'!AI6*'Soil-errosion2'!AK6</f>
        <v>#DIV/0!</v>
      </c>
      <c r="I22" s="185" t="e">
        <f>SUMPRODUCT(F22:H22,'Soil-loss-in-abundoned lands'!D5:F5)</f>
        <v>#DIV/0!</v>
      </c>
      <c r="J22" s="185" t="e">
        <f t="shared" si="2"/>
        <v>#DIV/0!</v>
      </c>
      <c r="K22" s="185" t="e">
        <f t="shared" si="0"/>
        <v>#DIV/0!</v>
      </c>
      <c r="L22" s="185" t="e">
        <f t="shared" si="0"/>
        <v>#DIV/0!</v>
      </c>
      <c r="M22" s="185" t="e">
        <f>SUMPRODUCT(J22:L22,'Soil-loss-in-abundoned lands'!D5:F5)</f>
        <v>#DIV/0!</v>
      </c>
      <c r="N22" s="570" t="e">
        <f>J22*'Soil-loss-in-abundoned lands'!$C5*'Soil-loss-in-abundoned lands'!D5</f>
        <v>#DIV/0!</v>
      </c>
      <c r="O22" s="570" t="e">
        <f>K22*'Soil-loss-in-abundoned lands'!$C5*'Soil-loss-in-abundoned lands'!E5</f>
        <v>#DIV/0!</v>
      </c>
      <c r="P22" s="570" t="e">
        <f>L22*'Soil-loss-in-abundoned lands'!$C5*'Soil-loss-in-abundoned lands'!F5</f>
        <v>#DIV/0!</v>
      </c>
      <c r="Q22" s="571" t="e">
        <f t="shared" si="3"/>
        <v>#DIV/0!</v>
      </c>
      <c r="R22" s="496">
        <v>0</v>
      </c>
      <c r="S22" s="350">
        <f t="shared" si="4"/>
        <v>0</v>
      </c>
      <c r="T22" s="24" t="e">
        <f t="shared" si="5"/>
        <v>#DIV/0!</v>
      </c>
      <c r="U22" s="24">
        <f t="shared" si="6"/>
        <v>0</v>
      </c>
      <c r="V22" s="24" t="e">
        <f t="shared" si="7"/>
        <v>#DIV/0!</v>
      </c>
      <c r="W22" s="38" t="e">
        <f t="shared" si="8"/>
        <v>#DIV/0!</v>
      </c>
      <c r="X22" s="9">
        <v>0</v>
      </c>
      <c r="Y22" s="9">
        <v>0</v>
      </c>
      <c r="Z22" s="38" t="e">
        <f t="shared" si="1"/>
        <v>#DIV/0!</v>
      </c>
    </row>
    <row r="23" spans="1:27" x14ac:dyDescent="0.25">
      <c r="A23" s="506" t="s">
        <v>142</v>
      </c>
      <c r="B23" s="4"/>
      <c r="C23" s="64"/>
      <c r="D23" s="64"/>
      <c r="E23" s="64"/>
      <c r="F23" s="185" t="e">
        <f>'Percent-Soil-Carbon-Content'!M7*'Soil-errosion2'!M7</f>
        <v>#DIV/0!</v>
      </c>
      <c r="G23" s="185" t="e">
        <f>'Percent-Soil-Carbon-Content'!X7*'Soil-errosion2'!Y7</f>
        <v>#DIV/0!</v>
      </c>
      <c r="H23" s="185" t="e">
        <f>'Percent-Soil-Carbon-Content'!AI7*'Soil-errosion2'!AK7</f>
        <v>#DIV/0!</v>
      </c>
      <c r="I23" s="185" t="e">
        <f>SUMPRODUCT(F23:H23,'Soil-loss-in-abundoned lands'!D6:F6)</f>
        <v>#DIV/0!</v>
      </c>
      <c r="J23" s="185" t="e">
        <f t="shared" si="2"/>
        <v>#DIV/0!</v>
      </c>
      <c r="K23" s="185" t="e">
        <f t="shared" si="0"/>
        <v>#DIV/0!</v>
      </c>
      <c r="L23" s="185" t="e">
        <f t="shared" si="0"/>
        <v>#DIV/0!</v>
      </c>
      <c r="M23" s="185" t="e">
        <f>SUMPRODUCT(J23:L23,'Soil-loss-in-abundoned lands'!D6:F6)</f>
        <v>#DIV/0!</v>
      </c>
      <c r="N23" s="570" t="e">
        <f>J23*'Soil-loss-in-abundoned lands'!$C6*'Soil-loss-in-abundoned lands'!D6</f>
        <v>#DIV/0!</v>
      </c>
      <c r="O23" s="570" t="e">
        <f>K23*'Soil-loss-in-abundoned lands'!$C6*'Soil-loss-in-abundoned lands'!E6</f>
        <v>#DIV/0!</v>
      </c>
      <c r="P23" s="570" t="e">
        <f>L23*'Soil-loss-in-abundoned lands'!$C6*'Soil-loss-in-abundoned lands'!F6</f>
        <v>#DIV/0!</v>
      </c>
      <c r="Q23" s="571" t="e">
        <f t="shared" si="3"/>
        <v>#DIV/0!</v>
      </c>
      <c r="R23" s="496">
        <v>0</v>
      </c>
      <c r="S23" s="350">
        <f t="shared" si="4"/>
        <v>0</v>
      </c>
      <c r="T23" s="24" t="e">
        <f t="shared" si="5"/>
        <v>#DIV/0!</v>
      </c>
      <c r="U23" s="24">
        <f t="shared" si="6"/>
        <v>0</v>
      </c>
      <c r="V23" s="24" t="e">
        <f t="shared" si="7"/>
        <v>#DIV/0!</v>
      </c>
      <c r="W23" s="38" t="e">
        <f t="shared" si="8"/>
        <v>#DIV/0!</v>
      </c>
      <c r="X23" s="9">
        <v>0</v>
      </c>
      <c r="Y23" s="9">
        <v>0</v>
      </c>
      <c r="Z23" s="38" t="e">
        <f t="shared" si="1"/>
        <v>#DIV/0!</v>
      </c>
    </row>
    <row r="24" spans="1:27" x14ac:dyDescent="0.25">
      <c r="A24" s="506" t="s">
        <v>143</v>
      </c>
      <c r="B24" s="4"/>
      <c r="C24" s="64"/>
      <c r="D24" s="64"/>
      <c r="E24" s="64"/>
      <c r="F24" s="185" t="e">
        <f>'Percent-Soil-Carbon-Content'!M8*'Soil-errosion2'!M8</f>
        <v>#DIV/0!</v>
      </c>
      <c r="G24" s="185" t="e">
        <f>'Percent-Soil-Carbon-Content'!X8*'Soil-errosion2'!Y8</f>
        <v>#DIV/0!</v>
      </c>
      <c r="H24" s="185" t="e">
        <f>'Percent-Soil-Carbon-Content'!AI8*'Soil-errosion2'!AK8</f>
        <v>#DIV/0!</v>
      </c>
      <c r="I24" s="185" t="e">
        <f>SUMPRODUCT(F24:H24,'Soil-loss-in-abundoned lands'!D7:F7)</f>
        <v>#DIV/0!</v>
      </c>
      <c r="J24" s="185" t="e">
        <f t="shared" si="2"/>
        <v>#DIV/0!</v>
      </c>
      <c r="K24" s="185" t="e">
        <f t="shared" si="0"/>
        <v>#DIV/0!</v>
      </c>
      <c r="L24" s="185" t="e">
        <f t="shared" si="0"/>
        <v>#DIV/0!</v>
      </c>
      <c r="M24" s="185" t="e">
        <f>SUMPRODUCT(J24:L24,'Soil-loss-in-abundoned lands'!D7:F7)</f>
        <v>#DIV/0!</v>
      </c>
      <c r="N24" s="570" t="e">
        <f>J24*'Soil-loss-in-abundoned lands'!$C7*'Soil-loss-in-abundoned lands'!D7</f>
        <v>#DIV/0!</v>
      </c>
      <c r="O24" s="570" t="e">
        <f>K24*'Soil-loss-in-abundoned lands'!$C7*'Soil-loss-in-abundoned lands'!E7</f>
        <v>#DIV/0!</v>
      </c>
      <c r="P24" s="570" t="e">
        <f>L24*'Soil-loss-in-abundoned lands'!$C7*'Soil-loss-in-abundoned lands'!F7</f>
        <v>#DIV/0!</v>
      </c>
      <c r="Q24" s="571" t="e">
        <f t="shared" si="3"/>
        <v>#DIV/0!</v>
      </c>
      <c r="R24" s="496">
        <v>0</v>
      </c>
      <c r="S24" s="350">
        <f t="shared" si="4"/>
        <v>0</v>
      </c>
      <c r="T24" s="24" t="e">
        <f t="shared" si="5"/>
        <v>#DIV/0!</v>
      </c>
      <c r="U24" s="24">
        <f t="shared" si="6"/>
        <v>0</v>
      </c>
      <c r="V24" s="24" t="e">
        <f t="shared" si="7"/>
        <v>#DIV/0!</v>
      </c>
      <c r="W24" s="38" t="e">
        <f t="shared" si="8"/>
        <v>#DIV/0!</v>
      </c>
      <c r="X24" s="9">
        <v>0</v>
      </c>
      <c r="Y24" s="9">
        <v>0</v>
      </c>
      <c r="Z24" s="38" t="e">
        <f t="shared" si="1"/>
        <v>#DIV/0!</v>
      </c>
    </row>
    <row r="25" spans="1:27" x14ac:dyDescent="0.25">
      <c r="A25" s="506" t="s">
        <v>144</v>
      </c>
      <c r="B25" s="4"/>
      <c r="C25" s="64"/>
      <c r="D25" s="64"/>
      <c r="E25" s="64"/>
      <c r="F25" s="185" t="e">
        <f>'Percent-Soil-Carbon-Content'!M9*'Soil-errosion2'!M9</f>
        <v>#DIV/0!</v>
      </c>
      <c r="G25" s="185" t="e">
        <f>'Percent-Soil-Carbon-Content'!X9*'Soil-errosion2'!Y9</f>
        <v>#DIV/0!</v>
      </c>
      <c r="H25" s="185" t="e">
        <f>'Percent-Soil-Carbon-Content'!AI9*'Soil-errosion2'!AK9</f>
        <v>#DIV/0!</v>
      </c>
      <c r="I25" s="185" t="e">
        <f>SUMPRODUCT(F25:H25,'Soil-loss-in-abundoned lands'!D8:F8)</f>
        <v>#DIV/0!</v>
      </c>
      <c r="J25" s="185" t="e">
        <f t="shared" si="2"/>
        <v>#DIV/0!</v>
      </c>
      <c r="K25" s="185" t="e">
        <f t="shared" si="0"/>
        <v>#DIV/0!</v>
      </c>
      <c r="L25" s="185" t="e">
        <f t="shared" si="0"/>
        <v>#DIV/0!</v>
      </c>
      <c r="M25" s="185" t="e">
        <f>SUMPRODUCT(J25:L25,'Soil-loss-in-abundoned lands'!D8:F8)</f>
        <v>#DIV/0!</v>
      </c>
      <c r="N25" s="570" t="e">
        <f>J25*'Soil-loss-in-abundoned lands'!$C8*'Soil-loss-in-abundoned lands'!D8</f>
        <v>#DIV/0!</v>
      </c>
      <c r="O25" s="570" t="e">
        <f>K25*'Soil-loss-in-abundoned lands'!$C8*'Soil-loss-in-abundoned lands'!E8</f>
        <v>#DIV/0!</v>
      </c>
      <c r="P25" s="570" t="e">
        <f>L25*'Soil-loss-in-abundoned lands'!$C8*'Soil-loss-in-abundoned lands'!F8</f>
        <v>#DIV/0!</v>
      </c>
      <c r="Q25" s="571" t="e">
        <f t="shared" si="3"/>
        <v>#DIV/0!</v>
      </c>
      <c r="R25" s="496">
        <v>0</v>
      </c>
      <c r="S25" s="350">
        <f t="shared" si="4"/>
        <v>0</v>
      </c>
      <c r="T25" s="24" t="e">
        <f t="shared" si="5"/>
        <v>#DIV/0!</v>
      </c>
      <c r="U25" s="24">
        <f t="shared" si="6"/>
        <v>0</v>
      </c>
      <c r="V25" s="24" t="e">
        <f t="shared" si="7"/>
        <v>#DIV/0!</v>
      </c>
      <c r="W25" s="38" t="e">
        <f t="shared" si="8"/>
        <v>#DIV/0!</v>
      </c>
      <c r="X25" s="9">
        <v>0</v>
      </c>
      <c r="Y25" s="9">
        <v>0</v>
      </c>
      <c r="Z25" s="38" t="e">
        <f t="shared" si="1"/>
        <v>#DIV/0!</v>
      </c>
    </row>
    <row r="26" spans="1:27" x14ac:dyDescent="0.25">
      <c r="A26" s="506" t="s">
        <v>145</v>
      </c>
      <c r="B26" s="4"/>
      <c r="C26" s="64"/>
      <c r="D26" s="64"/>
      <c r="E26" s="64"/>
      <c r="F26" s="185" t="e">
        <f>'Percent-Soil-Carbon-Content'!M10*'Soil-errosion2'!M10</f>
        <v>#DIV/0!</v>
      </c>
      <c r="G26" s="185" t="e">
        <f>'Percent-Soil-Carbon-Content'!X10*'Soil-errosion2'!Y10</f>
        <v>#DIV/0!</v>
      </c>
      <c r="H26" s="185" t="e">
        <f>'Percent-Soil-Carbon-Content'!AI10*'Soil-errosion2'!AK10</f>
        <v>#DIV/0!</v>
      </c>
      <c r="I26" s="185" t="e">
        <f>SUMPRODUCT(F26:H26,'Soil-loss-in-abundoned lands'!D9:F9)</f>
        <v>#DIV/0!</v>
      </c>
      <c r="J26" s="185" t="e">
        <f t="shared" si="2"/>
        <v>#DIV/0!</v>
      </c>
      <c r="K26" s="185" t="e">
        <f t="shared" si="0"/>
        <v>#DIV/0!</v>
      </c>
      <c r="L26" s="185" t="e">
        <f t="shared" si="0"/>
        <v>#DIV/0!</v>
      </c>
      <c r="M26" s="185" t="e">
        <f>SUMPRODUCT(J26:L26,'Soil-loss-in-abundoned lands'!D9:F9)</f>
        <v>#DIV/0!</v>
      </c>
      <c r="N26" s="570" t="e">
        <f>J26*'Soil-loss-in-abundoned lands'!$C9*'Soil-loss-in-abundoned lands'!D9</f>
        <v>#DIV/0!</v>
      </c>
      <c r="O26" s="570" t="e">
        <f>K26*'Soil-loss-in-abundoned lands'!$C9*'Soil-loss-in-abundoned lands'!E9</f>
        <v>#DIV/0!</v>
      </c>
      <c r="P26" s="570" t="e">
        <f>L26*'Soil-loss-in-abundoned lands'!$C9*'Soil-loss-in-abundoned lands'!F9</f>
        <v>#DIV/0!</v>
      </c>
      <c r="Q26" s="571" t="e">
        <f t="shared" si="3"/>
        <v>#DIV/0!</v>
      </c>
      <c r="R26" s="496">
        <v>0</v>
      </c>
      <c r="S26" s="350">
        <f t="shared" si="4"/>
        <v>0</v>
      </c>
      <c r="T26" s="24" t="e">
        <f t="shared" si="5"/>
        <v>#DIV/0!</v>
      </c>
      <c r="U26" s="24">
        <f t="shared" si="6"/>
        <v>0</v>
      </c>
      <c r="V26" s="24" t="e">
        <f t="shared" si="7"/>
        <v>#DIV/0!</v>
      </c>
      <c r="W26" s="38" t="e">
        <f t="shared" si="8"/>
        <v>#DIV/0!</v>
      </c>
      <c r="X26" s="9">
        <v>0</v>
      </c>
      <c r="Y26" s="9">
        <v>0</v>
      </c>
      <c r="Z26" s="38" t="e">
        <f t="shared" si="1"/>
        <v>#DIV/0!</v>
      </c>
    </row>
    <row r="27" spans="1:27" x14ac:dyDescent="0.25">
      <c r="A27" s="506" t="s">
        <v>146</v>
      </c>
      <c r="B27" s="4"/>
      <c r="C27" s="64"/>
      <c r="D27" s="64"/>
      <c r="E27" s="64"/>
      <c r="F27" s="185" t="e">
        <f>'Percent-Soil-Carbon-Content'!M11*'Soil-errosion2'!M11</f>
        <v>#DIV/0!</v>
      </c>
      <c r="G27" s="185" t="e">
        <f>'Percent-Soil-Carbon-Content'!X11*'Soil-errosion2'!Y11</f>
        <v>#DIV/0!</v>
      </c>
      <c r="H27" s="185" t="e">
        <f>'Percent-Soil-Carbon-Content'!AI11*'Soil-errosion2'!AK11</f>
        <v>#DIV/0!</v>
      </c>
      <c r="I27" s="185" t="e">
        <f>SUMPRODUCT(F27:H27,'Soil-loss-in-abundoned lands'!D10:F10)</f>
        <v>#DIV/0!</v>
      </c>
      <c r="J27" s="185" t="e">
        <f t="shared" si="2"/>
        <v>#DIV/0!</v>
      </c>
      <c r="K27" s="185" t="e">
        <f t="shared" si="0"/>
        <v>#DIV/0!</v>
      </c>
      <c r="L27" s="185" t="e">
        <f t="shared" si="0"/>
        <v>#DIV/0!</v>
      </c>
      <c r="M27" s="185" t="e">
        <f>SUMPRODUCT(J27:L27,'Soil-loss-in-abundoned lands'!D10:F10)</f>
        <v>#DIV/0!</v>
      </c>
      <c r="N27" s="570" t="e">
        <f>J27*'Soil-loss-in-abundoned lands'!$C10*'Soil-loss-in-abundoned lands'!D10</f>
        <v>#DIV/0!</v>
      </c>
      <c r="O27" s="570" t="e">
        <f>K27*'Soil-loss-in-abundoned lands'!$C10*'Soil-loss-in-abundoned lands'!E10</f>
        <v>#DIV/0!</v>
      </c>
      <c r="P27" s="570" t="e">
        <f>L27*'Soil-loss-in-abundoned lands'!$C10*'Soil-loss-in-abundoned lands'!F10</f>
        <v>#DIV/0!</v>
      </c>
      <c r="Q27" s="571" t="e">
        <f t="shared" si="3"/>
        <v>#DIV/0!</v>
      </c>
      <c r="R27" s="496">
        <v>0</v>
      </c>
      <c r="S27" s="350">
        <f t="shared" si="4"/>
        <v>0</v>
      </c>
      <c r="T27" s="24" t="e">
        <f t="shared" si="5"/>
        <v>#DIV/0!</v>
      </c>
      <c r="U27" s="24">
        <f t="shared" si="6"/>
        <v>0</v>
      </c>
      <c r="V27" s="24" t="e">
        <f t="shared" si="7"/>
        <v>#DIV/0!</v>
      </c>
      <c r="W27" s="38" t="e">
        <f t="shared" si="8"/>
        <v>#DIV/0!</v>
      </c>
      <c r="X27" s="9">
        <v>0</v>
      </c>
      <c r="Y27" s="9">
        <v>0</v>
      </c>
      <c r="Z27" s="38" t="e">
        <f t="shared" si="1"/>
        <v>#DIV/0!</v>
      </c>
    </row>
    <row r="28" spans="1:27" x14ac:dyDescent="0.25">
      <c r="A28" s="506" t="s">
        <v>147</v>
      </c>
      <c r="B28" s="4"/>
      <c r="C28" s="64"/>
      <c r="D28" s="64"/>
      <c r="E28" s="64"/>
      <c r="F28" s="185" t="e">
        <f>'Percent-Soil-Carbon-Content'!M12*'Soil-errosion2'!M12</f>
        <v>#DIV/0!</v>
      </c>
      <c r="G28" s="185" t="e">
        <f>'Percent-Soil-Carbon-Content'!X12*'Soil-errosion2'!Y12</f>
        <v>#DIV/0!</v>
      </c>
      <c r="H28" s="185" t="e">
        <f>'Percent-Soil-Carbon-Content'!AI12*'Soil-errosion2'!AK12</f>
        <v>#DIV/0!</v>
      </c>
      <c r="I28" s="185" t="e">
        <f>SUMPRODUCT(F28:H28,'Soil-loss-in-abundoned lands'!D11:F11)</f>
        <v>#DIV/0!</v>
      </c>
      <c r="J28" s="185" t="e">
        <f t="shared" si="2"/>
        <v>#DIV/0!</v>
      </c>
      <c r="K28" s="185" t="e">
        <f t="shared" si="0"/>
        <v>#DIV/0!</v>
      </c>
      <c r="L28" s="185" t="e">
        <f t="shared" si="0"/>
        <v>#DIV/0!</v>
      </c>
      <c r="M28" s="185" t="e">
        <f>SUMPRODUCT(J28:L28,'Soil-loss-in-abundoned lands'!D11:F11)</f>
        <v>#DIV/0!</v>
      </c>
      <c r="N28" s="570" t="e">
        <f>J28*'Soil-loss-in-abundoned lands'!$C11*'Soil-loss-in-abundoned lands'!D11</f>
        <v>#DIV/0!</v>
      </c>
      <c r="O28" s="570" t="e">
        <f>K28*'Soil-loss-in-abundoned lands'!$C11*'Soil-loss-in-abundoned lands'!E11</f>
        <v>#DIV/0!</v>
      </c>
      <c r="P28" s="570" t="e">
        <f>L28*'Soil-loss-in-abundoned lands'!$C11*'Soil-loss-in-abundoned lands'!F11</f>
        <v>#DIV/0!</v>
      </c>
      <c r="Q28" s="571" t="e">
        <f t="shared" si="3"/>
        <v>#DIV/0!</v>
      </c>
      <c r="R28" s="496">
        <v>0</v>
      </c>
      <c r="S28" s="350">
        <f t="shared" si="4"/>
        <v>0</v>
      </c>
      <c r="T28" s="24" t="e">
        <f t="shared" si="5"/>
        <v>#DIV/0!</v>
      </c>
      <c r="U28" s="24">
        <f t="shared" si="6"/>
        <v>0</v>
      </c>
      <c r="V28" s="24" t="e">
        <f t="shared" si="7"/>
        <v>#DIV/0!</v>
      </c>
      <c r="W28" s="38" t="e">
        <f t="shared" si="8"/>
        <v>#DIV/0!</v>
      </c>
      <c r="X28" s="9">
        <v>0</v>
      </c>
      <c r="Y28" s="9">
        <v>0</v>
      </c>
      <c r="Z28" s="38" t="e">
        <f t="shared" si="1"/>
        <v>#DIV/0!</v>
      </c>
    </row>
    <row r="29" spans="1:27" x14ac:dyDescent="0.25">
      <c r="A29" s="506" t="s">
        <v>148</v>
      </c>
      <c r="B29" s="4"/>
      <c r="C29" s="64"/>
      <c r="D29" s="64"/>
      <c r="E29" s="64"/>
      <c r="F29" s="185" t="e">
        <f>'Percent-Soil-Carbon-Content'!M13*'Soil-errosion2'!M13</f>
        <v>#DIV/0!</v>
      </c>
      <c r="G29" s="185" t="e">
        <f>'Percent-Soil-Carbon-Content'!X13*'Soil-errosion2'!Y13</f>
        <v>#DIV/0!</v>
      </c>
      <c r="H29" s="185" t="e">
        <f>'Percent-Soil-Carbon-Content'!AI13*'Soil-errosion2'!AK13</f>
        <v>#DIV/0!</v>
      </c>
      <c r="I29" s="185" t="e">
        <f>SUMPRODUCT(F29:H29,'Soil-loss-in-abundoned lands'!D12:F12)</f>
        <v>#DIV/0!</v>
      </c>
      <c r="J29" s="185" t="e">
        <f t="shared" si="2"/>
        <v>#DIV/0!</v>
      </c>
      <c r="K29" s="185" t="e">
        <f t="shared" si="0"/>
        <v>#DIV/0!</v>
      </c>
      <c r="L29" s="185" t="e">
        <f t="shared" si="0"/>
        <v>#DIV/0!</v>
      </c>
      <c r="M29" s="185" t="e">
        <f>SUMPRODUCT(J29:L29,'Soil-loss-in-abundoned lands'!D12:F12)</f>
        <v>#DIV/0!</v>
      </c>
      <c r="N29" s="570" t="e">
        <f>J29*'Soil-loss-in-abundoned lands'!$C12*'Soil-loss-in-abundoned lands'!D12</f>
        <v>#DIV/0!</v>
      </c>
      <c r="O29" s="570" t="e">
        <f>K29*'Soil-loss-in-abundoned lands'!$C12*'Soil-loss-in-abundoned lands'!E12</f>
        <v>#DIV/0!</v>
      </c>
      <c r="P29" s="570" t="e">
        <f>L29*'Soil-loss-in-abundoned lands'!$C12*'Soil-loss-in-abundoned lands'!F12</f>
        <v>#DIV/0!</v>
      </c>
      <c r="Q29" s="571" t="e">
        <f t="shared" si="3"/>
        <v>#DIV/0!</v>
      </c>
      <c r="R29" s="496">
        <v>0</v>
      </c>
      <c r="S29" s="350">
        <f t="shared" si="4"/>
        <v>0</v>
      </c>
      <c r="T29" s="24" t="e">
        <f t="shared" si="5"/>
        <v>#DIV/0!</v>
      </c>
      <c r="U29" s="24">
        <f t="shared" si="6"/>
        <v>0</v>
      </c>
      <c r="V29" s="24" t="e">
        <f t="shared" si="7"/>
        <v>#DIV/0!</v>
      </c>
      <c r="W29" s="38" t="e">
        <f t="shared" si="8"/>
        <v>#DIV/0!</v>
      </c>
      <c r="X29" s="9">
        <v>0</v>
      </c>
      <c r="Y29" s="9">
        <v>0</v>
      </c>
      <c r="Z29" s="38" t="e">
        <f t="shared" si="1"/>
        <v>#DIV/0!</v>
      </c>
    </row>
    <row r="30" spans="1:27" x14ac:dyDescent="0.25">
      <c r="A30" s="506" t="s">
        <v>149</v>
      </c>
      <c r="B30" s="4"/>
      <c r="C30" s="64"/>
      <c r="D30" s="64"/>
      <c r="E30" s="64"/>
      <c r="F30" s="185" t="e">
        <f>'Percent-Soil-Carbon-Content'!M14*'Soil-errosion2'!M14</f>
        <v>#DIV/0!</v>
      </c>
      <c r="G30" s="185" t="e">
        <f>'Percent-Soil-Carbon-Content'!X14*'Soil-errosion2'!Y14</f>
        <v>#DIV/0!</v>
      </c>
      <c r="H30" s="185" t="e">
        <f>'Percent-Soil-Carbon-Content'!AI14*'Soil-errosion2'!AK14</f>
        <v>#DIV/0!</v>
      </c>
      <c r="I30" s="185" t="e">
        <f>SUMPRODUCT(F30:H30,'Soil-loss-in-abundoned lands'!D13:F13)</f>
        <v>#DIV/0!</v>
      </c>
      <c r="J30" s="185" t="e">
        <f t="shared" si="2"/>
        <v>#DIV/0!</v>
      </c>
      <c r="K30" s="185" t="e">
        <f t="shared" si="0"/>
        <v>#DIV/0!</v>
      </c>
      <c r="L30" s="185" t="e">
        <f t="shared" si="0"/>
        <v>#DIV/0!</v>
      </c>
      <c r="M30" s="185" t="e">
        <f>SUMPRODUCT(J30:L30,'Soil-loss-in-abundoned lands'!D13:F13)</f>
        <v>#DIV/0!</v>
      </c>
      <c r="N30" s="570" t="e">
        <f>J30*'Soil-loss-in-abundoned lands'!$C13*'Soil-loss-in-abundoned lands'!D13</f>
        <v>#DIV/0!</v>
      </c>
      <c r="O30" s="570" t="e">
        <f>K30*'Soil-loss-in-abundoned lands'!$C13*'Soil-loss-in-abundoned lands'!E13</f>
        <v>#DIV/0!</v>
      </c>
      <c r="P30" s="570" t="e">
        <f>L30*'Soil-loss-in-abundoned lands'!$C13*'Soil-loss-in-abundoned lands'!F13</f>
        <v>#DIV/0!</v>
      </c>
      <c r="Q30" s="571" t="e">
        <f t="shared" si="3"/>
        <v>#DIV/0!</v>
      </c>
      <c r="R30" s="496">
        <v>0</v>
      </c>
      <c r="S30" s="350">
        <f t="shared" si="4"/>
        <v>0</v>
      </c>
      <c r="T30" s="24" t="e">
        <f t="shared" si="5"/>
        <v>#DIV/0!</v>
      </c>
      <c r="U30" s="24">
        <f t="shared" si="6"/>
        <v>0</v>
      </c>
      <c r="V30" s="24" t="e">
        <f t="shared" si="7"/>
        <v>#DIV/0!</v>
      </c>
      <c r="W30" s="38" t="e">
        <f t="shared" si="8"/>
        <v>#DIV/0!</v>
      </c>
      <c r="X30" s="9">
        <v>0</v>
      </c>
      <c r="Y30" s="9">
        <v>0</v>
      </c>
      <c r="Z30" s="38" t="e">
        <f t="shared" si="1"/>
        <v>#DIV/0!</v>
      </c>
    </row>
    <row r="31" spans="1:27" x14ac:dyDescent="0.25">
      <c r="A31" s="506" t="s">
        <v>150</v>
      </c>
      <c r="B31" s="4"/>
      <c r="C31" s="64"/>
      <c r="D31" s="64"/>
      <c r="E31" s="64"/>
      <c r="F31" s="185" t="e">
        <f>'Percent-Soil-Carbon-Content'!M15*'Soil-errosion2'!M15</f>
        <v>#DIV/0!</v>
      </c>
      <c r="G31" s="185" t="e">
        <f>'Percent-Soil-Carbon-Content'!X15*'Soil-errosion2'!Y15</f>
        <v>#DIV/0!</v>
      </c>
      <c r="H31" s="185" t="e">
        <f>'Percent-Soil-Carbon-Content'!AI15*'Soil-errosion2'!AK15</f>
        <v>#DIV/0!</v>
      </c>
      <c r="I31" s="185" t="e">
        <f>SUMPRODUCT(F31:H31,'Soil-loss-in-abundoned lands'!D14:F14)</f>
        <v>#DIV/0!</v>
      </c>
      <c r="J31" s="185" t="e">
        <f t="shared" si="2"/>
        <v>#DIV/0!</v>
      </c>
      <c r="K31" s="185" t="e">
        <f t="shared" si="0"/>
        <v>#DIV/0!</v>
      </c>
      <c r="L31" s="185" t="e">
        <f t="shared" si="0"/>
        <v>#DIV/0!</v>
      </c>
      <c r="M31" s="185" t="e">
        <f>SUMPRODUCT(J31:L31,'Soil-loss-in-abundoned lands'!D14:F14)</f>
        <v>#DIV/0!</v>
      </c>
      <c r="N31" s="570" t="e">
        <f>J31*'Soil-loss-in-abundoned lands'!$C14*'Soil-loss-in-abundoned lands'!D14</f>
        <v>#DIV/0!</v>
      </c>
      <c r="O31" s="570" t="e">
        <f>K31*'Soil-loss-in-abundoned lands'!$C14*'Soil-loss-in-abundoned lands'!E14</f>
        <v>#DIV/0!</v>
      </c>
      <c r="P31" s="570" t="e">
        <f>L31*'Soil-loss-in-abundoned lands'!$C14*'Soil-loss-in-abundoned lands'!F14</f>
        <v>#DIV/0!</v>
      </c>
      <c r="Q31" s="571" t="e">
        <f t="shared" si="3"/>
        <v>#DIV/0!</v>
      </c>
      <c r="R31" s="496">
        <v>0</v>
      </c>
      <c r="S31" s="350">
        <f t="shared" si="4"/>
        <v>0</v>
      </c>
      <c r="T31" s="24" t="e">
        <f t="shared" si="5"/>
        <v>#DIV/0!</v>
      </c>
      <c r="U31" s="24">
        <f t="shared" si="6"/>
        <v>0</v>
      </c>
      <c r="V31" s="24" t="e">
        <f t="shared" si="7"/>
        <v>#DIV/0!</v>
      </c>
      <c r="W31" s="38" t="e">
        <f t="shared" si="8"/>
        <v>#DIV/0!</v>
      </c>
      <c r="X31" s="9">
        <v>0</v>
      </c>
      <c r="Y31" s="9">
        <v>0</v>
      </c>
      <c r="Z31" s="38" t="e">
        <f t="shared" si="1"/>
        <v>#DIV/0!</v>
      </c>
    </row>
    <row r="32" spans="1:27" x14ac:dyDescent="0.25">
      <c r="A32" s="506" t="s">
        <v>151</v>
      </c>
      <c r="B32" s="4"/>
      <c r="C32" s="64"/>
      <c r="D32" s="64"/>
      <c r="E32" s="64"/>
      <c r="F32" s="185" t="e">
        <f>'Percent-Soil-Carbon-Content'!M16*'Soil-errosion2'!M16</f>
        <v>#DIV/0!</v>
      </c>
      <c r="G32" s="185" t="e">
        <f>'Percent-Soil-Carbon-Content'!X16*'Soil-errosion2'!Y16</f>
        <v>#DIV/0!</v>
      </c>
      <c r="H32" s="185" t="e">
        <f>'Percent-Soil-Carbon-Content'!AI16*'Soil-errosion2'!AK16</f>
        <v>#DIV/0!</v>
      </c>
      <c r="I32" s="185" t="e">
        <f>SUMPRODUCT(F32:H32,'Soil-loss-in-abundoned lands'!D15:F15)</f>
        <v>#DIV/0!</v>
      </c>
      <c r="J32" s="185" t="e">
        <f t="shared" si="2"/>
        <v>#DIV/0!</v>
      </c>
      <c r="K32" s="185" t="e">
        <f t="shared" si="0"/>
        <v>#DIV/0!</v>
      </c>
      <c r="L32" s="185" t="e">
        <f t="shared" si="0"/>
        <v>#DIV/0!</v>
      </c>
      <c r="M32" s="185" t="e">
        <f>SUMPRODUCT(J32:L32,'Soil-loss-in-abundoned lands'!D15:F15)</f>
        <v>#DIV/0!</v>
      </c>
      <c r="N32" s="570" t="e">
        <f>J32*'Soil-loss-in-abundoned lands'!$C15*'Soil-loss-in-abundoned lands'!D15</f>
        <v>#DIV/0!</v>
      </c>
      <c r="O32" s="570" t="e">
        <f>K32*'Soil-loss-in-abundoned lands'!$C15*'Soil-loss-in-abundoned lands'!E15</f>
        <v>#DIV/0!</v>
      </c>
      <c r="P32" s="570" t="e">
        <f>L32*'Soil-loss-in-abundoned lands'!$C15*'Soil-loss-in-abundoned lands'!F15</f>
        <v>#DIV/0!</v>
      </c>
      <c r="Q32" s="571" t="e">
        <f t="shared" si="3"/>
        <v>#DIV/0!</v>
      </c>
      <c r="R32" s="496">
        <v>0</v>
      </c>
      <c r="S32" s="350">
        <f t="shared" si="4"/>
        <v>0</v>
      </c>
      <c r="T32" s="24" t="e">
        <f t="shared" si="5"/>
        <v>#DIV/0!</v>
      </c>
      <c r="U32" s="24">
        <f t="shared" si="6"/>
        <v>0</v>
      </c>
      <c r="V32" s="24" t="e">
        <f t="shared" si="7"/>
        <v>#DIV/0!</v>
      </c>
      <c r="W32" s="38" t="e">
        <f t="shared" si="8"/>
        <v>#DIV/0!</v>
      </c>
      <c r="X32" s="9">
        <v>0</v>
      </c>
      <c r="Y32" s="9">
        <v>0</v>
      </c>
      <c r="Z32" s="38" t="e">
        <f t="shared" si="1"/>
        <v>#DIV/0!</v>
      </c>
    </row>
    <row r="33" spans="1:27" x14ac:dyDescent="0.25">
      <c r="A33" s="506" t="s">
        <v>152</v>
      </c>
      <c r="B33" s="4"/>
      <c r="C33" s="64"/>
      <c r="D33" s="64"/>
      <c r="E33" s="64"/>
      <c r="F33" s="185" t="e">
        <f>'Percent-Soil-Carbon-Content'!M17*'Soil-errosion2'!M17</f>
        <v>#DIV/0!</v>
      </c>
      <c r="G33" s="185" t="e">
        <f>'Percent-Soil-Carbon-Content'!X17*'Soil-errosion2'!Y17</f>
        <v>#DIV/0!</v>
      </c>
      <c r="H33" s="185" t="e">
        <f>'Percent-Soil-Carbon-Content'!AI17*'Soil-errosion2'!AK17</f>
        <v>#DIV/0!</v>
      </c>
      <c r="I33" s="185" t="e">
        <f>SUMPRODUCT(F33:H33,'Soil-loss-in-abundoned lands'!D16:F16)</f>
        <v>#DIV/0!</v>
      </c>
      <c r="J33" s="185" t="e">
        <f t="shared" si="2"/>
        <v>#DIV/0!</v>
      </c>
      <c r="K33" s="185" t="e">
        <f t="shared" si="0"/>
        <v>#DIV/0!</v>
      </c>
      <c r="L33" s="185" t="e">
        <f t="shared" si="0"/>
        <v>#DIV/0!</v>
      </c>
      <c r="M33" s="185" t="e">
        <f>SUMPRODUCT(J33:L33,'Soil-loss-in-abundoned lands'!D16:F16)</f>
        <v>#DIV/0!</v>
      </c>
      <c r="N33" s="570" t="e">
        <f>J33*'Soil-loss-in-abundoned lands'!$C16*'Soil-loss-in-abundoned lands'!D16</f>
        <v>#DIV/0!</v>
      </c>
      <c r="O33" s="570" t="e">
        <f>K33*'Soil-loss-in-abundoned lands'!$C16*'Soil-loss-in-abundoned lands'!E16</f>
        <v>#DIV/0!</v>
      </c>
      <c r="P33" s="570" t="e">
        <f>L33*'Soil-loss-in-abundoned lands'!$C16*'Soil-loss-in-abundoned lands'!F16</f>
        <v>#DIV/0!</v>
      </c>
      <c r="Q33" s="571" t="e">
        <f t="shared" si="3"/>
        <v>#DIV/0!</v>
      </c>
      <c r="R33" s="496">
        <v>0</v>
      </c>
      <c r="S33" s="350">
        <f t="shared" si="4"/>
        <v>0</v>
      </c>
      <c r="T33" s="24" t="e">
        <f t="shared" si="5"/>
        <v>#DIV/0!</v>
      </c>
      <c r="U33" s="24">
        <f t="shared" si="6"/>
        <v>0</v>
      </c>
      <c r="V33" s="24" t="e">
        <f t="shared" si="7"/>
        <v>#DIV/0!</v>
      </c>
      <c r="W33" s="38" t="e">
        <f t="shared" si="8"/>
        <v>#DIV/0!</v>
      </c>
      <c r="X33" s="9">
        <v>0</v>
      </c>
      <c r="Y33" s="9">
        <v>0</v>
      </c>
      <c r="Z33" s="38" t="e">
        <f t="shared" si="1"/>
        <v>#DIV/0!</v>
      </c>
    </row>
    <row r="34" spans="1:27" x14ac:dyDescent="0.25">
      <c r="A34" s="506" t="s">
        <v>153</v>
      </c>
      <c r="B34" s="4"/>
      <c r="C34" s="64"/>
      <c r="D34" s="64"/>
      <c r="E34" s="64"/>
      <c r="F34" s="185" t="e">
        <f>'Percent-Soil-Carbon-Content'!M18*'Soil-errosion2'!M18</f>
        <v>#DIV/0!</v>
      </c>
      <c r="G34" s="185" t="e">
        <f>'Percent-Soil-Carbon-Content'!X18*'Soil-errosion2'!Y18</f>
        <v>#DIV/0!</v>
      </c>
      <c r="H34" s="185" t="e">
        <f>'Percent-Soil-Carbon-Content'!AI18*'Soil-errosion2'!AK18</f>
        <v>#DIV/0!</v>
      </c>
      <c r="I34" s="185" t="e">
        <f>SUMPRODUCT(F34:H34,'Soil-loss-in-abundoned lands'!D17:F17)</f>
        <v>#DIV/0!</v>
      </c>
      <c r="J34" s="185" t="e">
        <f t="shared" si="2"/>
        <v>#DIV/0!</v>
      </c>
      <c r="K34" s="185" t="e">
        <f t="shared" si="0"/>
        <v>#DIV/0!</v>
      </c>
      <c r="L34" s="185" t="e">
        <f t="shared" si="0"/>
        <v>#DIV/0!</v>
      </c>
      <c r="M34" s="185" t="e">
        <f>SUMPRODUCT(J34:L34,'Soil-loss-in-abundoned lands'!D17:F17)</f>
        <v>#DIV/0!</v>
      </c>
      <c r="N34" s="570" t="e">
        <f>J34*'Soil-loss-in-abundoned lands'!$C17*'Soil-loss-in-abundoned lands'!D17</f>
        <v>#DIV/0!</v>
      </c>
      <c r="O34" s="570" t="e">
        <f>K34*'Soil-loss-in-abundoned lands'!$C17*'Soil-loss-in-abundoned lands'!E17</f>
        <v>#DIV/0!</v>
      </c>
      <c r="P34" s="570" t="e">
        <f>L34*'Soil-loss-in-abundoned lands'!$C17*'Soil-loss-in-abundoned lands'!F17</f>
        <v>#DIV/0!</v>
      </c>
      <c r="Q34" s="571" t="e">
        <f t="shared" si="3"/>
        <v>#DIV/0!</v>
      </c>
      <c r="R34" s="496">
        <v>0</v>
      </c>
      <c r="S34" s="350">
        <f t="shared" si="4"/>
        <v>0</v>
      </c>
      <c r="T34" s="24" t="e">
        <f t="shared" si="5"/>
        <v>#DIV/0!</v>
      </c>
      <c r="U34" s="24">
        <f t="shared" si="6"/>
        <v>0</v>
      </c>
      <c r="V34" s="24" t="e">
        <f t="shared" si="7"/>
        <v>#DIV/0!</v>
      </c>
      <c r="W34" s="38" t="e">
        <f t="shared" si="8"/>
        <v>#DIV/0!</v>
      </c>
      <c r="X34" s="9">
        <v>0</v>
      </c>
      <c r="Y34" s="9">
        <v>0</v>
      </c>
      <c r="Z34" s="38" t="e">
        <f t="shared" si="1"/>
        <v>#DIV/0!</v>
      </c>
    </row>
    <row r="35" spans="1:27" x14ac:dyDescent="0.25">
      <c r="A35" s="506" t="s">
        <v>154</v>
      </c>
      <c r="B35" s="4"/>
      <c r="C35" s="64"/>
      <c r="D35" s="64"/>
      <c r="E35" s="64"/>
      <c r="F35" s="185" t="e">
        <f>'Percent-Soil-Carbon-Content'!M19*'Soil-errosion2'!M19</f>
        <v>#DIV/0!</v>
      </c>
      <c r="G35" s="185" t="e">
        <f>'Percent-Soil-Carbon-Content'!X19*'Soil-errosion2'!Y19</f>
        <v>#DIV/0!</v>
      </c>
      <c r="H35" s="185" t="e">
        <f>'Percent-Soil-Carbon-Content'!AI19*'Soil-errosion2'!AK19</f>
        <v>#DIV/0!</v>
      </c>
      <c r="I35" s="185" t="e">
        <f>SUMPRODUCT(F35:H35,'Soil-loss-in-abundoned lands'!D18:F18)</f>
        <v>#DIV/0!</v>
      </c>
      <c r="J35" s="185" t="e">
        <f t="shared" si="2"/>
        <v>#DIV/0!</v>
      </c>
      <c r="K35" s="185" t="e">
        <f t="shared" si="0"/>
        <v>#DIV/0!</v>
      </c>
      <c r="L35" s="185" t="e">
        <f t="shared" si="0"/>
        <v>#DIV/0!</v>
      </c>
      <c r="M35" s="185" t="e">
        <f>SUMPRODUCT(J35:L35,'Soil-loss-in-abundoned lands'!D18:F18)</f>
        <v>#DIV/0!</v>
      </c>
      <c r="N35" s="570" t="e">
        <f>J35*'Soil-loss-in-abundoned lands'!$C18*'Soil-loss-in-abundoned lands'!D18</f>
        <v>#DIV/0!</v>
      </c>
      <c r="O35" s="570" t="e">
        <f>K35*'Soil-loss-in-abundoned lands'!$C18*'Soil-loss-in-abundoned lands'!E18</f>
        <v>#DIV/0!</v>
      </c>
      <c r="P35" s="570" t="e">
        <f>L35*'Soil-loss-in-abundoned lands'!$C18*'Soil-loss-in-abundoned lands'!F18</f>
        <v>#DIV/0!</v>
      </c>
      <c r="Q35" s="571" t="e">
        <f t="shared" si="3"/>
        <v>#DIV/0!</v>
      </c>
      <c r="R35" s="496">
        <v>0</v>
      </c>
      <c r="S35" s="350">
        <f t="shared" si="4"/>
        <v>0</v>
      </c>
      <c r="T35" s="24" t="e">
        <f t="shared" si="5"/>
        <v>#DIV/0!</v>
      </c>
      <c r="U35" s="24">
        <f t="shared" si="6"/>
        <v>0</v>
      </c>
      <c r="V35" s="24" t="e">
        <f t="shared" si="7"/>
        <v>#DIV/0!</v>
      </c>
      <c r="W35" s="38" t="e">
        <f t="shared" si="8"/>
        <v>#DIV/0!</v>
      </c>
      <c r="X35" s="9">
        <v>0</v>
      </c>
      <c r="Y35" s="9">
        <v>0</v>
      </c>
      <c r="Z35" s="38" t="e">
        <f t="shared" si="1"/>
        <v>#DIV/0!</v>
      </c>
    </row>
    <row r="36" spans="1:27" x14ac:dyDescent="0.25">
      <c r="A36" s="506" t="s">
        <v>155</v>
      </c>
      <c r="B36" s="4"/>
      <c r="C36" s="64"/>
      <c r="D36" s="64"/>
      <c r="E36" s="64"/>
      <c r="F36" s="185" t="e">
        <f>'Percent-Soil-Carbon-Content'!M20*'Soil-errosion2'!M20</f>
        <v>#DIV/0!</v>
      </c>
      <c r="G36" s="185" t="e">
        <f>'Percent-Soil-Carbon-Content'!X20*'Soil-errosion2'!Y20</f>
        <v>#DIV/0!</v>
      </c>
      <c r="H36" s="185" t="e">
        <f>'Percent-Soil-Carbon-Content'!AI20*'Soil-errosion2'!AK20</f>
        <v>#DIV/0!</v>
      </c>
      <c r="I36" s="185" t="e">
        <f>SUMPRODUCT(F36:H36,'Soil-loss-in-abundoned lands'!D19:F19)</f>
        <v>#DIV/0!</v>
      </c>
      <c r="J36" s="185" t="e">
        <f t="shared" si="2"/>
        <v>#DIV/0!</v>
      </c>
      <c r="K36" s="185" t="e">
        <f t="shared" si="2"/>
        <v>#DIV/0!</v>
      </c>
      <c r="L36" s="185" t="e">
        <f t="shared" si="2"/>
        <v>#DIV/0!</v>
      </c>
      <c r="M36" s="185" t="e">
        <f>SUMPRODUCT(J36:L36,'Soil-loss-in-abundoned lands'!D19:F19)</f>
        <v>#DIV/0!</v>
      </c>
      <c r="N36" s="570" t="e">
        <f>J36*'Soil-loss-in-abundoned lands'!$C19*'Soil-loss-in-abundoned lands'!D19</f>
        <v>#DIV/0!</v>
      </c>
      <c r="O36" s="570" t="e">
        <f>K36*'Soil-loss-in-abundoned lands'!$C19*'Soil-loss-in-abundoned lands'!E19</f>
        <v>#DIV/0!</v>
      </c>
      <c r="P36" s="570" t="e">
        <f>L36*'Soil-loss-in-abundoned lands'!$C19*'Soil-loss-in-abundoned lands'!F19</f>
        <v>#DIV/0!</v>
      </c>
      <c r="Q36" s="571" t="e">
        <f t="shared" si="3"/>
        <v>#DIV/0!</v>
      </c>
      <c r="R36" s="496">
        <v>0</v>
      </c>
      <c r="S36" s="350">
        <f t="shared" si="4"/>
        <v>0</v>
      </c>
      <c r="T36" s="24" t="e">
        <f t="shared" si="5"/>
        <v>#DIV/0!</v>
      </c>
      <c r="U36" s="24">
        <f t="shared" si="6"/>
        <v>0</v>
      </c>
      <c r="V36" s="24" t="e">
        <f t="shared" si="7"/>
        <v>#DIV/0!</v>
      </c>
      <c r="W36" s="38" t="e">
        <f t="shared" si="8"/>
        <v>#DIV/0!</v>
      </c>
      <c r="X36" s="9">
        <v>0</v>
      </c>
      <c r="Y36" s="9">
        <v>0</v>
      </c>
      <c r="Z36" s="38" t="e">
        <f t="shared" si="1"/>
        <v>#DIV/0!</v>
      </c>
    </row>
    <row r="37" spans="1:27" x14ac:dyDescent="0.25">
      <c r="A37" s="506" t="s">
        <v>156</v>
      </c>
      <c r="B37" s="4"/>
      <c r="C37" s="64"/>
      <c r="D37" s="64"/>
      <c r="E37" s="64"/>
      <c r="F37" s="185" t="e">
        <f>'Percent-Soil-Carbon-Content'!M21*'Soil-errosion2'!M21</f>
        <v>#DIV/0!</v>
      </c>
      <c r="G37" s="185" t="e">
        <f>'Percent-Soil-Carbon-Content'!X21*'Soil-errosion2'!Y21</f>
        <v>#DIV/0!</v>
      </c>
      <c r="H37" s="185" t="e">
        <f>'Percent-Soil-Carbon-Content'!AI21*'Soil-errosion2'!AK21</f>
        <v>#DIV/0!</v>
      </c>
      <c r="I37" s="185" t="e">
        <f>SUMPRODUCT(F37:H37,'Soil-loss-in-abundoned lands'!D20:F20)</f>
        <v>#DIV/0!</v>
      </c>
      <c r="J37" s="185" t="e">
        <f t="shared" si="2"/>
        <v>#DIV/0!</v>
      </c>
      <c r="K37" s="185" t="e">
        <f t="shared" si="2"/>
        <v>#DIV/0!</v>
      </c>
      <c r="L37" s="185" t="e">
        <f t="shared" si="2"/>
        <v>#DIV/0!</v>
      </c>
      <c r="M37" s="185" t="e">
        <f>SUMPRODUCT(J37:L37,'Soil-loss-in-abundoned lands'!D20:F20)</f>
        <v>#DIV/0!</v>
      </c>
      <c r="N37" s="570" t="e">
        <f>J37*'Soil-loss-in-abundoned lands'!$C20*'Soil-loss-in-abundoned lands'!D20</f>
        <v>#DIV/0!</v>
      </c>
      <c r="O37" s="570" t="e">
        <f>K37*'Soil-loss-in-abundoned lands'!$C20*'Soil-loss-in-abundoned lands'!E20</f>
        <v>#DIV/0!</v>
      </c>
      <c r="P37" s="570" t="e">
        <f>L37*'Soil-loss-in-abundoned lands'!$C20*'Soil-loss-in-abundoned lands'!F20</f>
        <v>#DIV/0!</v>
      </c>
      <c r="Q37" s="571" t="e">
        <f t="shared" si="3"/>
        <v>#DIV/0!</v>
      </c>
      <c r="R37" s="496">
        <v>0</v>
      </c>
      <c r="S37" s="350">
        <f t="shared" si="4"/>
        <v>0</v>
      </c>
      <c r="T37" s="24" t="e">
        <f t="shared" si="5"/>
        <v>#DIV/0!</v>
      </c>
      <c r="U37" s="24">
        <f t="shared" si="6"/>
        <v>0</v>
      </c>
      <c r="V37" s="24" t="e">
        <f t="shared" si="7"/>
        <v>#DIV/0!</v>
      </c>
      <c r="W37" s="38" t="e">
        <f t="shared" si="8"/>
        <v>#DIV/0!</v>
      </c>
      <c r="X37" s="9">
        <v>0</v>
      </c>
      <c r="Y37" s="9">
        <v>0</v>
      </c>
      <c r="Z37" s="38" t="e">
        <f t="shared" si="1"/>
        <v>#DIV/0!</v>
      </c>
    </row>
    <row r="38" spans="1:27" x14ac:dyDescent="0.25">
      <c r="A38" s="506" t="s">
        <v>157</v>
      </c>
      <c r="B38" s="4"/>
      <c r="C38" s="64"/>
      <c r="D38" s="64"/>
      <c r="E38" s="64"/>
      <c r="F38" s="185" t="e">
        <f>'Percent-Soil-Carbon-Content'!M22*'Soil-errosion2'!M22</f>
        <v>#DIV/0!</v>
      </c>
      <c r="G38" s="185" t="e">
        <f>'Percent-Soil-Carbon-Content'!X22*'Soil-errosion2'!Y22</f>
        <v>#DIV/0!</v>
      </c>
      <c r="H38" s="185" t="e">
        <f>'Percent-Soil-Carbon-Content'!AI22*'Soil-errosion2'!AK22</f>
        <v>#DIV/0!</v>
      </c>
      <c r="I38" s="185" t="e">
        <f>SUMPRODUCT(F38:H38,'Soil-loss-in-abundoned lands'!D21:F21)</f>
        <v>#DIV/0!</v>
      </c>
      <c r="J38" s="185" t="e">
        <f t="shared" si="2"/>
        <v>#DIV/0!</v>
      </c>
      <c r="K38" s="185" t="e">
        <f t="shared" si="2"/>
        <v>#DIV/0!</v>
      </c>
      <c r="L38" s="185" t="e">
        <f t="shared" si="2"/>
        <v>#DIV/0!</v>
      </c>
      <c r="M38" s="185" t="e">
        <f>SUMPRODUCT(J38:L38,'Soil-loss-in-abundoned lands'!D21:F21)</f>
        <v>#DIV/0!</v>
      </c>
      <c r="N38" s="570" t="e">
        <f>J38*'Soil-loss-in-abundoned lands'!$C21*'Soil-loss-in-abundoned lands'!D21</f>
        <v>#DIV/0!</v>
      </c>
      <c r="O38" s="570" t="e">
        <f>K38*'Soil-loss-in-abundoned lands'!$C21*'Soil-loss-in-abundoned lands'!E21</f>
        <v>#DIV/0!</v>
      </c>
      <c r="P38" s="570" t="e">
        <f>L38*'Soil-loss-in-abundoned lands'!$C21*'Soil-loss-in-abundoned lands'!F21</f>
        <v>#DIV/0!</v>
      </c>
      <c r="Q38" s="571" t="e">
        <f t="shared" si="3"/>
        <v>#DIV/0!</v>
      </c>
      <c r="R38" s="496">
        <v>0</v>
      </c>
      <c r="S38" s="350">
        <f t="shared" si="4"/>
        <v>0</v>
      </c>
      <c r="T38" s="24" t="e">
        <f t="shared" si="5"/>
        <v>#DIV/0!</v>
      </c>
      <c r="U38" s="24">
        <f t="shared" si="6"/>
        <v>0</v>
      </c>
      <c r="V38" s="24" t="e">
        <f t="shared" si="7"/>
        <v>#DIV/0!</v>
      </c>
      <c r="W38" s="38" t="e">
        <f t="shared" si="8"/>
        <v>#DIV/0!</v>
      </c>
      <c r="X38" s="9">
        <v>0</v>
      </c>
      <c r="Y38" s="9">
        <v>0</v>
      </c>
      <c r="Z38" s="38" t="e">
        <f t="shared" si="1"/>
        <v>#DIV/0!</v>
      </c>
    </row>
    <row r="39" spans="1:27" x14ac:dyDescent="0.25">
      <c r="A39" s="506" t="s">
        <v>158</v>
      </c>
      <c r="B39" s="4"/>
      <c r="C39" s="64"/>
      <c r="D39" s="64"/>
      <c r="E39" s="64"/>
      <c r="F39" s="185" t="e">
        <f>'Percent-Soil-Carbon-Content'!M23*'Soil-errosion2'!M23</f>
        <v>#DIV/0!</v>
      </c>
      <c r="G39" s="185" t="e">
        <f>'Percent-Soil-Carbon-Content'!X23*'Soil-errosion2'!Y23</f>
        <v>#DIV/0!</v>
      </c>
      <c r="H39" s="185" t="e">
        <f>'Percent-Soil-Carbon-Content'!AI23*'Soil-errosion2'!AK23</f>
        <v>#DIV/0!</v>
      </c>
      <c r="I39" s="185" t="e">
        <f>SUMPRODUCT(F39:H39,'Soil-loss-in-abundoned lands'!D22:F22)</f>
        <v>#DIV/0!</v>
      </c>
      <c r="J39" s="185" t="e">
        <f t="shared" si="2"/>
        <v>#DIV/0!</v>
      </c>
      <c r="K39" s="185" t="e">
        <f t="shared" si="2"/>
        <v>#DIV/0!</v>
      </c>
      <c r="L39" s="185" t="e">
        <f t="shared" si="2"/>
        <v>#DIV/0!</v>
      </c>
      <c r="M39" s="185" t="e">
        <f>SUMPRODUCT(J39:L39,'Soil-loss-in-abundoned lands'!D22:F22)</f>
        <v>#DIV/0!</v>
      </c>
      <c r="N39" s="570" t="e">
        <f>J39*'Soil-loss-in-abundoned lands'!$C22*'Soil-loss-in-abundoned lands'!D22</f>
        <v>#DIV/0!</v>
      </c>
      <c r="O39" s="570" t="e">
        <f>K39*'Soil-loss-in-abundoned lands'!$C22*'Soil-loss-in-abundoned lands'!E22</f>
        <v>#DIV/0!</v>
      </c>
      <c r="P39" s="570" t="e">
        <f>L39*'Soil-loss-in-abundoned lands'!$C22*'Soil-loss-in-abundoned lands'!F22</f>
        <v>#DIV/0!</v>
      </c>
      <c r="Q39" s="571" t="e">
        <f t="shared" si="3"/>
        <v>#DIV/0!</v>
      </c>
      <c r="R39" s="496">
        <v>0</v>
      </c>
      <c r="S39" s="350">
        <f t="shared" si="4"/>
        <v>0</v>
      </c>
      <c r="T39" s="24" t="e">
        <f t="shared" si="5"/>
        <v>#DIV/0!</v>
      </c>
      <c r="U39" s="24">
        <f t="shared" si="6"/>
        <v>0</v>
      </c>
      <c r="V39" s="24" t="e">
        <f t="shared" si="7"/>
        <v>#DIV/0!</v>
      </c>
      <c r="W39" s="38" t="e">
        <f t="shared" si="8"/>
        <v>#DIV/0!</v>
      </c>
      <c r="X39" s="9">
        <v>0</v>
      </c>
      <c r="Y39" s="9">
        <v>0</v>
      </c>
      <c r="Z39" s="38" t="e">
        <f t="shared" si="1"/>
        <v>#DIV/0!</v>
      </c>
    </row>
    <row r="40" spans="1:27" x14ac:dyDescent="0.25">
      <c r="A40" s="506" t="s">
        <v>159</v>
      </c>
      <c r="B40" s="4"/>
      <c r="C40" s="64"/>
      <c r="D40" s="64"/>
      <c r="E40" s="64"/>
      <c r="F40" s="185" t="e">
        <f>'Percent-Soil-Carbon-Content'!M24*'Soil-errosion2'!M24</f>
        <v>#DIV/0!</v>
      </c>
      <c r="G40" s="185" t="e">
        <f>'Percent-Soil-Carbon-Content'!X24*'Soil-errosion2'!Y24</f>
        <v>#DIV/0!</v>
      </c>
      <c r="H40" s="185" t="e">
        <f>'Percent-Soil-Carbon-Content'!AI24*'Soil-errosion2'!AK24</f>
        <v>#DIV/0!</v>
      </c>
      <c r="I40" s="185" t="e">
        <f>SUMPRODUCT(F40:H40,'Soil-loss-in-abundoned lands'!D23:F23)</f>
        <v>#DIV/0!</v>
      </c>
      <c r="J40" s="185" t="e">
        <f t="shared" si="2"/>
        <v>#DIV/0!</v>
      </c>
      <c r="K40" s="185" t="e">
        <f t="shared" si="2"/>
        <v>#DIV/0!</v>
      </c>
      <c r="L40" s="185" t="e">
        <f t="shared" si="2"/>
        <v>#DIV/0!</v>
      </c>
      <c r="M40" s="185" t="e">
        <f>SUMPRODUCT(J40:L40,'Soil-loss-in-abundoned lands'!D23:F23)</f>
        <v>#DIV/0!</v>
      </c>
      <c r="N40" s="570" t="e">
        <f>J40*'Soil-loss-in-abundoned lands'!$C23*'Soil-loss-in-abundoned lands'!D23</f>
        <v>#DIV/0!</v>
      </c>
      <c r="O40" s="570" t="e">
        <f>K40*'Soil-loss-in-abundoned lands'!$C23*'Soil-loss-in-abundoned lands'!E23</f>
        <v>#DIV/0!</v>
      </c>
      <c r="P40" s="570" t="e">
        <f>L40*'Soil-loss-in-abundoned lands'!$C23*'Soil-loss-in-abundoned lands'!F23</f>
        <v>#DIV/0!</v>
      </c>
      <c r="Q40" s="571" t="e">
        <f t="shared" si="3"/>
        <v>#DIV/0!</v>
      </c>
      <c r="R40" s="496">
        <v>0</v>
      </c>
      <c r="S40" s="350">
        <f t="shared" si="4"/>
        <v>0</v>
      </c>
      <c r="T40" s="24" t="e">
        <f t="shared" si="5"/>
        <v>#DIV/0!</v>
      </c>
      <c r="U40" s="24">
        <f t="shared" si="6"/>
        <v>0</v>
      </c>
      <c r="V40" s="24" t="e">
        <f t="shared" si="7"/>
        <v>#DIV/0!</v>
      </c>
      <c r="W40" s="38" t="e">
        <f t="shared" si="8"/>
        <v>#DIV/0!</v>
      </c>
      <c r="X40" s="9">
        <v>0</v>
      </c>
      <c r="Y40" s="9">
        <v>0</v>
      </c>
      <c r="Z40" s="38" t="e">
        <f t="shared" si="1"/>
        <v>#DIV/0!</v>
      </c>
    </row>
    <row r="41" spans="1:27" x14ac:dyDescent="0.25">
      <c r="A41" s="506" t="s">
        <v>160</v>
      </c>
      <c r="B41" s="4"/>
      <c r="C41" s="64"/>
      <c r="D41" s="64"/>
      <c r="E41" s="64"/>
      <c r="F41" s="185" t="e">
        <f>'Percent-Soil-Carbon-Content'!M25*'Soil-errosion2'!M25</f>
        <v>#DIV/0!</v>
      </c>
      <c r="G41" s="185" t="e">
        <f>'Percent-Soil-Carbon-Content'!X25*'Soil-errosion2'!Y25</f>
        <v>#DIV/0!</v>
      </c>
      <c r="H41" s="185" t="e">
        <f>'Percent-Soil-Carbon-Content'!AI25*'Soil-errosion2'!AK25</f>
        <v>#DIV/0!</v>
      </c>
      <c r="I41" s="185" t="e">
        <f>SUMPRODUCT(F41:H41,'Soil-loss-in-abundoned lands'!D24:F24)</f>
        <v>#DIV/0!</v>
      </c>
      <c r="J41" s="185" t="e">
        <f t="shared" si="2"/>
        <v>#DIV/0!</v>
      </c>
      <c r="K41" s="185" t="e">
        <f t="shared" si="2"/>
        <v>#DIV/0!</v>
      </c>
      <c r="L41" s="185" t="e">
        <f t="shared" si="2"/>
        <v>#DIV/0!</v>
      </c>
      <c r="M41" s="185" t="e">
        <f>SUMPRODUCT(J41:L41,'Soil-loss-in-abundoned lands'!D24:F24)</f>
        <v>#DIV/0!</v>
      </c>
      <c r="N41" s="570" t="e">
        <f>J41*'Soil-loss-in-abundoned lands'!$C24*'Soil-loss-in-abundoned lands'!D24</f>
        <v>#DIV/0!</v>
      </c>
      <c r="O41" s="570" t="e">
        <f>K41*'Soil-loss-in-abundoned lands'!$C24*'Soil-loss-in-abundoned lands'!E24</f>
        <v>#DIV/0!</v>
      </c>
      <c r="P41" s="570" t="e">
        <f>L41*'Soil-loss-in-abundoned lands'!$C24*'Soil-loss-in-abundoned lands'!F24</f>
        <v>#DIV/0!</v>
      </c>
      <c r="Q41" s="571" t="e">
        <f t="shared" si="3"/>
        <v>#DIV/0!</v>
      </c>
      <c r="R41" s="496">
        <v>0</v>
      </c>
      <c r="S41" s="350">
        <f t="shared" si="4"/>
        <v>0</v>
      </c>
      <c r="T41" s="24" t="e">
        <f t="shared" si="5"/>
        <v>#DIV/0!</v>
      </c>
      <c r="U41" s="24">
        <f t="shared" si="6"/>
        <v>0</v>
      </c>
      <c r="V41" s="24" t="e">
        <f t="shared" si="7"/>
        <v>#DIV/0!</v>
      </c>
      <c r="W41" s="38" t="e">
        <f t="shared" si="8"/>
        <v>#DIV/0!</v>
      </c>
      <c r="X41" s="9">
        <v>0</v>
      </c>
      <c r="Y41" s="9">
        <v>0</v>
      </c>
      <c r="Z41" s="38" t="e">
        <f t="shared" si="1"/>
        <v>#DIV/0!</v>
      </c>
    </row>
    <row r="42" spans="1:27" x14ac:dyDescent="0.25">
      <c r="A42" s="506" t="s">
        <v>161</v>
      </c>
      <c r="B42" s="4"/>
      <c r="C42" s="64"/>
      <c r="D42" s="64"/>
      <c r="E42" s="64"/>
      <c r="F42" s="185" t="e">
        <f>'Percent-Soil-Carbon-Content'!M26*'Soil-errosion2'!M26</f>
        <v>#DIV/0!</v>
      </c>
      <c r="G42" s="185" t="e">
        <f>'Percent-Soil-Carbon-Content'!X26*'Soil-errosion2'!Y26</f>
        <v>#DIV/0!</v>
      </c>
      <c r="H42" s="185" t="e">
        <f>'Percent-Soil-Carbon-Content'!AI26*'Soil-errosion2'!AK26</f>
        <v>#DIV/0!</v>
      </c>
      <c r="I42" s="185" t="e">
        <f>SUMPRODUCT(F42:H42,'Soil-loss-in-abundoned lands'!D25:F25)</f>
        <v>#DIV/0!</v>
      </c>
      <c r="J42" s="185" t="e">
        <f t="shared" si="2"/>
        <v>#DIV/0!</v>
      </c>
      <c r="K42" s="185" t="e">
        <f t="shared" si="2"/>
        <v>#DIV/0!</v>
      </c>
      <c r="L42" s="185" t="e">
        <f t="shared" si="2"/>
        <v>#DIV/0!</v>
      </c>
      <c r="M42" s="185" t="e">
        <f>SUMPRODUCT(J42:L42,'Soil-loss-in-abundoned lands'!D25:F25)</f>
        <v>#DIV/0!</v>
      </c>
      <c r="N42" s="570" t="e">
        <f>J42*'Soil-loss-in-abundoned lands'!$C25*'Soil-loss-in-abundoned lands'!D25</f>
        <v>#DIV/0!</v>
      </c>
      <c r="O42" s="570" t="e">
        <f>K42*'Soil-loss-in-abundoned lands'!$C25*'Soil-loss-in-abundoned lands'!E25</f>
        <v>#DIV/0!</v>
      </c>
      <c r="P42" s="570" t="e">
        <f>L42*'Soil-loss-in-abundoned lands'!$C25*'Soil-loss-in-abundoned lands'!F25</f>
        <v>#DIV/0!</v>
      </c>
      <c r="Q42" s="571" t="e">
        <f t="shared" si="3"/>
        <v>#DIV/0!</v>
      </c>
      <c r="R42" s="496">
        <v>0</v>
      </c>
      <c r="S42" s="350">
        <f t="shared" si="4"/>
        <v>0</v>
      </c>
      <c r="T42" s="24" t="e">
        <f t="shared" si="5"/>
        <v>#DIV/0!</v>
      </c>
      <c r="U42" s="24">
        <f t="shared" si="6"/>
        <v>0</v>
      </c>
      <c r="V42" s="24" t="e">
        <f t="shared" si="7"/>
        <v>#DIV/0!</v>
      </c>
      <c r="W42" s="38" t="e">
        <f t="shared" si="8"/>
        <v>#DIV/0!</v>
      </c>
      <c r="X42" s="9">
        <v>0</v>
      </c>
      <c r="Y42" s="9">
        <v>0</v>
      </c>
      <c r="Z42" s="38" t="e">
        <f t="shared" si="1"/>
        <v>#DIV/0!</v>
      </c>
    </row>
    <row r="43" spans="1:27" x14ac:dyDescent="0.25">
      <c r="A43" s="506" t="s">
        <v>162</v>
      </c>
      <c r="B43" s="4"/>
      <c r="C43" s="64"/>
      <c r="D43" s="64"/>
      <c r="E43" s="64"/>
      <c r="F43" s="185" t="e">
        <f>'Percent-Soil-Carbon-Content'!M27*'Soil-errosion2'!M27</f>
        <v>#DIV/0!</v>
      </c>
      <c r="G43" s="185" t="e">
        <f>'Percent-Soil-Carbon-Content'!X27*'Soil-errosion2'!Y27</f>
        <v>#DIV/0!</v>
      </c>
      <c r="H43" s="185" t="e">
        <f>'Percent-Soil-Carbon-Content'!AI27*'Soil-errosion2'!AK27</f>
        <v>#DIV/0!</v>
      </c>
      <c r="I43" s="185" t="e">
        <f>SUMPRODUCT(F43:H43,'Soil-loss-in-abundoned lands'!D26:F26)</f>
        <v>#DIV/0!</v>
      </c>
      <c r="J43" s="185" t="e">
        <f t="shared" si="2"/>
        <v>#DIV/0!</v>
      </c>
      <c r="K43" s="185" t="e">
        <f t="shared" si="2"/>
        <v>#DIV/0!</v>
      </c>
      <c r="L43" s="185" t="e">
        <f t="shared" si="2"/>
        <v>#DIV/0!</v>
      </c>
      <c r="M43" s="185" t="e">
        <f>SUMPRODUCT(J43:L43,'Soil-loss-in-abundoned lands'!D26:F26)</f>
        <v>#DIV/0!</v>
      </c>
      <c r="N43" s="570" t="e">
        <f>J43*'Soil-loss-in-abundoned lands'!$C26*'Soil-loss-in-abundoned lands'!D26</f>
        <v>#DIV/0!</v>
      </c>
      <c r="O43" s="570" t="e">
        <f>K43*'Soil-loss-in-abundoned lands'!$C26*'Soil-loss-in-abundoned lands'!E26</f>
        <v>#DIV/0!</v>
      </c>
      <c r="P43" s="570" t="e">
        <f>L43*'Soil-loss-in-abundoned lands'!$C26*'Soil-loss-in-abundoned lands'!F26</f>
        <v>#DIV/0!</v>
      </c>
      <c r="Q43" s="571" t="e">
        <f t="shared" si="3"/>
        <v>#DIV/0!</v>
      </c>
      <c r="R43" s="496">
        <v>0</v>
      </c>
      <c r="S43" s="350">
        <f t="shared" si="4"/>
        <v>0</v>
      </c>
      <c r="T43" s="24" t="e">
        <f t="shared" si="5"/>
        <v>#DIV/0!</v>
      </c>
      <c r="U43" s="24">
        <f t="shared" si="6"/>
        <v>0</v>
      </c>
      <c r="V43" s="24" t="e">
        <f t="shared" si="7"/>
        <v>#DIV/0!</v>
      </c>
      <c r="W43" s="38" t="e">
        <f t="shared" si="8"/>
        <v>#DIV/0!</v>
      </c>
      <c r="X43" s="9">
        <v>0</v>
      </c>
      <c r="Y43" s="9">
        <v>0</v>
      </c>
      <c r="Z43" s="38" t="e">
        <f t="shared" si="1"/>
        <v>#DIV/0!</v>
      </c>
    </row>
    <row r="44" spans="1:27" x14ac:dyDescent="0.25">
      <c r="A44" s="15" t="s">
        <v>163</v>
      </c>
      <c r="B44" s="9">
        <f>SUM(B20:B43)</f>
        <v>0</v>
      </c>
      <c r="C44" s="65" t="e">
        <f>SUMPRODUCT(C20:C43,#REF!)/#REF!</f>
        <v>#REF!</v>
      </c>
      <c r="D44" s="65" t="e">
        <f>SUMPRODUCT(D20:D43,#REF!)/#REF!</f>
        <v>#REF!</v>
      </c>
      <c r="E44" s="65" t="e">
        <f>SUMPRODUCT(E20:E43,#REF!)/#REF!</f>
        <v>#REF!</v>
      </c>
      <c r="F44" s="315" t="e">
        <f>SUMPRODUCT(F20:F43,'Soil-loss-in-abundoned lands'!$C$3:$C$26)/'Soil-loss-in-abundoned lands'!$C$27</f>
        <v>#DIV/0!</v>
      </c>
      <c r="G44" s="315" t="e">
        <f>SUMPRODUCT(G20:G43,'Soil-loss-in-abundoned lands'!$C$3:$C$26)/'Soil-loss-in-abundoned lands'!$C$27</f>
        <v>#DIV/0!</v>
      </c>
      <c r="H44" s="315" t="e">
        <f>SUMPRODUCT(H20:H43,'Soil-loss-in-abundoned lands'!$C$3:$C$26)/'Soil-loss-in-abundoned lands'!$C$27</f>
        <v>#DIV/0!</v>
      </c>
      <c r="I44" s="315" t="e">
        <f>SUMPRODUCT(I20:I43,'Soil-loss-in-abundoned lands'!$C$3:$C$26)/'Soil-loss-in-abundoned lands'!$C$27</f>
        <v>#DIV/0!</v>
      </c>
      <c r="J44" s="315" t="e">
        <f>SUMPRODUCT(J20:J43,'Soil-loss-in-abundoned lands'!$C$3:$C$26)/'Soil-loss-in-abundoned lands'!$C$27</f>
        <v>#DIV/0!</v>
      </c>
      <c r="K44" s="315" t="e">
        <f>SUMPRODUCT(K20:K43,'Soil-loss-in-abundoned lands'!$C$3:$C$26)/'Soil-loss-in-abundoned lands'!$C$27</f>
        <v>#DIV/0!</v>
      </c>
      <c r="L44" s="315" t="e">
        <f>SUMPRODUCT(L20:L43,'Soil-loss-in-abundoned lands'!$C$3:$C$26)/'Soil-loss-in-abundoned lands'!$C$27</f>
        <v>#DIV/0!</v>
      </c>
      <c r="M44" s="315" t="e">
        <f>SUMPRODUCT(M20:M43,'Soil-loss-in-abundoned lands'!$C$3:$C$26)/'Soil-loss-in-abundoned lands'!$C$27</f>
        <v>#DIV/0!</v>
      </c>
      <c r="N44" s="571" t="e">
        <f>SUM(N20:N43)</f>
        <v>#DIV/0!</v>
      </c>
      <c r="O44" s="571" t="e">
        <f>SUM(O20:O43)</f>
        <v>#DIV/0!</v>
      </c>
      <c r="P44" s="571" t="e">
        <f>SUM(P20:P43)</f>
        <v>#DIV/0!</v>
      </c>
      <c r="Q44" s="571" t="e">
        <f>SUM(N44:P44)</f>
        <v>#DIV/0!</v>
      </c>
      <c r="R44" s="351">
        <f>SUM(R20:R43)</f>
        <v>0</v>
      </c>
      <c r="S44" s="351">
        <f>SUM(S20:S43)</f>
        <v>0</v>
      </c>
      <c r="T44" s="24" t="e">
        <f>Q44+S44</f>
        <v>#DIV/0!</v>
      </c>
      <c r="U44" s="24">
        <f>SUM(U20:U43)</f>
        <v>0</v>
      </c>
      <c r="V44" s="24" t="e">
        <f>SUM(V20:V43)</f>
        <v>#DIV/0!</v>
      </c>
      <c r="W44" s="38" t="e">
        <f>T44*$D$12</f>
        <v>#DIV/0!</v>
      </c>
      <c r="X44" s="9">
        <f t="shared" ref="X44:Y44" si="9">SUM(X20:X43)</f>
        <v>0</v>
      </c>
      <c r="Y44" s="9">
        <f t="shared" si="9"/>
        <v>0</v>
      </c>
      <c r="Z44" s="38" t="e">
        <f t="shared" si="1"/>
        <v>#DIV/0!</v>
      </c>
      <c r="AA44" s="68" t="e">
        <f>Z44/'Summary-all-crops'!C3</f>
        <v>#DIV/0!</v>
      </c>
    </row>
    <row r="45" spans="1:27" x14ac:dyDescent="0.25">
      <c r="A45" s="1"/>
      <c r="Q45" s="314" t="e">
        <f>ABS(SUM(Q20:Q43)-Q44)&lt;0.1</f>
        <v>#DIV/0!</v>
      </c>
      <c r="R45" s="70"/>
    </row>
    <row r="46" spans="1:27" x14ac:dyDescent="0.25">
      <c r="A46" s="1"/>
      <c r="F46" s="2"/>
    </row>
    <row r="47" spans="1:27" x14ac:dyDescent="0.25">
      <c r="A47" s="1" t="s">
        <v>369</v>
      </c>
    </row>
    <row r="49" spans="1:6" x14ac:dyDescent="0.25">
      <c r="A49" s="838" t="s">
        <v>101</v>
      </c>
      <c r="B49" s="839" t="s">
        <v>370</v>
      </c>
      <c r="C49" s="839"/>
      <c r="D49" s="839"/>
      <c r="E49" s="839"/>
    </row>
    <row r="50" spans="1:6" x14ac:dyDescent="0.25">
      <c r="A50" s="838"/>
      <c r="F50" s="11"/>
    </row>
    <row r="51" spans="1:6" x14ac:dyDescent="0.25">
      <c r="A51" s="838"/>
      <c r="B51" s="1" t="s">
        <v>136</v>
      </c>
      <c r="C51" s="1" t="s">
        <v>137</v>
      </c>
      <c r="D51" s="1" t="s">
        <v>289</v>
      </c>
      <c r="E51" s="1" t="s">
        <v>120</v>
      </c>
      <c r="F51" s="11"/>
    </row>
    <row r="52" spans="1:6" x14ac:dyDescent="0.25">
      <c r="A52" t="str">
        <f>A20</f>
        <v>Tunis</v>
      </c>
      <c r="B52" s="45">
        <v>0</v>
      </c>
      <c r="C52" s="45">
        <v>0</v>
      </c>
      <c r="D52" s="45">
        <v>0</v>
      </c>
      <c r="E52" s="23">
        <f>SUM(B52:D52)</f>
        <v>0</v>
      </c>
    </row>
    <row r="53" spans="1:6" x14ac:dyDescent="0.25">
      <c r="A53" t="str">
        <f t="shared" ref="A53:A75" si="10">A21</f>
        <v>Ariana</v>
      </c>
      <c r="B53" s="45">
        <v>0</v>
      </c>
      <c r="C53" s="45">
        <v>0</v>
      </c>
      <c r="D53" s="45">
        <v>0</v>
      </c>
      <c r="E53" s="23">
        <f t="shared" ref="E53:E55" si="11">SUM(B53:D53)</f>
        <v>0</v>
      </c>
    </row>
    <row r="54" spans="1:6" x14ac:dyDescent="0.25">
      <c r="A54" t="str">
        <f t="shared" si="10"/>
        <v>La Manouba</v>
      </c>
      <c r="B54" s="45">
        <v>0</v>
      </c>
      <c r="C54" s="45">
        <v>0</v>
      </c>
      <c r="D54" s="45">
        <v>0</v>
      </c>
      <c r="E54" s="23">
        <f t="shared" si="11"/>
        <v>0</v>
      </c>
    </row>
    <row r="55" spans="1:6" x14ac:dyDescent="0.25">
      <c r="A55" t="str">
        <f t="shared" si="10"/>
        <v>Ben Arous</v>
      </c>
      <c r="B55" s="45">
        <v>0</v>
      </c>
      <c r="C55" s="45">
        <v>0</v>
      </c>
      <c r="D55" s="45">
        <v>0</v>
      </c>
      <c r="E55" s="23">
        <f t="shared" si="11"/>
        <v>0</v>
      </c>
    </row>
    <row r="56" spans="1:6" x14ac:dyDescent="0.25">
      <c r="A56" t="str">
        <f t="shared" si="10"/>
        <v>Nabeul</v>
      </c>
      <c r="B56" s="45">
        <v>0</v>
      </c>
      <c r="C56" s="45">
        <v>0</v>
      </c>
      <c r="D56" s="45">
        <v>0</v>
      </c>
      <c r="E56" s="23">
        <f t="shared" ref="E56:E75" si="12">SUM(B56:D56)</f>
        <v>0</v>
      </c>
    </row>
    <row r="57" spans="1:6" x14ac:dyDescent="0.25">
      <c r="A57" t="str">
        <f t="shared" si="10"/>
        <v>Bizerte</v>
      </c>
      <c r="B57" s="45">
        <v>0</v>
      </c>
      <c r="C57" s="45">
        <v>0</v>
      </c>
      <c r="D57" s="45">
        <v>0</v>
      </c>
      <c r="E57" s="23">
        <f t="shared" si="12"/>
        <v>0</v>
      </c>
    </row>
    <row r="58" spans="1:6" x14ac:dyDescent="0.25">
      <c r="A58" t="str">
        <f t="shared" si="10"/>
        <v>Zaghouan</v>
      </c>
      <c r="B58" s="45">
        <v>0</v>
      </c>
      <c r="C58" s="45">
        <v>0</v>
      </c>
      <c r="D58" s="45">
        <v>0</v>
      </c>
      <c r="E58" s="23">
        <f t="shared" si="12"/>
        <v>0</v>
      </c>
    </row>
    <row r="59" spans="1:6" x14ac:dyDescent="0.25">
      <c r="A59" t="str">
        <f t="shared" si="10"/>
        <v>Béja</v>
      </c>
      <c r="B59" s="45">
        <v>0</v>
      </c>
      <c r="C59" s="45">
        <v>0</v>
      </c>
      <c r="D59" s="45">
        <v>0</v>
      </c>
      <c r="E59" s="23">
        <f t="shared" si="12"/>
        <v>0</v>
      </c>
    </row>
    <row r="60" spans="1:6" x14ac:dyDescent="0.25">
      <c r="A60" t="str">
        <f t="shared" si="10"/>
        <v>Jendouba</v>
      </c>
      <c r="B60" s="45">
        <v>0</v>
      </c>
      <c r="C60" s="45">
        <v>0</v>
      </c>
      <c r="D60" s="45">
        <v>0</v>
      </c>
      <c r="E60" s="23">
        <f t="shared" si="12"/>
        <v>0</v>
      </c>
    </row>
    <row r="61" spans="1:6" x14ac:dyDescent="0.25">
      <c r="A61" t="str">
        <f t="shared" si="10"/>
        <v>Le Kef</v>
      </c>
      <c r="B61" s="45">
        <v>0</v>
      </c>
      <c r="C61" s="45">
        <v>0</v>
      </c>
      <c r="D61" s="45">
        <v>0</v>
      </c>
      <c r="E61" s="23">
        <f t="shared" si="12"/>
        <v>0</v>
      </c>
    </row>
    <row r="62" spans="1:6" x14ac:dyDescent="0.25">
      <c r="A62" t="str">
        <f t="shared" si="10"/>
        <v>Siliana</v>
      </c>
      <c r="B62" s="45">
        <v>0</v>
      </c>
      <c r="C62" s="45">
        <v>0</v>
      </c>
      <c r="D62" s="45">
        <v>0</v>
      </c>
      <c r="E62" s="23">
        <f t="shared" si="12"/>
        <v>0</v>
      </c>
    </row>
    <row r="63" spans="1:6" x14ac:dyDescent="0.25">
      <c r="A63" t="str">
        <f t="shared" si="10"/>
        <v>Sousse</v>
      </c>
      <c r="B63" s="45">
        <v>0</v>
      </c>
      <c r="C63" s="45">
        <v>0</v>
      </c>
      <c r="D63" s="45">
        <v>0</v>
      </c>
      <c r="E63" s="23">
        <f t="shared" si="12"/>
        <v>0</v>
      </c>
    </row>
    <row r="64" spans="1:6" x14ac:dyDescent="0.25">
      <c r="A64" t="str">
        <f t="shared" si="10"/>
        <v>Monastir</v>
      </c>
      <c r="B64" s="45">
        <v>0</v>
      </c>
      <c r="C64" s="45">
        <v>0</v>
      </c>
      <c r="D64" s="45">
        <v>0</v>
      </c>
      <c r="E64" s="23">
        <f t="shared" si="12"/>
        <v>0</v>
      </c>
    </row>
    <row r="65" spans="1:8" x14ac:dyDescent="0.25">
      <c r="A65" t="str">
        <f t="shared" si="10"/>
        <v>Mahdia</v>
      </c>
      <c r="B65" s="45">
        <v>0</v>
      </c>
      <c r="C65" s="45">
        <v>0</v>
      </c>
      <c r="D65" s="45">
        <v>0</v>
      </c>
      <c r="E65" s="23">
        <f t="shared" si="12"/>
        <v>0</v>
      </c>
    </row>
    <row r="66" spans="1:8" x14ac:dyDescent="0.25">
      <c r="A66" t="str">
        <f t="shared" si="10"/>
        <v>Sfax</v>
      </c>
      <c r="B66" s="45">
        <v>0</v>
      </c>
      <c r="C66" s="45">
        <v>0</v>
      </c>
      <c r="D66" s="45">
        <v>0</v>
      </c>
      <c r="E66" s="23">
        <f t="shared" si="12"/>
        <v>0</v>
      </c>
    </row>
    <row r="67" spans="1:8" x14ac:dyDescent="0.25">
      <c r="A67" t="str">
        <f t="shared" si="10"/>
        <v>Kairouan</v>
      </c>
      <c r="B67" s="45">
        <v>0</v>
      </c>
      <c r="C67" s="45">
        <v>0</v>
      </c>
      <c r="D67" s="45">
        <v>0</v>
      </c>
      <c r="E67" s="23">
        <f t="shared" si="12"/>
        <v>0</v>
      </c>
    </row>
    <row r="68" spans="1:8" x14ac:dyDescent="0.25">
      <c r="A68" t="str">
        <f t="shared" si="10"/>
        <v>Kasserine</v>
      </c>
      <c r="B68" s="45">
        <v>0</v>
      </c>
      <c r="C68" s="45">
        <v>0</v>
      </c>
      <c r="D68" s="45">
        <v>0</v>
      </c>
      <c r="E68" s="23">
        <f t="shared" si="12"/>
        <v>0</v>
      </c>
    </row>
    <row r="69" spans="1:8" x14ac:dyDescent="0.25">
      <c r="A69" t="str">
        <f t="shared" si="10"/>
        <v>Sidi Bouzid</v>
      </c>
      <c r="B69" s="45">
        <v>0</v>
      </c>
      <c r="C69" s="45">
        <v>0</v>
      </c>
      <c r="D69" s="45">
        <v>0</v>
      </c>
      <c r="E69" s="23">
        <f t="shared" si="12"/>
        <v>0</v>
      </c>
    </row>
    <row r="70" spans="1:8" x14ac:dyDescent="0.25">
      <c r="A70" t="str">
        <f t="shared" si="10"/>
        <v>Gafsa</v>
      </c>
      <c r="B70" s="45">
        <v>0</v>
      </c>
      <c r="C70" s="45">
        <v>0</v>
      </c>
      <c r="D70" s="45">
        <v>0</v>
      </c>
      <c r="E70" s="23">
        <f t="shared" si="12"/>
        <v>0</v>
      </c>
    </row>
    <row r="71" spans="1:8" x14ac:dyDescent="0.25">
      <c r="A71" t="str">
        <f t="shared" si="10"/>
        <v>Gabès</v>
      </c>
      <c r="B71" s="45">
        <v>0</v>
      </c>
      <c r="C71" s="45">
        <v>0</v>
      </c>
      <c r="D71" s="45">
        <v>0</v>
      </c>
      <c r="E71" s="23">
        <f t="shared" si="12"/>
        <v>0</v>
      </c>
    </row>
    <row r="72" spans="1:8" x14ac:dyDescent="0.25">
      <c r="A72" t="str">
        <f t="shared" si="10"/>
        <v>Médenine</v>
      </c>
      <c r="B72" s="45">
        <v>0</v>
      </c>
      <c r="C72" s="45">
        <v>0</v>
      </c>
      <c r="D72" s="45">
        <v>0</v>
      </c>
      <c r="E72" s="23">
        <f t="shared" si="12"/>
        <v>0</v>
      </c>
    </row>
    <row r="73" spans="1:8" x14ac:dyDescent="0.25">
      <c r="A73" t="str">
        <f t="shared" si="10"/>
        <v>Tataouine</v>
      </c>
      <c r="B73" s="45">
        <v>0</v>
      </c>
      <c r="C73" s="45">
        <v>0</v>
      </c>
      <c r="D73" s="45">
        <v>0</v>
      </c>
      <c r="E73" s="23">
        <f t="shared" si="12"/>
        <v>0</v>
      </c>
    </row>
    <row r="74" spans="1:8" x14ac:dyDescent="0.25">
      <c r="A74" t="str">
        <f t="shared" si="10"/>
        <v>Tozeur</v>
      </c>
      <c r="B74" s="45">
        <v>0</v>
      </c>
      <c r="C74" s="45">
        <v>0</v>
      </c>
      <c r="D74" s="45">
        <v>0</v>
      </c>
      <c r="E74" s="23">
        <f t="shared" si="12"/>
        <v>0</v>
      </c>
    </row>
    <row r="75" spans="1:8" x14ac:dyDescent="0.25">
      <c r="A75" t="str">
        <f t="shared" si="10"/>
        <v>Kébili</v>
      </c>
      <c r="B75" s="45">
        <v>0</v>
      </c>
      <c r="C75" s="45">
        <v>0</v>
      </c>
      <c r="D75" s="45">
        <v>0</v>
      </c>
      <c r="E75" s="23">
        <f t="shared" si="12"/>
        <v>0</v>
      </c>
    </row>
    <row r="76" spans="1:8" x14ac:dyDescent="0.25">
      <c r="A76" s="1" t="s">
        <v>163</v>
      </c>
      <c r="B76" s="23">
        <f>SUM(B52:B75)</f>
        <v>0</v>
      </c>
      <c r="C76" s="23">
        <f t="shared" ref="C76:E76" si="13">SUM(C52:C75)</f>
        <v>0</v>
      </c>
      <c r="D76" s="23">
        <f t="shared" si="13"/>
        <v>0</v>
      </c>
      <c r="E76" s="23">
        <f t="shared" si="13"/>
        <v>0</v>
      </c>
      <c r="G76" s="1"/>
      <c r="H76" s="1"/>
    </row>
    <row r="77" spans="1:8" x14ac:dyDescent="0.25">
      <c r="G77" s="1"/>
      <c r="H77" s="1"/>
    </row>
    <row r="78" spans="1:8" ht="18.75" x14ac:dyDescent="0.3">
      <c r="A78" s="12" t="s">
        <v>371</v>
      </c>
    </row>
    <row r="79" spans="1:8" x14ac:dyDescent="0.25">
      <c r="A79" t="s">
        <v>372</v>
      </c>
      <c r="C79" s="24">
        <f>K2</f>
        <v>134280440000</v>
      </c>
    </row>
    <row r="80" spans="1:8" ht="15.75" thickBot="1" x14ac:dyDescent="0.3">
      <c r="A80" t="s">
        <v>373</v>
      </c>
      <c r="C80" s="23">
        <f>K3</f>
        <v>46690000000</v>
      </c>
    </row>
    <row r="81" spans="1:8" x14ac:dyDescent="0.25">
      <c r="A81" s="846"/>
      <c r="B81" s="798" t="s">
        <v>374</v>
      </c>
      <c r="C81" s="848"/>
      <c r="D81" s="848"/>
      <c r="E81" s="848"/>
      <c r="F81" s="849"/>
      <c r="G81" s="850" t="s">
        <v>367</v>
      </c>
      <c r="H81" s="22"/>
    </row>
    <row r="82" spans="1:8" x14ac:dyDescent="0.25">
      <c r="A82" s="847"/>
      <c r="B82" s="15" t="s">
        <v>375</v>
      </c>
      <c r="C82" s="16" t="s">
        <v>376</v>
      </c>
      <c r="D82" s="16" t="s">
        <v>377</v>
      </c>
      <c r="E82" s="16" t="s">
        <v>378</v>
      </c>
      <c r="F82" s="16" t="s">
        <v>379</v>
      </c>
      <c r="G82" s="851"/>
      <c r="H82" s="22"/>
    </row>
    <row r="83" spans="1:8" x14ac:dyDescent="0.25">
      <c r="A83" s="143" t="str">
        <f>A52</f>
        <v>Tunis</v>
      </c>
      <c r="B83" s="242">
        <v>0</v>
      </c>
      <c r="C83" s="242">
        <v>0</v>
      </c>
      <c r="D83" s="242" t="e">
        <f>Z20</f>
        <v>#DIV/0!</v>
      </c>
      <c r="E83" s="242">
        <f>E52</f>
        <v>0</v>
      </c>
      <c r="F83" s="214" t="e">
        <f>SUM(B83:E83)</f>
        <v>#DIV/0!</v>
      </c>
      <c r="G83" s="150" t="e">
        <f>F83/$C$80</f>
        <v>#DIV/0!</v>
      </c>
      <c r="H83" s="61"/>
    </row>
    <row r="84" spans="1:8" x14ac:dyDescent="0.25">
      <c r="A84" s="143" t="str">
        <f t="shared" ref="A84:A106" si="14">A53</f>
        <v>Ariana</v>
      </c>
      <c r="B84" s="242">
        <v>0</v>
      </c>
      <c r="C84" s="242">
        <v>0</v>
      </c>
      <c r="D84" s="242" t="e">
        <f t="shared" ref="D84:D106" si="15">Z21</f>
        <v>#DIV/0!</v>
      </c>
      <c r="E84" s="242">
        <f t="shared" ref="E84:E106" si="16">E53</f>
        <v>0</v>
      </c>
      <c r="F84" s="214" t="e">
        <f t="shared" ref="F84:F106" si="17">SUM(B84:E84)</f>
        <v>#DIV/0!</v>
      </c>
      <c r="G84" s="150" t="e">
        <f t="shared" ref="G84:G107" si="18">F84/$C$80</f>
        <v>#DIV/0!</v>
      </c>
      <c r="H84" s="61"/>
    </row>
    <row r="85" spans="1:8" x14ac:dyDescent="0.25">
      <c r="A85" s="143" t="str">
        <f t="shared" si="14"/>
        <v>La Manouba</v>
      </c>
      <c r="B85" s="242">
        <v>0</v>
      </c>
      <c r="C85" s="242">
        <v>0</v>
      </c>
      <c r="D85" s="242" t="e">
        <f t="shared" si="15"/>
        <v>#DIV/0!</v>
      </c>
      <c r="E85" s="242">
        <f t="shared" si="16"/>
        <v>0</v>
      </c>
      <c r="F85" s="214" t="e">
        <f t="shared" si="17"/>
        <v>#DIV/0!</v>
      </c>
      <c r="G85" s="150" t="e">
        <f t="shared" si="18"/>
        <v>#DIV/0!</v>
      </c>
      <c r="H85" s="61"/>
    </row>
    <row r="86" spans="1:8" x14ac:dyDescent="0.25">
      <c r="A86" s="143" t="str">
        <f t="shared" si="14"/>
        <v>Ben Arous</v>
      </c>
      <c r="B86" s="242">
        <v>0</v>
      </c>
      <c r="C86" s="242">
        <v>0</v>
      </c>
      <c r="D86" s="242" t="e">
        <f t="shared" si="15"/>
        <v>#DIV/0!</v>
      </c>
      <c r="E86" s="242">
        <f t="shared" si="16"/>
        <v>0</v>
      </c>
      <c r="F86" s="214" t="e">
        <f t="shared" si="17"/>
        <v>#DIV/0!</v>
      </c>
      <c r="G86" s="150" t="e">
        <f t="shared" si="18"/>
        <v>#DIV/0!</v>
      </c>
      <c r="H86" s="61"/>
    </row>
    <row r="87" spans="1:8" x14ac:dyDescent="0.25">
      <c r="A87" s="143" t="str">
        <f t="shared" si="14"/>
        <v>Nabeul</v>
      </c>
      <c r="B87" s="242">
        <v>0</v>
      </c>
      <c r="C87" s="242">
        <v>0</v>
      </c>
      <c r="D87" s="242" t="e">
        <f t="shared" si="15"/>
        <v>#DIV/0!</v>
      </c>
      <c r="E87" s="242">
        <f t="shared" si="16"/>
        <v>0</v>
      </c>
      <c r="F87" s="214" t="e">
        <f t="shared" si="17"/>
        <v>#DIV/0!</v>
      </c>
      <c r="G87" s="150" t="e">
        <f t="shared" si="18"/>
        <v>#DIV/0!</v>
      </c>
      <c r="H87" s="61"/>
    </row>
    <row r="88" spans="1:8" x14ac:dyDescent="0.25">
      <c r="A88" s="143" t="str">
        <f t="shared" si="14"/>
        <v>Bizerte</v>
      </c>
      <c r="B88" s="242">
        <v>0</v>
      </c>
      <c r="C88" s="242">
        <v>0</v>
      </c>
      <c r="D88" s="242" t="e">
        <f t="shared" si="15"/>
        <v>#DIV/0!</v>
      </c>
      <c r="E88" s="242">
        <f t="shared" si="16"/>
        <v>0</v>
      </c>
      <c r="F88" s="214" t="e">
        <f t="shared" si="17"/>
        <v>#DIV/0!</v>
      </c>
      <c r="G88" s="150" t="e">
        <f t="shared" si="18"/>
        <v>#DIV/0!</v>
      </c>
      <c r="H88" s="61"/>
    </row>
    <row r="89" spans="1:8" x14ac:dyDescent="0.25">
      <c r="A89" s="143" t="str">
        <f t="shared" si="14"/>
        <v>Zaghouan</v>
      </c>
      <c r="B89" s="242">
        <v>0</v>
      </c>
      <c r="C89" s="242">
        <v>0</v>
      </c>
      <c r="D89" s="242" t="e">
        <f t="shared" si="15"/>
        <v>#DIV/0!</v>
      </c>
      <c r="E89" s="242">
        <f t="shared" si="16"/>
        <v>0</v>
      </c>
      <c r="F89" s="214" t="e">
        <f t="shared" si="17"/>
        <v>#DIV/0!</v>
      </c>
      <c r="G89" s="150" t="e">
        <f t="shared" si="18"/>
        <v>#DIV/0!</v>
      </c>
      <c r="H89" s="61"/>
    </row>
    <row r="90" spans="1:8" x14ac:dyDescent="0.25">
      <c r="A90" s="143" t="str">
        <f t="shared" si="14"/>
        <v>Béja</v>
      </c>
      <c r="B90" s="242">
        <v>0</v>
      </c>
      <c r="C90" s="242">
        <v>0</v>
      </c>
      <c r="D90" s="242" t="e">
        <f t="shared" si="15"/>
        <v>#DIV/0!</v>
      </c>
      <c r="E90" s="242">
        <f t="shared" si="16"/>
        <v>0</v>
      </c>
      <c r="F90" s="214" t="e">
        <f t="shared" si="17"/>
        <v>#DIV/0!</v>
      </c>
      <c r="G90" s="150" t="e">
        <f t="shared" si="18"/>
        <v>#DIV/0!</v>
      </c>
      <c r="H90" s="61"/>
    </row>
    <row r="91" spans="1:8" x14ac:dyDescent="0.25">
      <c r="A91" s="143" t="str">
        <f t="shared" si="14"/>
        <v>Jendouba</v>
      </c>
      <c r="B91" s="242">
        <v>0</v>
      </c>
      <c r="C91" s="242">
        <v>0</v>
      </c>
      <c r="D91" s="242" t="e">
        <f t="shared" si="15"/>
        <v>#DIV/0!</v>
      </c>
      <c r="E91" s="242">
        <f t="shared" si="16"/>
        <v>0</v>
      </c>
      <c r="F91" s="214" t="e">
        <f t="shared" si="17"/>
        <v>#DIV/0!</v>
      </c>
      <c r="G91" s="150" t="e">
        <f t="shared" si="18"/>
        <v>#DIV/0!</v>
      </c>
      <c r="H91" s="61"/>
    </row>
    <row r="92" spans="1:8" x14ac:dyDescent="0.25">
      <c r="A92" s="143" t="str">
        <f t="shared" si="14"/>
        <v>Le Kef</v>
      </c>
      <c r="B92" s="242">
        <v>0</v>
      </c>
      <c r="C92" s="242">
        <v>0</v>
      </c>
      <c r="D92" s="242" t="e">
        <f t="shared" si="15"/>
        <v>#DIV/0!</v>
      </c>
      <c r="E92" s="242">
        <f t="shared" si="16"/>
        <v>0</v>
      </c>
      <c r="F92" s="214" t="e">
        <f t="shared" si="17"/>
        <v>#DIV/0!</v>
      </c>
      <c r="G92" s="150" t="e">
        <f t="shared" si="18"/>
        <v>#DIV/0!</v>
      </c>
      <c r="H92" s="61"/>
    </row>
    <row r="93" spans="1:8" x14ac:dyDescent="0.25">
      <c r="A93" s="143" t="str">
        <f t="shared" si="14"/>
        <v>Siliana</v>
      </c>
      <c r="B93" s="242">
        <v>0</v>
      </c>
      <c r="C93" s="242">
        <v>0</v>
      </c>
      <c r="D93" s="242" t="e">
        <f t="shared" si="15"/>
        <v>#DIV/0!</v>
      </c>
      <c r="E93" s="242">
        <f t="shared" si="16"/>
        <v>0</v>
      </c>
      <c r="F93" s="214" t="e">
        <f t="shared" si="17"/>
        <v>#DIV/0!</v>
      </c>
      <c r="G93" s="150" t="e">
        <f t="shared" si="18"/>
        <v>#DIV/0!</v>
      </c>
      <c r="H93" s="61"/>
    </row>
    <row r="94" spans="1:8" x14ac:dyDescent="0.25">
      <c r="A94" s="143" t="str">
        <f t="shared" si="14"/>
        <v>Sousse</v>
      </c>
      <c r="B94" s="242">
        <v>0</v>
      </c>
      <c r="C94" s="242">
        <v>0</v>
      </c>
      <c r="D94" s="242" t="e">
        <f t="shared" si="15"/>
        <v>#DIV/0!</v>
      </c>
      <c r="E94" s="242">
        <f t="shared" si="16"/>
        <v>0</v>
      </c>
      <c r="F94" s="214" t="e">
        <f t="shared" si="17"/>
        <v>#DIV/0!</v>
      </c>
      <c r="G94" s="150" t="e">
        <f t="shared" si="18"/>
        <v>#DIV/0!</v>
      </c>
      <c r="H94" s="61"/>
    </row>
    <row r="95" spans="1:8" x14ac:dyDescent="0.25">
      <c r="A95" s="143" t="str">
        <f t="shared" si="14"/>
        <v>Monastir</v>
      </c>
      <c r="B95" s="242">
        <v>0</v>
      </c>
      <c r="C95" s="242">
        <v>0</v>
      </c>
      <c r="D95" s="242" t="e">
        <f t="shared" si="15"/>
        <v>#DIV/0!</v>
      </c>
      <c r="E95" s="242">
        <f t="shared" si="16"/>
        <v>0</v>
      </c>
      <c r="F95" s="214" t="e">
        <f t="shared" si="17"/>
        <v>#DIV/0!</v>
      </c>
      <c r="G95" s="150" t="e">
        <f t="shared" si="18"/>
        <v>#DIV/0!</v>
      </c>
      <c r="H95" s="61"/>
    </row>
    <row r="96" spans="1:8" x14ac:dyDescent="0.25">
      <c r="A96" s="143" t="str">
        <f t="shared" si="14"/>
        <v>Mahdia</v>
      </c>
      <c r="B96" s="242">
        <v>0</v>
      </c>
      <c r="C96" s="242">
        <v>0</v>
      </c>
      <c r="D96" s="242" t="e">
        <f t="shared" si="15"/>
        <v>#DIV/0!</v>
      </c>
      <c r="E96" s="242">
        <f t="shared" si="16"/>
        <v>0</v>
      </c>
      <c r="F96" s="214" t="e">
        <f t="shared" si="17"/>
        <v>#DIV/0!</v>
      </c>
      <c r="G96" s="150" t="e">
        <f t="shared" si="18"/>
        <v>#DIV/0!</v>
      </c>
      <c r="H96" s="61"/>
    </row>
    <row r="97" spans="1:17" x14ac:dyDescent="0.25">
      <c r="A97" s="143" t="str">
        <f t="shared" si="14"/>
        <v>Sfax</v>
      </c>
      <c r="B97" s="242">
        <v>0</v>
      </c>
      <c r="C97" s="242">
        <v>0</v>
      </c>
      <c r="D97" s="242" t="e">
        <f t="shared" si="15"/>
        <v>#DIV/0!</v>
      </c>
      <c r="E97" s="242">
        <f t="shared" si="16"/>
        <v>0</v>
      </c>
      <c r="F97" s="214" t="e">
        <f t="shared" si="17"/>
        <v>#DIV/0!</v>
      </c>
      <c r="G97" s="150" t="e">
        <f t="shared" si="18"/>
        <v>#DIV/0!</v>
      </c>
      <c r="H97" s="61"/>
    </row>
    <row r="98" spans="1:17" x14ac:dyDescent="0.25">
      <c r="A98" s="143" t="str">
        <f t="shared" si="14"/>
        <v>Kairouan</v>
      </c>
      <c r="B98" s="242">
        <v>0</v>
      </c>
      <c r="C98" s="242">
        <v>0</v>
      </c>
      <c r="D98" s="242" t="e">
        <f t="shared" si="15"/>
        <v>#DIV/0!</v>
      </c>
      <c r="E98" s="242">
        <f t="shared" si="16"/>
        <v>0</v>
      </c>
      <c r="F98" s="214" t="e">
        <f t="shared" si="17"/>
        <v>#DIV/0!</v>
      </c>
      <c r="G98" s="150" t="e">
        <f t="shared" si="18"/>
        <v>#DIV/0!</v>
      </c>
      <c r="H98" s="61"/>
      <c r="K98" s="1" t="s">
        <v>380</v>
      </c>
    </row>
    <row r="99" spans="1:17" x14ac:dyDescent="0.25">
      <c r="A99" s="143" t="str">
        <f t="shared" si="14"/>
        <v>Kasserine</v>
      </c>
      <c r="B99" s="242">
        <v>0</v>
      </c>
      <c r="C99" s="242">
        <v>0</v>
      </c>
      <c r="D99" s="242" t="e">
        <f t="shared" si="15"/>
        <v>#DIV/0!</v>
      </c>
      <c r="E99" s="242">
        <f t="shared" si="16"/>
        <v>0</v>
      </c>
      <c r="F99" s="214" t="e">
        <f t="shared" si="17"/>
        <v>#DIV/0!</v>
      </c>
      <c r="G99" s="150" t="e">
        <f t="shared" si="18"/>
        <v>#DIV/0!</v>
      </c>
      <c r="H99" s="61"/>
      <c r="K99" t="s">
        <v>381</v>
      </c>
      <c r="L99" t="s">
        <v>382</v>
      </c>
      <c r="M99" t="s">
        <v>383</v>
      </c>
      <c r="N99" t="s">
        <v>384</v>
      </c>
      <c r="O99" t="s">
        <v>385</v>
      </c>
      <c r="P99" t="s">
        <v>386</v>
      </c>
      <c r="Q99" t="s">
        <v>213</v>
      </c>
    </row>
    <row r="100" spans="1:17" x14ac:dyDescent="0.25">
      <c r="A100" s="143" t="str">
        <f t="shared" si="14"/>
        <v>Sidi Bouzid</v>
      </c>
      <c r="B100" s="242">
        <v>0</v>
      </c>
      <c r="C100" s="242">
        <v>0</v>
      </c>
      <c r="D100" s="242" t="e">
        <f t="shared" si="15"/>
        <v>#DIV/0!</v>
      </c>
      <c r="E100" s="242">
        <f t="shared" si="16"/>
        <v>0</v>
      </c>
      <c r="F100" s="214" t="e">
        <f t="shared" si="17"/>
        <v>#DIV/0!</v>
      </c>
      <c r="G100" s="150" t="e">
        <f t="shared" si="18"/>
        <v>#DIV/0!</v>
      </c>
      <c r="H100" s="61"/>
      <c r="J100" t="s">
        <v>387</v>
      </c>
      <c r="K100" s="186">
        <v>425</v>
      </c>
      <c r="L100" s="186">
        <v>395</v>
      </c>
      <c r="M100" s="186">
        <v>478</v>
      </c>
      <c r="N100" s="186">
        <v>460</v>
      </c>
      <c r="O100" s="186">
        <v>405</v>
      </c>
      <c r="P100" s="186">
        <v>539</v>
      </c>
      <c r="Q100" s="187">
        <f>SUMPRODUCT(K100:P100,K101:P101)/Q101</f>
        <v>450.92541087231353</v>
      </c>
    </row>
    <row r="101" spans="1:17" x14ac:dyDescent="0.25">
      <c r="A101" s="143" t="str">
        <f t="shared" si="14"/>
        <v>Gafsa</v>
      </c>
      <c r="B101" s="242">
        <v>0</v>
      </c>
      <c r="C101" s="242">
        <v>0</v>
      </c>
      <c r="D101" s="242" t="e">
        <f t="shared" si="15"/>
        <v>#DIV/0!</v>
      </c>
      <c r="E101" s="242">
        <f t="shared" si="16"/>
        <v>0</v>
      </c>
      <c r="F101" s="214" t="e">
        <f t="shared" si="17"/>
        <v>#DIV/0!</v>
      </c>
      <c r="G101" s="150" t="e">
        <f t="shared" si="18"/>
        <v>#DIV/0!</v>
      </c>
      <c r="H101" s="61"/>
      <c r="J101" t="s">
        <v>388</v>
      </c>
      <c r="K101">
        <v>11.7</v>
      </c>
      <c r="L101">
        <v>12.3</v>
      </c>
      <c r="M101">
        <v>22.8</v>
      </c>
      <c r="N101">
        <v>45</v>
      </c>
      <c r="O101">
        <v>43.9</v>
      </c>
      <c r="P101">
        <v>22.5</v>
      </c>
      <c r="Q101" s="9">
        <f>SUM(K101:P101)</f>
        <v>158.19999999999999</v>
      </c>
    </row>
    <row r="102" spans="1:17" x14ac:dyDescent="0.25">
      <c r="A102" s="143" t="str">
        <f t="shared" si="14"/>
        <v>Gabès</v>
      </c>
      <c r="B102" s="242">
        <v>0</v>
      </c>
      <c r="C102" s="242">
        <v>0</v>
      </c>
      <c r="D102" s="242" t="e">
        <f t="shared" si="15"/>
        <v>#DIV/0!</v>
      </c>
      <c r="E102" s="242">
        <f t="shared" si="16"/>
        <v>0</v>
      </c>
      <c r="F102" s="214" t="e">
        <f t="shared" si="17"/>
        <v>#DIV/0!</v>
      </c>
      <c r="G102" s="150" t="e">
        <f t="shared" si="18"/>
        <v>#DIV/0!</v>
      </c>
      <c r="H102" s="61"/>
    </row>
    <row r="103" spans="1:17" x14ac:dyDescent="0.25">
      <c r="A103" s="143" t="str">
        <f t="shared" si="14"/>
        <v>Médenine</v>
      </c>
      <c r="B103" s="242">
        <v>0</v>
      </c>
      <c r="C103" s="242">
        <v>0</v>
      </c>
      <c r="D103" s="242" t="e">
        <f t="shared" si="15"/>
        <v>#DIV/0!</v>
      </c>
      <c r="E103" s="242">
        <f t="shared" si="16"/>
        <v>0</v>
      </c>
      <c r="F103" s="214" t="e">
        <f t="shared" si="17"/>
        <v>#DIV/0!</v>
      </c>
      <c r="G103" s="150" t="e">
        <f t="shared" si="18"/>
        <v>#DIV/0!</v>
      </c>
      <c r="H103" s="61"/>
      <c r="J103" t="s">
        <v>82</v>
      </c>
      <c r="K103" s="20" t="s">
        <v>389</v>
      </c>
      <c r="O103" s="20" t="s">
        <v>390</v>
      </c>
    </row>
    <row r="104" spans="1:17" x14ac:dyDescent="0.25">
      <c r="A104" s="143" t="str">
        <f t="shared" si="14"/>
        <v>Tataouine</v>
      </c>
      <c r="B104" s="242">
        <v>0</v>
      </c>
      <c r="C104" s="242">
        <v>0</v>
      </c>
      <c r="D104" s="242" t="e">
        <f t="shared" si="15"/>
        <v>#DIV/0!</v>
      </c>
      <c r="E104" s="242">
        <f t="shared" si="16"/>
        <v>0</v>
      </c>
      <c r="F104" s="214" t="e">
        <f t="shared" si="17"/>
        <v>#DIV/0!</v>
      </c>
      <c r="G104" s="150" t="e">
        <f t="shared" si="18"/>
        <v>#DIV/0!</v>
      </c>
      <c r="H104" s="61"/>
      <c r="J104" s="838" t="s">
        <v>391</v>
      </c>
      <c r="K104" s="838"/>
      <c r="L104" s="838"/>
    </row>
    <row r="105" spans="1:17" x14ac:dyDescent="0.25">
      <c r="A105" s="143" t="str">
        <f t="shared" si="14"/>
        <v>Tozeur</v>
      </c>
      <c r="B105" s="242">
        <v>0</v>
      </c>
      <c r="C105" s="242">
        <v>0</v>
      </c>
      <c r="D105" s="242" t="e">
        <f t="shared" si="15"/>
        <v>#DIV/0!</v>
      </c>
      <c r="E105" s="242">
        <f t="shared" si="16"/>
        <v>0</v>
      </c>
      <c r="F105" s="214" t="e">
        <f t="shared" si="17"/>
        <v>#DIV/0!</v>
      </c>
      <c r="G105" s="150" t="e">
        <f t="shared" si="18"/>
        <v>#DIV/0!</v>
      </c>
      <c r="H105" s="61"/>
      <c r="L105" t="s">
        <v>392</v>
      </c>
    </row>
    <row r="106" spans="1:17" x14ac:dyDescent="0.25">
      <c r="A106" s="143" t="str">
        <f t="shared" si="14"/>
        <v>Kébili</v>
      </c>
      <c r="B106" s="242">
        <v>0</v>
      </c>
      <c r="C106" s="242">
        <v>0</v>
      </c>
      <c r="D106" s="242" t="e">
        <f t="shared" si="15"/>
        <v>#DIV/0!</v>
      </c>
      <c r="E106" s="242">
        <f t="shared" si="16"/>
        <v>0</v>
      </c>
      <c r="F106" s="214" t="e">
        <f t="shared" si="17"/>
        <v>#DIV/0!</v>
      </c>
      <c r="G106" s="150" t="e">
        <f t="shared" si="18"/>
        <v>#DIV/0!</v>
      </c>
      <c r="H106" s="61"/>
      <c r="L106" s="188">
        <f>Q100</f>
        <v>450.92541087231353</v>
      </c>
    </row>
    <row r="107" spans="1:17" x14ac:dyDescent="0.25">
      <c r="A107" s="144" t="s">
        <v>163</v>
      </c>
      <c r="B107" s="214">
        <f>SUM(B83:B106)</f>
        <v>0</v>
      </c>
      <c r="C107" s="214">
        <f t="shared" ref="C107:E107" si="19">SUM(C83:C106)</f>
        <v>0</v>
      </c>
      <c r="D107" s="214" t="e">
        <f t="shared" si="19"/>
        <v>#DIV/0!</v>
      </c>
      <c r="E107" s="214">
        <f t="shared" si="19"/>
        <v>0</v>
      </c>
      <c r="F107" s="214" t="e">
        <f>SUM(B107:E107)</f>
        <v>#DIV/0!</v>
      </c>
      <c r="G107" s="150" t="e">
        <f t="shared" si="18"/>
        <v>#DIV/0!</v>
      </c>
      <c r="H107" s="61"/>
    </row>
    <row r="108" spans="1:17" ht="15.75" thickBot="1" x14ac:dyDescent="0.3">
      <c r="A108" s="145" t="s">
        <v>393</v>
      </c>
      <c r="B108" s="165">
        <f>B107/'Summary-all-crops'!$C$3</f>
        <v>0</v>
      </c>
      <c r="C108" s="165">
        <f>C107/'Summary-all-crops'!$C$3</f>
        <v>0</v>
      </c>
      <c r="D108" s="165" t="e">
        <f>D107/'Summary-all-crops'!$C$3</f>
        <v>#DIV/0!</v>
      </c>
      <c r="E108" s="165">
        <f>E107/'Summary-all-crops'!$C$3</f>
        <v>0</v>
      </c>
      <c r="F108" s="165" t="e">
        <f>F107/'Summary-all-crops'!$C$3</f>
        <v>#DIV/0!</v>
      </c>
      <c r="G108" s="497" t="e">
        <f>F108=G107</f>
        <v>#DIV/0!</v>
      </c>
    </row>
    <row r="109" spans="1:17" x14ac:dyDescent="0.25">
      <c r="F109" s="92" t="e">
        <f>F107*K1</f>
        <v>#DIV/0!</v>
      </c>
      <c r="G109" s="498" t="e">
        <f>SUM(F83:F106)=F107</f>
        <v>#DIV/0!</v>
      </c>
    </row>
    <row r="111" spans="1:17" x14ac:dyDescent="0.25">
      <c r="A111" s="845" t="s">
        <v>394</v>
      </c>
      <c r="B111" s="845"/>
      <c r="C111" s="845"/>
      <c r="D111" s="845"/>
      <c r="E111" s="845"/>
      <c r="F111" s="845"/>
      <c r="G111" s="845"/>
      <c r="H111" s="845"/>
      <c r="I111" s="845"/>
      <c r="J111" s="845"/>
      <c r="K111" s="845"/>
      <c r="L111" s="845"/>
      <c r="M111" s="845"/>
      <c r="N111" s="845"/>
      <c r="O111" s="845"/>
      <c r="P111" s="845"/>
      <c r="Q111" s="845"/>
    </row>
    <row r="112" spans="1:17" x14ac:dyDescent="0.25">
      <c r="A112" s="24"/>
      <c r="B112" s="62"/>
      <c r="C112" s="6"/>
      <c r="D112" s="6"/>
      <c r="E112" s="6"/>
      <c r="F112" s="6"/>
      <c r="G112" s="6"/>
      <c r="H112" s="6"/>
      <c r="I112" s="6"/>
      <c r="J112" s="6"/>
      <c r="K112" s="6"/>
      <c r="L112" s="6"/>
      <c r="M112" s="6"/>
      <c r="N112" s="6"/>
      <c r="O112" s="6"/>
      <c r="P112" s="6"/>
      <c r="Q112" s="6"/>
    </row>
    <row r="113" spans="1:17" x14ac:dyDescent="0.25">
      <c r="A113" s="24"/>
      <c r="B113" s="62" t="s">
        <v>1263</v>
      </c>
      <c r="C113" s="6"/>
      <c r="D113" s="6"/>
      <c r="E113" s="6"/>
      <c r="F113" s="6"/>
      <c r="G113" s="6"/>
      <c r="H113" s="6"/>
      <c r="I113" s="6"/>
      <c r="J113" s="6"/>
      <c r="K113" s="6"/>
      <c r="L113" s="6"/>
      <c r="M113" s="6"/>
      <c r="N113" s="6"/>
      <c r="O113" s="6"/>
      <c r="P113" s="6"/>
      <c r="Q113" s="6"/>
    </row>
    <row r="114" spans="1:17" x14ac:dyDescent="0.25">
      <c r="A114" s="24" t="e">
        <f>F107</f>
        <v>#DIV/0!</v>
      </c>
      <c r="B114" s="6" t="s">
        <v>397</v>
      </c>
      <c r="C114" s="24" t="e">
        <f>A114*K1</f>
        <v>#DIV/0!</v>
      </c>
      <c r="D114" s="6" t="s">
        <v>398</v>
      </c>
      <c r="E114" s="6"/>
      <c r="F114" s="176" t="e">
        <f>G107</f>
        <v>#DIV/0!</v>
      </c>
      <c r="G114" s="6" t="s">
        <v>399</v>
      </c>
      <c r="H114" s="6"/>
      <c r="I114" s="6"/>
      <c r="J114" s="6"/>
      <c r="K114" s="6"/>
      <c r="L114" s="6"/>
      <c r="M114" s="6"/>
      <c r="N114" s="6"/>
      <c r="O114" s="6"/>
      <c r="P114" s="6"/>
      <c r="Q114" s="6"/>
    </row>
  </sheetData>
  <mergeCells count="21">
    <mergeCell ref="C18:E18"/>
    <mergeCell ref="F18:I18"/>
    <mergeCell ref="J18:M18"/>
    <mergeCell ref="N18:Q18"/>
    <mergeCell ref="A1:E1"/>
    <mergeCell ref="J104:L104"/>
    <mergeCell ref="A111:Q111"/>
    <mergeCell ref="Z18:Z19"/>
    <mergeCell ref="A49:A51"/>
    <mergeCell ref="B49:E49"/>
    <mergeCell ref="A81:A82"/>
    <mergeCell ref="B81:F81"/>
    <mergeCell ref="G81:G82"/>
    <mergeCell ref="R18:R19"/>
    <mergeCell ref="S18:S19"/>
    <mergeCell ref="T18:T19"/>
    <mergeCell ref="U18:U19"/>
    <mergeCell ref="V18:V19"/>
    <mergeCell ref="W18:W19"/>
    <mergeCell ref="A17:A18"/>
    <mergeCell ref="B17:F17"/>
  </mergeCells>
  <hyperlinks>
    <hyperlink ref="I16" r:id="rId1" xr:uid="{FF0BD9AE-382E-41FB-9644-859F0C6AD47D}"/>
    <hyperlink ref="K103" r:id="rId2" xr:uid="{63B01650-9EDB-4576-A4D4-661F60D750B8}"/>
    <hyperlink ref="O103" r:id="rId3" xr:uid="{33314AA5-6274-4603-9E40-8CF31658096E}"/>
    <hyperlink ref="H11" r:id="rId4" xr:uid="{17816198-7A8F-4244-9824-6B4D34248784}"/>
    <hyperlink ref="H13" r:id="rId5" location=":~:text=The%20study%2C%20published%20today%20in,estimate%20of%20%2451%20per%20ton. " xr:uid="{ADCE111F-EA8F-4981-8DAB-320379BD2685}"/>
  </hyperlinks>
  <pageMargins left="0.7" right="0.7" top="0.75" bottom="0.75" header="0.3" footer="0.3"/>
  <legacyDrawing r:id="rId6"/>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98AC6-75F7-4F28-9D43-3ADCFE4B7960}">
  <dimension ref="A1:N48"/>
  <sheetViews>
    <sheetView topLeftCell="B36" workbookViewId="0">
      <selection activeCell="L47" sqref="L47:M47"/>
    </sheetView>
  </sheetViews>
  <sheetFormatPr defaultRowHeight="15" x14ac:dyDescent="0.25"/>
  <cols>
    <col min="1" max="1" width="93.5703125" customWidth="1"/>
    <col min="2" max="2" width="21" customWidth="1"/>
    <col min="3" max="3" width="18" customWidth="1"/>
    <col min="4" max="4" width="17.140625" customWidth="1"/>
    <col min="5" max="5" width="17.5703125" customWidth="1"/>
    <col min="6" max="6" width="10.85546875" customWidth="1"/>
    <col min="7" max="7" width="12.7109375" customWidth="1"/>
    <col min="8" max="8" width="12.5703125" bestFit="1" customWidth="1"/>
    <col min="9" max="9" width="14.85546875" customWidth="1"/>
    <col min="10" max="10" width="12.5703125" bestFit="1" customWidth="1"/>
    <col min="13" max="13" width="11.5703125" customWidth="1"/>
    <col min="14" max="14" width="12.140625" customWidth="1"/>
  </cols>
  <sheetData>
    <row r="1" spans="1:11" x14ac:dyDescent="0.25">
      <c r="D1" s="17" t="s">
        <v>1138</v>
      </c>
      <c r="E1" s="1" t="s">
        <v>686</v>
      </c>
      <c r="F1" s="1" t="s">
        <v>63</v>
      </c>
      <c r="H1" s="1" t="s">
        <v>400</v>
      </c>
      <c r="I1" s="1"/>
      <c r="J1" s="243">
        <f>'Prices,exch.rates,harvest index'!M2</f>
        <v>2.8759999999999999</v>
      </c>
      <c r="K1" s="1" t="s">
        <v>257</v>
      </c>
    </row>
    <row r="2" spans="1:11" x14ac:dyDescent="0.25">
      <c r="A2" s="1" t="s">
        <v>1149</v>
      </c>
      <c r="B2" s="1"/>
      <c r="C2" s="1"/>
      <c r="D2" s="124">
        <f>'Cereals-all-year'!D19</f>
        <v>0</v>
      </c>
      <c r="E2" s="26">
        <f>'Prices,exch.rates,harvest index'!M28</f>
        <v>0</v>
      </c>
      <c r="F2" s="23">
        <f>'Prices,exch.rates,harvest index'!G36</f>
        <v>0</v>
      </c>
    </row>
    <row r="3" spans="1:11" x14ac:dyDescent="0.25">
      <c r="A3" s="1" t="s">
        <v>1150</v>
      </c>
      <c r="B3" s="1"/>
      <c r="C3" s="1"/>
      <c r="D3" s="124">
        <f>'Cereals-all-year'!D20</f>
        <v>0</v>
      </c>
      <c r="E3" s="191">
        <v>0</v>
      </c>
      <c r="F3" s="191">
        <v>0</v>
      </c>
    </row>
    <row r="4" spans="1:11" x14ac:dyDescent="0.25">
      <c r="A4" t="s">
        <v>372</v>
      </c>
      <c r="B4" s="24">
        <f>'Cereals-all-year'!K2</f>
        <v>134280440000</v>
      </c>
      <c r="C4" s="1"/>
      <c r="D4" s="324"/>
    </row>
    <row r="5" spans="1:11" x14ac:dyDescent="0.25">
      <c r="A5" t="s">
        <v>373</v>
      </c>
      <c r="B5" s="24">
        <f>'Cereals-all-year'!K3</f>
        <v>46690000000</v>
      </c>
      <c r="C5" s="1"/>
      <c r="D5" s="324"/>
    </row>
    <row r="6" spans="1:11" x14ac:dyDescent="0.25">
      <c r="A6" s="1"/>
      <c r="B6" s="1"/>
      <c r="C6" s="1"/>
      <c r="D6" s="324"/>
    </row>
    <row r="7" spans="1:11" x14ac:dyDescent="0.25">
      <c r="A7" s="1" t="s">
        <v>983</v>
      </c>
      <c r="B7" s="60" t="s">
        <v>1138</v>
      </c>
      <c r="C7" t="s">
        <v>196</v>
      </c>
      <c r="D7" t="s">
        <v>1145</v>
      </c>
      <c r="E7" t="s">
        <v>120</v>
      </c>
    </row>
    <row r="8" spans="1:11" x14ac:dyDescent="0.25">
      <c r="A8" t="s">
        <v>984</v>
      </c>
      <c r="B8" s="737">
        <f>H45</f>
        <v>0</v>
      </c>
      <c r="C8" s="737">
        <f t="shared" ref="C8:D8" si="0">I45</f>
        <v>0</v>
      </c>
      <c r="D8" s="737">
        <f t="shared" si="0"/>
        <v>0</v>
      </c>
      <c r="E8" s="24">
        <f>SUM(B8:D8)</f>
        <v>0</v>
      </c>
    </row>
    <row r="9" spans="1:11" x14ac:dyDescent="0.25">
      <c r="A9" t="s">
        <v>1146</v>
      </c>
      <c r="B9" s="26">
        <f>'Yield-data'!C29</f>
        <v>0</v>
      </c>
      <c r="C9" s="140" t="str">
        <f>'Yield-data'!N29</f>
        <v/>
      </c>
      <c r="D9" s="95">
        <v>0.48532937245773938</v>
      </c>
    </row>
    <row r="10" spans="1:11" x14ac:dyDescent="0.25">
      <c r="A10" t="s">
        <v>1151</v>
      </c>
      <c r="B10" s="26" t="e">
        <f>'Cereals-all-year'!F61*'Production-loss-abandoned lands'!B9</f>
        <v>#DIV/0!</v>
      </c>
      <c r="C10" s="191">
        <v>0</v>
      </c>
      <c r="D10" s="191">
        <v>0</v>
      </c>
    </row>
    <row r="11" spans="1:11" x14ac:dyDescent="0.25">
      <c r="A11" t="s">
        <v>1148</v>
      </c>
      <c r="B11" s="468" t="e">
        <f>L47</f>
        <v>#DIV/0!</v>
      </c>
      <c r="C11" s="468" t="e">
        <f t="shared" ref="C11:D11" si="1">M47</f>
        <v>#DIV/0!</v>
      </c>
      <c r="D11" s="468">
        <f t="shared" si="1"/>
        <v>0</v>
      </c>
    </row>
    <row r="12" spans="1:11" x14ac:dyDescent="0.25">
      <c r="A12" t="s">
        <v>985</v>
      </c>
      <c r="B12" s="67" t="e">
        <f>(100%-B11)*B9*B8</f>
        <v>#DIV/0!</v>
      </c>
      <c r="C12" s="67" t="e">
        <f t="shared" ref="C12:D12" si="2">(100%-C11)*C9*C8</f>
        <v>#DIV/0!</v>
      </c>
      <c r="D12" s="67">
        <f t="shared" si="2"/>
        <v>0</v>
      </c>
    </row>
    <row r="13" spans="1:11" x14ac:dyDescent="0.25">
      <c r="A13" t="s">
        <v>986</v>
      </c>
      <c r="B13" s="67" t="e">
        <f>(100%-B11)*B10*B8</f>
        <v>#DIV/0!</v>
      </c>
      <c r="C13" s="67" t="e">
        <f>(100%-C11)*C10*C8</f>
        <v>#DIV/0!</v>
      </c>
      <c r="D13" s="67">
        <f t="shared" ref="D13" si="3">(100%-D11)*D10*D8</f>
        <v>0</v>
      </c>
    </row>
    <row r="14" spans="1:11" x14ac:dyDescent="0.25">
      <c r="A14" t="s">
        <v>987</v>
      </c>
      <c r="B14" s="23" t="e">
        <f>D2*B12+D3*B13</f>
        <v>#DIV/0!</v>
      </c>
      <c r="C14" s="23" t="e">
        <f>E2*C12+E3*C13</f>
        <v>#DIV/0!</v>
      </c>
      <c r="D14" s="23">
        <f>F2*D12+F3*D13</f>
        <v>0</v>
      </c>
      <c r="E14" s="26" t="e">
        <f>SUM(B14:D14)</f>
        <v>#DIV/0!</v>
      </c>
    </row>
    <row r="15" spans="1:11" x14ac:dyDescent="0.25">
      <c r="A15" t="s">
        <v>988</v>
      </c>
      <c r="B15" s="23" t="e">
        <f>(B14+C14+D14)*J1</f>
        <v>#DIV/0!</v>
      </c>
      <c r="E15" s="51" t="e">
        <f>E14/B5</f>
        <v>#DIV/0!</v>
      </c>
    </row>
    <row r="16" spans="1:11" x14ac:dyDescent="0.25">
      <c r="E16" s="119" t="e">
        <f>E15=B17</f>
        <v>#DIV/0!</v>
      </c>
    </row>
    <row r="17" spans="1:14" x14ac:dyDescent="0.25">
      <c r="A17" t="s">
        <v>989</v>
      </c>
      <c r="B17" s="51" t="e">
        <f>B15/B4</f>
        <v>#DIV/0!</v>
      </c>
    </row>
    <row r="19" spans="1:14" x14ac:dyDescent="0.25">
      <c r="A19" s="5" t="s">
        <v>1144</v>
      </c>
      <c r="E19" s="868" t="s">
        <v>1140</v>
      </c>
      <c r="F19" s="868"/>
      <c r="G19" s="868"/>
      <c r="L19" s="868" t="s">
        <v>1143</v>
      </c>
      <c r="M19" s="868"/>
      <c r="N19" s="868"/>
    </row>
    <row r="20" spans="1:14" ht="75" x14ac:dyDescent="0.25">
      <c r="B20" s="13" t="s">
        <v>101</v>
      </c>
      <c r="C20" s="347" t="s">
        <v>1163</v>
      </c>
      <c r="D20" s="232" t="s">
        <v>1114</v>
      </c>
      <c r="E20" s="2" t="s">
        <v>1138</v>
      </c>
      <c r="F20" s="2" t="s">
        <v>1139</v>
      </c>
      <c r="G20" s="2" t="s">
        <v>63</v>
      </c>
      <c r="H20" t="s">
        <v>1135</v>
      </c>
      <c r="I20" t="s">
        <v>1136</v>
      </c>
      <c r="J20" t="s">
        <v>1137</v>
      </c>
      <c r="K20" s="2" t="s">
        <v>1142</v>
      </c>
      <c r="L20" s="2" t="s">
        <v>1138</v>
      </c>
      <c r="M20" s="2" t="s">
        <v>1139</v>
      </c>
      <c r="N20" s="2" t="s">
        <v>63</v>
      </c>
    </row>
    <row r="21" spans="1:14" x14ac:dyDescent="0.25">
      <c r="A21" s="13">
        <v>1</v>
      </c>
      <c r="B21" s="584" t="s">
        <v>139</v>
      </c>
      <c r="C21" s="253"/>
      <c r="D21" s="313"/>
      <c r="E21" s="140">
        <f>'Yield-data'!C5</f>
        <v>0</v>
      </c>
      <c r="F21" s="140" t="e">
        <f>'Yield-data'!N5</f>
        <v>#DIV/0!</v>
      </c>
      <c r="G21" s="95">
        <v>0.38318284424379234</v>
      </c>
      <c r="H21" s="466"/>
      <c r="I21" s="466"/>
      <c r="J21" s="466"/>
      <c r="K21" s="466"/>
      <c r="L21" s="140">
        <f>$K21*E21</f>
        <v>0</v>
      </c>
      <c r="M21" s="140" t="e">
        <f t="shared" ref="M21:N21" si="4">$K21*F21</f>
        <v>#DIV/0!</v>
      </c>
      <c r="N21" s="140">
        <f t="shared" si="4"/>
        <v>0</v>
      </c>
    </row>
    <row r="22" spans="1:14" x14ac:dyDescent="0.25">
      <c r="A22" s="13">
        <v>2</v>
      </c>
      <c r="B22" s="584" t="s">
        <v>140</v>
      </c>
      <c r="C22" s="253"/>
      <c r="D22" s="313"/>
      <c r="E22" s="140">
        <f>'Yield-data'!C6</f>
        <v>0</v>
      </c>
      <c r="F22" s="140" t="e">
        <f>'Yield-data'!N6</f>
        <v>#DIV/0!</v>
      </c>
      <c r="G22" s="95">
        <v>0.38318284424379234</v>
      </c>
      <c r="H22" s="466"/>
      <c r="I22" s="466"/>
      <c r="J22" s="466"/>
      <c r="K22" s="466"/>
      <c r="L22" s="140">
        <f t="shared" ref="L22:L44" si="5">$K22*E22</f>
        <v>0</v>
      </c>
      <c r="M22" s="140" t="e">
        <f t="shared" ref="M22:M44" si="6">$K22*F22</f>
        <v>#DIV/0!</v>
      </c>
      <c r="N22" s="140">
        <f t="shared" ref="N22:N44" si="7">$K22*G22</f>
        <v>0</v>
      </c>
    </row>
    <row r="23" spans="1:14" x14ac:dyDescent="0.25">
      <c r="A23" s="13">
        <v>3</v>
      </c>
      <c r="B23" s="584" t="s">
        <v>141</v>
      </c>
      <c r="C23" s="253"/>
      <c r="D23" s="313"/>
      <c r="E23" s="140">
        <f>'Yield-data'!C7</f>
        <v>0</v>
      </c>
      <c r="F23" s="140" t="e">
        <f>'Yield-data'!N7</f>
        <v>#DIV/0!</v>
      </c>
      <c r="G23" s="95">
        <v>0.38318284424379234</v>
      </c>
      <c r="H23" s="466"/>
      <c r="I23" s="466"/>
      <c r="J23" s="466"/>
      <c r="K23" s="466"/>
      <c r="L23" s="140">
        <f t="shared" si="5"/>
        <v>0</v>
      </c>
      <c r="M23" s="140" t="e">
        <f t="shared" si="6"/>
        <v>#DIV/0!</v>
      </c>
      <c r="N23" s="140">
        <f t="shared" si="7"/>
        <v>0</v>
      </c>
    </row>
    <row r="24" spans="1:14" x14ac:dyDescent="0.25">
      <c r="A24" s="13">
        <v>4</v>
      </c>
      <c r="B24" s="584" t="s">
        <v>142</v>
      </c>
      <c r="C24" s="253"/>
      <c r="D24" s="313"/>
      <c r="E24" s="140">
        <f>'Yield-data'!C8</f>
        <v>0</v>
      </c>
      <c r="F24" s="140" t="e">
        <f>'Yield-data'!N8</f>
        <v>#DIV/0!</v>
      </c>
      <c r="G24" s="95">
        <v>0.38318284424379234</v>
      </c>
      <c r="H24" s="466"/>
      <c r="I24" s="466"/>
      <c r="J24" s="466"/>
      <c r="K24" s="466"/>
      <c r="L24" s="140">
        <f t="shared" si="5"/>
        <v>0</v>
      </c>
      <c r="M24" s="140" t="e">
        <f t="shared" si="6"/>
        <v>#DIV/0!</v>
      </c>
      <c r="N24" s="140">
        <f t="shared" si="7"/>
        <v>0</v>
      </c>
    </row>
    <row r="25" spans="1:14" x14ac:dyDescent="0.25">
      <c r="A25" s="13">
        <v>5</v>
      </c>
      <c r="B25" s="584" t="s">
        <v>143</v>
      </c>
      <c r="C25" s="253"/>
      <c r="D25" s="313"/>
      <c r="E25" s="140">
        <f>'Yield-data'!C9</f>
        <v>0</v>
      </c>
      <c r="F25" s="140" t="e">
        <f>'Yield-data'!N9</f>
        <v>#DIV/0!</v>
      </c>
      <c r="G25" s="95">
        <v>0.38318284424379234</v>
      </c>
      <c r="H25" s="466"/>
      <c r="I25" s="466"/>
      <c r="J25" s="466"/>
      <c r="K25" s="466"/>
      <c r="L25" s="140">
        <f t="shared" si="5"/>
        <v>0</v>
      </c>
      <c r="M25" s="140" t="e">
        <f t="shared" si="6"/>
        <v>#DIV/0!</v>
      </c>
      <c r="N25" s="140">
        <f t="shared" si="7"/>
        <v>0</v>
      </c>
    </row>
    <row r="26" spans="1:14" x14ac:dyDescent="0.25">
      <c r="A26" s="13">
        <v>6</v>
      </c>
      <c r="B26" s="584" t="s">
        <v>144</v>
      </c>
      <c r="C26" s="253"/>
      <c r="D26" s="313"/>
      <c r="E26" s="140">
        <f>'Yield-data'!C10</f>
        <v>0</v>
      </c>
      <c r="F26" s="140" t="e">
        <f>'Yield-data'!N10</f>
        <v>#DIV/0!</v>
      </c>
      <c r="G26" s="95">
        <v>0.38318284424379234</v>
      </c>
      <c r="H26" s="466"/>
      <c r="I26" s="466"/>
      <c r="J26" s="466"/>
      <c r="K26" s="466"/>
      <c r="L26" s="140">
        <f t="shared" si="5"/>
        <v>0</v>
      </c>
      <c r="M26" s="140" t="e">
        <f t="shared" si="6"/>
        <v>#DIV/0!</v>
      </c>
      <c r="N26" s="140">
        <f t="shared" si="7"/>
        <v>0</v>
      </c>
    </row>
    <row r="27" spans="1:14" x14ac:dyDescent="0.25">
      <c r="A27" s="13">
        <v>7</v>
      </c>
      <c r="B27" s="584" t="s">
        <v>145</v>
      </c>
      <c r="C27" s="253"/>
      <c r="D27" s="313"/>
      <c r="E27" s="140">
        <f>'Yield-data'!C11</f>
        <v>0</v>
      </c>
      <c r="F27" s="140" t="e">
        <f>'Yield-data'!N11</f>
        <v>#DIV/0!</v>
      </c>
      <c r="G27" s="95">
        <v>0.38318284424379234</v>
      </c>
      <c r="H27" s="466"/>
      <c r="I27" s="466"/>
      <c r="J27" s="466"/>
      <c r="K27" s="466"/>
      <c r="L27" s="140">
        <f t="shared" si="5"/>
        <v>0</v>
      </c>
      <c r="M27" s="140" t="e">
        <f t="shared" si="6"/>
        <v>#DIV/0!</v>
      </c>
      <c r="N27" s="140">
        <f t="shared" si="7"/>
        <v>0</v>
      </c>
    </row>
    <row r="28" spans="1:14" x14ac:dyDescent="0.25">
      <c r="A28" s="13">
        <v>8</v>
      </c>
      <c r="B28" s="584" t="s">
        <v>146</v>
      </c>
      <c r="C28" s="253"/>
      <c r="D28" s="313"/>
      <c r="E28" s="140">
        <f>'Yield-data'!C12</f>
        <v>0</v>
      </c>
      <c r="F28" s="140" t="e">
        <f>'Yield-data'!N12</f>
        <v>#DIV/0!</v>
      </c>
      <c r="G28" s="95">
        <v>0.38318284424379234</v>
      </c>
      <c r="H28" s="466"/>
      <c r="I28" s="466"/>
      <c r="J28" s="466"/>
      <c r="K28" s="466"/>
      <c r="L28" s="140">
        <f t="shared" si="5"/>
        <v>0</v>
      </c>
      <c r="M28" s="140" t="e">
        <f t="shared" si="6"/>
        <v>#DIV/0!</v>
      </c>
      <c r="N28" s="140">
        <f t="shared" si="7"/>
        <v>0</v>
      </c>
    </row>
    <row r="29" spans="1:14" x14ac:dyDescent="0.25">
      <c r="A29" s="13">
        <v>9</v>
      </c>
      <c r="B29" s="584" t="s">
        <v>147</v>
      </c>
      <c r="C29" s="253"/>
      <c r="D29" s="313"/>
      <c r="E29" s="140">
        <f>'Yield-data'!C13</f>
        <v>0</v>
      </c>
      <c r="F29" s="140" t="e">
        <f>'Yield-data'!N13</f>
        <v>#DIV/0!</v>
      </c>
      <c r="G29" s="95">
        <v>0.38318284424379234</v>
      </c>
      <c r="H29" s="466"/>
      <c r="I29" s="466"/>
      <c r="J29" s="466"/>
      <c r="K29" s="466"/>
      <c r="L29" s="140">
        <f t="shared" si="5"/>
        <v>0</v>
      </c>
      <c r="M29" s="140" t="e">
        <f t="shared" si="6"/>
        <v>#DIV/0!</v>
      </c>
      <c r="N29" s="140">
        <f t="shared" si="7"/>
        <v>0</v>
      </c>
    </row>
    <row r="30" spans="1:14" x14ac:dyDescent="0.25">
      <c r="A30" s="13">
        <v>10</v>
      </c>
      <c r="B30" s="584" t="s">
        <v>148</v>
      </c>
      <c r="C30" s="253"/>
      <c r="D30" s="313"/>
      <c r="E30" s="140">
        <f>'Yield-data'!C14</f>
        <v>0</v>
      </c>
      <c r="F30" s="140" t="e">
        <f>'Yield-data'!N14</f>
        <v>#DIV/0!</v>
      </c>
      <c r="G30" s="95">
        <v>0.38318284424379234</v>
      </c>
      <c r="H30" s="466"/>
      <c r="I30" s="466"/>
      <c r="J30" s="466"/>
      <c r="K30" s="466"/>
      <c r="L30" s="140">
        <f t="shared" si="5"/>
        <v>0</v>
      </c>
      <c r="M30" s="140" t="e">
        <f t="shared" si="6"/>
        <v>#DIV/0!</v>
      </c>
      <c r="N30" s="140">
        <f t="shared" si="7"/>
        <v>0</v>
      </c>
    </row>
    <row r="31" spans="1:14" x14ac:dyDescent="0.25">
      <c r="A31" s="13">
        <v>11</v>
      </c>
      <c r="B31" s="584" t="s">
        <v>149</v>
      </c>
      <c r="C31" s="253"/>
      <c r="D31" s="313"/>
      <c r="E31" s="140">
        <f>'Yield-data'!C15</f>
        <v>0</v>
      </c>
      <c r="F31" s="140" t="e">
        <f>'Yield-data'!N15</f>
        <v>#DIV/0!</v>
      </c>
      <c r="G31" s="95">
        <v>0.38318284424379234</v>
      </c>
      <c r="H31" s="466"/>
      <c r="I31" s="466"/>
      <c r="J31" s="466"/>
      <c r="K31" s="466"/>
      <c r="L31" s="140">
        <f t="shared" si="5"/>
        <v>0</v>
      </c>
      <c r="M31" s="140" t="e">
        <f t="shared" si="6"/>
        <v>#DIV/0!</v>
      </c>
      <c r="N31" s="140">
        <f t="shared" si="7"/>
        <v>0</v>
      </c>
    </row>
    <row r="32" spans="1:14" x14ac:dyDescent="0.25">
      <c r="A32" s="13">
        <v>12</v>
      </c>
      <c r="B32" s="584" t="s">
        <v>150</v>
      </c>
      <c r="C32" s="253"/>
      <c r="D32" s="313"/>
      <c r="E32" s="140">
        <f>'Yield-data'!C16</f>
        <v>0</v>
      </c>
      <c r="F32" s="140" t="e">
        <f>'Yield-data'!N16</f>
        <v>#DIV/0!</v>
      </c>
      <c r="G32" s="95">
        <v>0.38318284424379234</v>
      </c>
      <c r="H32" s="466"/>
      <c r="I32" s="466"/>
      <c r="J32" s="466"/>
      <c r="K32" s="466"/>
      <c r="L32" s="140">
        <f t="shared" si="5"/>
        <v>0</v>
      </c>
      <c r="M32" s="140" t="e">
        <f t="shared" si="6"/>
        <v>#DIV/0!</v>
      </c>
      <c r="N32" s="140">
        <f t="shared" si="7"/>
        <v>0</v>
      </c>
    </row>
    <row r="33" spans="1:14" x14ac:dyDescent="0.25">
      <c r="A33" s="13">
        <v>13</v>
      </c>
      <c r="B33" s="584" t="s">
        <v>151</v>
      </c>
      <c r="C33" s="253"/>
      <c r="D33" s="313"/>
      <c r="E33" s="140">
        <f>'Yield-data'!C17</f>
        <v>0</v>
      </c>
      <c r="F33" s="140" t="e">
        <f>'Yield-data'!N17</f>
        <v>#DIV/0!</v>
      </c>
      <c r="G33" s="95">
        <v>0.38318284424379234</v>
      </c>
      <c r="H33" s="466"/>
      <c r="I33" s="466"/>
      <c r="J33" s="466"/>
      <c r="K33" s="466"/>
      <c r="L33" s="140">
        <f t="shared" si="5"/>
        <v>0</v>
      </c>
      <c r="M33" s="140" t="e">
        <f t="shared" si="6"/>
        <v>#DIV/0!</v>
      </c>
      <c r="N33" s="140">
        <f t="shared" si="7"/>
        <v>0</v>
      </c>
    </row>
    <row r="34" spans="1:14" x14ac:dyDescent="0.25">
      <c r="A34" s="13">
        <v>14</v>
      </c>
      <c r="B34" s="584" t="s">
        <v>152</v>
      </c>
      <c r="C34" s="253"/>
      <c r="D34" s="313"/>
      <c r="E34" s="140">
        <f>'Yield-data'!C18</f>
        <v>0</v>
      </c>
      <c r="F34" s="140" t="e">
        <f>'Yield-data'!N18</f>
        <v>#DIV/0!</v>
      </c>
      <c r="G34" s="95">
        <v>0.38318284424379234</v>
      </c>
      <c r="H34" s="466"/>
      <c r="I34" s="466"/>
      <c r="J34" s="466"/>
      <c r="K34" s="466"/>
      <c r="L34" s="140">
        <f t="shared" si="5"/>
        <v>0</v>
      </c>
      <c r="M34" s="140" t="e">
        <f t="shared" si="6"/>
        <v>#DIV/0!</v>
      </c>
      <c r="N34" s="140">
        <f t="shared" si="7"/>
        <v>0</v>
      </c>
    </row>
    <row r="35" spans="1:14" x14ac:dyDescent="0.25">
      <c r="A35" s="13">
        <v>15</v>
      </c>
      <c r="B35" s="584" t="s">
        <v>153</v>
      </c>
      <c r="C35" s="253"/>
      <c r="D35" s="313"/>
      <c r="E35" s="140">
        <f>'Yield-data'!C19</f>
        <v>0</v>
      </c>
      <c r="F35" s="140" t="e">
        <f>'Yield-data'!N19</f>
        <v>#DIV/0!</v>
      </c>
      <c r="G35" s="95">
        <v>0.38318284424379234</v>
      </c>
      <c r="H35" s="466"/>
      <c r="I35" s="466"/>
      <c r="J35" s="466"/>
      <c r="K35" s="466"/>
      <c r="L35" s="140">
        <f t="shared" si="5"/>
        <v>0</v>
      </c>
      <c r="M35" s="140" t="e">
        <f t="shared" si="6"/>
        <v>#DIV/0!</v>
      </c>
      <c r="N35" s="140">
        <f t="shared" si="7"/>
        <v>0</v>
      </c>
    </row>
    <row r="36" spans="1:14" x14ac:dyDescent="0.25">
      <c r="A36" s="13">
        <v>16</v>
      </c>
      <c r="B36" s="584" t="s">
        <v>154</v>
      </c>
      <c r="C36" s="253"/>
      <c r="D36" s="313"/>
      <c r="E36" s="140">
        <f>'Yield-data'!C20</f>
        <v>0</v>
      </c>
      <c r="F36" s="140" t="e">
        <f>'Yield-data'!N20</f>
        <v>#DIV/0!</v>
      </c>
      <c r="G36" s="95">
        <v>0.38318284424379234</v>
      </c>
      <c r="H36" s="466"/>
      <c r="I36" s="466"/>
      <c r="J36" s="466"/>
      <c r="K36" s="466"/>
      <c r="L36" s="140">
        <f t="shared" si="5"/>
        <v>0</v>
      </c>
      <c r="M36" s="140" t="e">
        <f t="shared" si="6"/>
        <v>#DIV/0!</v>
      </c>
      <c r="N36" s="140">
        <f t="shared" si="7"/>
        <v>0</v>
      </c>
    </row>
    <row r="37" spans="1:14" x14ac:dyDescent="0.25">
      <c r="A37" s="13">
        <v>17</v>
      </c>
      <c r="B37" s="584" t="s">
        <v>155</v>
      </c>
      <c r="C37" s="253"/>
      <c r="D37" s="313"/>
      <c r="E37" s="140">
        <f>'Yield-data'!C21</f>
        <v>0</v>
      </c>
      <c r="F37" s="140" t="e">
        <f>'Yield-data'!N21</f>
        <v>#DIV/0!</v>
      </c>
      <c r="G37" s="95">
        <v>0.38318284424379234</v>
      </c>
      <c r="H37" s="466"/>
      <c r="I37" s="466"/>
      <c r="J37" s="466"/>
      <c r="K37" s="466"/>
      <c r="L37" s="140">
        <f t="shared" si="5"/>
        <v>0</v>
      </c>
      <c r="M37" s="140" t="e">
        <f t="shared" si="6"/>
        <v>#DIV/0!</v>
      </c>
      <c r="N37" s="140">
        <f t="shared" si="7"/>
        <v>0</v>
      </c>
    </row>
    <row r="38" spans="1:14" x14ac:dyDescent="0.25">
      <c r="A38" s="13">
        <v>18</v>
      </c>
      <c r="B38" s="584" t="s">
        <v>156</v>
      </c>
      <c r="C38" s="253"/>
      <c r="D38" s="313"/>
      <c r="E38" s="140">
        <f>'Yield-data'!C22</f>
        <v>0</v>
      </c>
      <c r="F38" s="140" t="e">
        <f>'Yield-data'!N22</f>
        <v>#DIV/0!</v>
      </c>
      <c r="G38" s="95">
        <v>0.38318284424379234</v>
      </c>
      <c r="H38" s="466"/>
      <c r="I38" s="466"/>
      <c r="J38" s="466"/>
      <c r="K38" s="466"/>
      <c r="L38" s="140">
        <f t="shared" si="5"/>
        <v>0</v>
      </c>
      <c r="M38" s="140" t="e">
        <f t="shared" si="6"/>
        <v>#DIV/0!</v>
      </c>
      <c r="N38" s="140">
        <f t="shared" si="7"/>
        <v>0</v>
      </c>
    </row>
    <row r="39" spans="1:14" x14ac:dyDescent="0.25">
      <c r="A39" s="13">
        <v>19</v>
      </c>
      <c r="B39" s="584" t="s">
        <v>157</v>
      </c>
      <c r="C39" s="253"/>
      <c r="D39" s="313"/>
      <c r="E39" s="140">
        <f>'Yield-data'!C23</f>
        <v>0</v>
      </c>
      <c r="F39" s="140" t="e">
        <f>'Yield-data'!N23</f>
        <v>#DIV/0!</v>
      </c>
      <c r="G39" s="95">
        <v>0.38318284424379234</v>
      </c>
      <c r="H39" s="466"/>
      <c r="I39" s="466"/>
      <c r="J39" s="466"/>
      <c r="K39" s="466"/>
      <c r="L39" s="140">
        <f t="shared" si="5"/>
        <v>0</v>
      </c>
      <c r="M39" s="140" t="e">
        <f t="shared" si="6"/>
        <v>#DIV/0!</v>
      </c>
      <c r="N39" s="140">
        <f t="shared" si="7"/>
        <v>0</v>
      </c>
    </row>
    <row r="40" spans="1:14" x14ac:dyDescent="0.25">
      <c r="A40" s="13">
        <v>20</v>
      </c>
      <c r="B40" s="584" t="s">
        <v>158</v>
      </c>
      <c r="C40" s="253"/>
      <c r="D40" s="313"/>
      <c r="E40" s="140">
        <f>'Yield-data'!C24</f>
        <v>0</v>
      </c>
      <c r="F40" s="140" t="e">
        <f>'Yield-data'!N24</f>
        <v>#DIV/0!</v>
      </c>
      <c r="G40" s="95">
        <v>0.38318284424379234</v>
      </c>
      <c r="H40" s="466"/>
      <c r="I40" s="466"/>
      <c r="J40" s="466"/>
      <c r="K40" s="466"/>
      <c r="L40" s="140">
        <f t="shared" si="5"/>
        <v>0</v>
      </c>
      <c r="M40" s="140" t="e">
        <f t="shared" si="6"/>
        <v>#DIV/0!</v>
      </c>
      <c r="N40" s="140">
        <f t="shared" si="7"/>
        <v>0</v>
      </c>
    </row>
    <row r="41" spans="1:14" x14ac:dyDescent="0.25">
      <c r="A41" s="13">
        <v>21</v>
      </c>
      <c r="B41" s="584" t="s">
        <v>159</v>
      </c>
      <c r="C41" s="253"/>
      <c r="D41" s="313"/>
      <c r="E41" s="140">
        <f>'Yield-data'!C25</f>
        <v>0</v>
      </c>
      <c r="F41" s="140" t="e">
        <f>'Yield-data'!N25</f>
        <v>#DIV/0!</v>
      </c>
      <c r="G41" s="95">
        <v>0.38318284424379234</v>
      </c>
      <c r="H41" s="466"/>
      <c r="I41" s="466"/>
      <c r="J41" s="466"/>
      <c r="K41" s="466"/>
      <c r="L41" s="140">
        <f t="shared" si="5"/>
        <v>0</v>
      </c>
      <c r="M41" s="140" t="e">
        <f t="shared" si="6"/>
        <v>#DIV/0!</v>
      </c>
      <c r="N41" s="140">
        <f t="shared" si="7"/>
        <v>0</v>
      </c>
    </row>
    <row r="42" spans="1:14" x14ac:dyDescent="0.25">
      <c r="A42" s="13">
        <v>22</v>
      </c>
      <c r="B42" s="584" t="s">
        <v>160</v>
      </c>
      <c r="C42" s="253"/>
      <c r="D42" s="313"/>
      <c r="E42" s="140">
        <f>'Yield-data'!C26</f>
        <v>0</v>
      </c>
      <c r="F42" s="140" t="e">
        <f>'Yield-data'!N26</f>
        <v>#DIV/0!</v>
      </c>
      <c r="G42" s="95">
        <v>0.38318284424379234</v>
      </c>
      <c r="H42" s="466"/>
      <c r="I42" s="466"/>
      <c r="J42" s="466"/>
      <c r="K42" s="466"/>
      <c r="L42" s="140">
        <f t="shared" si="5"/>
        <v>0</v>
      </c>
      <c r="M42" s="140" t="e">
        <f t="shared" si="6"/>
        <v>#DIV/0!</v>
      </c>
      <c r="N42" s="140">
        <f t="shared" si="7"/>
        <v>0</v>
      </c>
    </row>
    <row r="43" spans="1:14" x14ac:dyDescent="0.25">
      <c r="A43" s="13">
        <v>23</v>
      </c>
      <c r="B43" s="584" t="s">
        <v>161</v>
      </c>
      <c r="C43" s="253"/>
      <c r="D43" s="313"/>
      <c r="E43" s="140">
        <f>'Yield-data'!C27</f>
        <v>0</v>
      </c>
      <c r="F43" s="140" t="e">
        <f>'Yield-data'!N27</f>
        <v>#DIV/0!</v>
      </c>
      <c r="G43" s="95">
        <v>0.38318284424379234</v>
      </c>
      <c r="H43" s="466"/>
      <c r="I43" s="466"/>
      <c r="J43" s="466"/>
      <c r="K43" s="466"/>
      <c r="L43" s="140">
        <f t="shared" si="5"/>
        <v>0</v>
      </c>
      <c r="M43" s="140" t="e">
        <f t="shared" si="6"/>
        <v>#DIV/0!</v>
      </c>
      <c r="N43" s="140">
        <f t="shared" si="7"/>
        <v>0</v>
      </c>
    </row>
    <row r="44" spans="1:14" x14ac:dyDescent="0.25">
      <c r="A44" s="13">
        <v>24</v>
      </c>
      <c r="B44" s="584" t="s">
        <v>162</v>
      </c>
      <c r="C44" s="253"/>
      <c r="D44" s="313"/>
      <c r="E44" s="140">
        <f>'Yield-data'!C28</f>
        <v>0</v>
      </c>
      <c r="F44" s="140" t="e">
        <f>'Yield-data'!N28</f>
        <v>#DIV/0!</v>
      </c>
      <c r="G44" s="95">
        <v>0.38318284424379234</v>
      </c>
      <c r="H44" s="466"/>
      <c r="I44" s="466"/>
      <c r="J44" s="466"/>
      <c r="K44" s="466"/>
      <c r="L44" s="140">
        <f t="shared" si="5"/>
        <v>0</v>
      </c>
      <c r="M44" s="140" t="e">
        <f t="shared" si="6"/>
        <v>#DIV/0!</v>
      </c>
      <c r="N44" s="140">
        <f t="shared" si="7"/>
        <v>0</v>
      </c>
    </row>
    <row r="45" spans="1:14" x14ac:dyDescent="0.25">
      <c r="B45" s="353" t="s">
        <v>163</v>
      </c>
      <c r="C45" s="538">
        <f t="shared" ref="C45:D45" si="8">SUM(C21:C44)</f>
        <v>0</v>
      </c>
      <c r="D45" s="538">
        <f t="shared" si="8"/>
        <v>0</v>
      </c>
      <c r="E45" s="606" t="e">
        <f>SUMPRODUCT(E21:E44,$C$21:$C$44,H21:H44)/SUMPRODUCT($C$21:$C$44,H21:H44)</f>
        <v>#DIV/0!</v>
      </c>
      <c r="F45" s="606" t="e">
        <f t="shared" ref="F45:G45" si="9">SUMPRODUCT(F21:F44,$C$21:$C$44,I21:I44)/SUMPRODUCT($C$21:$C$44,I21:I44)</f>
        <v>#DIV/0!</v>
      </c>
      <c r="G45" s="606" t="e">
        <f t="shared" si="9"/>
        <v>#DIV/0!</v>
      </c>
      <c r="H45" s="605">
        <f>SUMPRODUCT(H21:H44,$C$21:$C$44)</f>
        <v>0</v>
      </c>
      <c r="I45" s="605">
        <f t="shared" ref="I45:J45" si="10">SUMPRODUCT(I21:I44,$C$21:$C$44)</f>
        <v>0</v>
      </c>
      <c r="J45" s="605">
        <f t="shared" si="10"/>
        <v>0</v>
      </c>
      <c r="K45" s="604" t="e">
        <f>SUMPRODUCT(K21:K44,C21:C44)/C45</f>
        <v>#DIV/0!</v>
      </c>
      <c r="L45" s="606" t="e">
        <f>SUMPRODUCT(L21:L44,$C$21:$C$44,H21:H44)/SUMPRODUCT($C$21:$C$44,H21:H44)</f>
        <v>#DIV/0!</v>
      </c>
      <c r="M45" s="606" t="e">
        <f t="shared" ref="M45:N45" si="11">SUMPRODUCT(M21:M44,$C$21:$C$44,I21:I44)/SUMPRODUCT($C$21:$C$44,I21:I44)</f>
        <v>#DIV/0!</v>
      </c>
      <c r="N45" s="606" t="e">
        <f t="shared" si="11"/>
        <v>#DIV/0!</v>
      </c>
    </row>
    <row r="46" spans="1:14" x14ac:dyDescent="0.25">
      <c r="H46" s="838" t="b">
        <f>SUM(H45:J45)=C45</f>
        <v>1</v>
      </c>
      <c r="I46" s="838"/>
      <c r="J46" s="838"/>
    </row>
    <row r="47" spans="1:14" x14ac:dyDescent="0.25">
      <c r="F47" t="s">
        <v>1147</v>
      </c>
      <c r="L47" s="37" t="e">
        <f>L45/'Yield-data'!C29</f>
        <v>#DIV/0!</v>
      </c>
      <c r="M47" s="37" t="e">
        <f>M45/'Yield-data'!N29</f>
        <v>#DIV/0!</v>
      </c>
      <c r="N47" s="597"/>
    </row>
    <row r="48" spans="1:14" x14ac:dyDescent="0.25">
      <c r="H48" s="37" t="e">
        <f>H45/$C$45</f>
        <v>#DIV/0!</v>
      </c>
      <c r="I48" s="37" t="e">
        <f t="shared" ref="I48:J48" si="12">I45/$C$45</f>
        <v>#DIV/0!</v>
      </c>
      <c r="J48" s="37" t="e">
        <f t="shared" si="12"/>
        <v>#DIV/0!</v>
      </c>
    </row>
  </sheetData>
  <mergeCells count="3">
    <mergeCell ref="E19:G19"/>
    <mergeCell ref="L19:N19"/>
    <mergeCell ref="H46:J46"/>
  </mergeCells>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CDA8A-A3C9-487E-80F8-53222D760AA3}">
  <dimension ref="A1:X24"/>
  <sheetViews>
    <sheetView topLeftCell="A9" workbookViewId="0">
      <selection activeCell="I13" sqref="I13:I14"/>
    </sheetView>
  </sheetViews>
  <sheetFormatPr defaultRowHeight="15" x14ac:dyDescent="0.25"/>
  <cols>
    <col min="1" max="1" width="15.5703125" customWidth="1"/>
    <col min="2" max="2" width="17.42578125" customWidth="1"/>
    <col min="3" max="3" width="15.140625" customWidth="1"/>
    <col min="4" max="4" width="22.5703125" customWidth="1"/>
    <col min="5" max="5" width="14.42578125" bestFit="1" customWidth="1"/>
    <col min="8" max="8" width="17.42578125" customWidth="1"/>
    <col min="9" max="9" width="16.42578125" customWidth="1"/>
    <col min="10" max="10" width="8.85546875" bestFit="1" customWidth="1"/>
    <col min="11" max="11" width="11.42578125" bestFit="1" customWidth="1"/>
    <col min="15" max="15" width="18.42578125" customWidth="1"/>
  </cols>
  <sheetData>
    <row r="1" spans="1:24" x14ac:dyDescent="0.25">
      <c r="K1" s="1" t="s">
        <v>400</v>
      </c>
      <c r="L1" s="1"/>
      <c r="M1" s="243">
        <f>'Production-loss-abandoned lands'!J1</f>
        <v>2.8759999999999999</v>
      </c>
      <c r="N1" s="1" t="s">
        <v>257</v>
      </c>
      <c r="O1" s="1"/>
    </row>
    <row r="2" spans="1:24" x14ac:dyDescent="0.25">
      <c r="A2" s="1" t="s">
        <v>990</v>
      </c>
      <c r="B2" s="885" t="s">
        <v>991</v>
      </c>
      <c r="C2" s="885"/>
      <c r="D2" s="885"/>
      <c r="E2" s="885"/>
      <c r="F2" s="885"/>
      <c r="G2" s="885"/>
      <c r="H2" s="885"/>
      <c r="I2" s="885"/>
      <c r="J2" s="885"/>
      <c r="K2" s="885"/>
      <c r="L2" s="885"/>
      <c r="M2" s="885"/>
      <c r="N2" s="885"/>
      <c r="O2" s="885"/>
    </row>
    <row r="3" spans="1:24" x14ac:dyDescent="0.25">
      <c r="A3" s="1"/>
      <c r="B3" s="885"/>
      <c r="C3" s="885"/>
      <c r="D3" s="885"/>
      <c r="E3" s="885"/>
      <c r="F3" s="885"/>
      <c r="G3" s="885"/>
      <c r="H3" s="885"/>
      <c r="I3" s="885"/>
      <c r="J3" s="885"/>
      <c r="K3" s="885"/>
      <c r="L3" s="885"/>
      <c r="M3" s="885"/>
      <c r="N3" s="885"/>
      <c r="O3" s="885"/>
    </row>
    <row r="4" spans="1:24" x14ac:dyDescent="0.25">
      <c r="A4" s="20" t="s">
        <v>992</v>
      </c>
    </row>
    <row r="6" spans="1:24" x14ac:dyDescent="0.25">
      <c r="A6" s="838" t="s">
        <v>993</v>
      </c>
      <c r="B6" s="838"/>
      <c r="C6" s="838"/>
      <c r="D6" s="838"/>
    </row>
    <row r="7" spans="1:24" ht="14.45" customHeight="1" x14ac:dyDescent="0.25">
      <c r="A7" s="885" t="s">
        <v>994</v>
      </c>
      <c r="B7" s="885"/>
      <c r="C7" s="885"/>
      <c r="D7" s="885"/>
      <c r="E7" s="885"/>
      <c r="F7" s="885"/>
      <c r="G7" s="885"/>
      <c r="H7" s="885"/>
      <c r="I7" s="885"/>
      <c r="J7" s="885"/>
      <c r="K7" s="885"/>
      <c r="L7" s="885"/>
      <c r="M7" s="885"/>
      <c r="N7" s="885"/>
      <c r="O7" s="885"/>
    </row>
    <row r="8" spans="1:24" x14ac:dyDescent="0.25">
      <c r="A8" s="885"/>
      <c r="B8" s="885"/>
      <c r="C8" s="885"/>
      <c r="D8" s="885"/>
      <c r="E8" s="885"/>
      <c r="F8" s="885"/>
      <c r="G8" s="885"/>
      <c r="H8" s="885"/>
      <c r="I8" s="885"/>
      <c r="J8" s="885"/>
      <c r="K8" s="885"/>
      <c r="L8" s="885"/>
      <c r="M8" s="885"/>
      <c r="N8" s="885"/>
      <c r="O8" s="885"/>
    </row>
    <row r="9" spans="1:24" x14ac:dyDescent="0.25">
      <c r="A9" s="2"/>
      <c r="B9" s="2"/>
      <c r="C9" s="2"/>
      <c r="D9" s="2"/>
      <c r="E9" s="2"/>
      <c r="F9" s="2"/>
      <c r="G9" s="2"/>
      <c r="H9" s="2"/>
      <c r="I9" s="2"/>
      <c r="J9" s="2"/>
      <c r="K9" s="2"/>
      <c r="L9" s="2"/>
      <c r="M9" s="2"/>
      <c r="N9" s="2"/>
      <c r="O9" s="2"/>
    </row>
    <row r="10" spans="1:24" x14ac:dyDescent="0.25">
      <c r="A10" s="1" t="s">
        <v>372</v>
      </c>
      <c r="B10" s="1"/>
      <c r="C10" s="44"/>
      <c r="D10" s="24">
        <f>'Production-loss-abandoned lands'!B4</f>
        <v>134280440000</v>
      </c>
      <c r="E10" s="2"/>
      <c r="F10" s="2"/>
      <c r="G10" s="2"/>
      <c r="H10" s="2"/>
      <c r="I10" s="2"/>
      <c r="K10" s="2"/>
      <c r="L10" s="2"/>
      <c r="M10" s="2"/>
      <c r="N10" s="2"/>
      <c r="O10" s="2"/>
    </row>
    <row r="11" spans="1:24" x14ac:dyDescent="0.25">
      <c r="A11" s="1" t="s">
        <v>373</v>
      </c>
      <c r="B11" s="1"/>
      <c r="C11" s="44"/>
      <c r="D11" s="24">
        <f>'Production-loss-abandoned lands'!B5</f>
        <v>46690000000</v>
      </c>
      <c r="E11" s="2"/>
      <c r="F11" s="2"/>
      <c r="G11" s="2"/>
      <c r="H11" s="2"/>
      <c r="I11" s="2"/>
      <c r="K11" s="2"/>
      <c r="L11" s="2"/>
      <c r="M11" s="2"/>
      <c r="N11" s="2"/>
      <c r="O11" s="2"/>
    </row>
    <row r="12" spans="1:24" x14ac:dyDescent="0.25">
      <c r="A12" s="1"/>
      <c r="C12" s="2"/>
      <c r="D12" s="84"/>
      <c r="E12" s="2"/>
      <c r="F12" s="2"/>
      <c r="G12" s="2"/>
      <c r="H12" s="2"/>
      <c r="I12" s="60"/>
      <c r="K12" s="2"/>
      <c r="L12" s="2"/>
      <c r="M12" s="2"/>
      <c r="N12" s="2"/>
      <c r="O12" s="2"/>
    </row>
    <row r="13" spans="1:24" x14ac:dyDescent="0.25">
      <c r="A13" s="1" t="s">
        <v>995</v>
      </c>
      <c r="C13" s="2"/>
      <c r="D13" s="84"/>
      <c r="E13" s="2"/>
      <c r="F13" s="2"/>
      <c r="G13" s="2"/>
      <c r="H13" s="2"/>
      <c r="I13" s="744"/>
      <c r="J13" t="s">
        <v>96</v>
      </c>
      <c r="K13" s="872" t="s">
        <v>996</v>
      </c>
      <c r="L13" s="872"/>
      <c r="M13" s="872"/>
      <c r="N13" s="872"/>
      <c r="O13" s="872"/>
      <c r="P13" s="872"/>
      <c r="Q13" s="872"/>
      <c r="R13" s="872"/>
      <c r="S13" s="872"/>
      <c r="T13" s="872"/>
      <c r="U13" s="872"/>
      <c r="V13" s="872"/>
      <c r="W13" s="872"/>
      <c r="X13" s="872"/>
    </row>
    <row r="14" spans="1:24" x14ac:dyDescent="0.25">
      <c r="A14" s="1" t="s">
        <v>997</v>
      </c>
      <c r="C14" s="2"/>
      <c r="D14" s="84"/>
      <c r="E14" s="2"/>
      <c r="F14" s="2"/>
      <c r="G14" s="2"/>
      <c r="H14" s="2"/>
      <c r="I14" s="745"/>
      <c r="K14" s="2"/>
      <c r="L14" s="2"/>
      <c r="M14" s="2"/>
      <c r="N14" s="2"/>
      <c r="O14" s="2"/>
    </row>
    <row r="15" spans="1:24" ht="15.75" x14ac:dyDescent="0.25">
      <c r="A15" s="1" t="s">
        <v>998</v>
      </c>
      <c r="C15" s="2"/>
      <c r="D15" s="84"/>
      <c r="F15" s="2"/>
      <c r="G15" s="2"/>
      <c r="H15" s="2"/>
      <c r="I15" s="170">
        <f>I13*I14*D11</f>
        <v>0</v>
      </c>
      <c r="J15" s="245"/>
      <c r="K15" s="244"/>
      <c r="L15" s="900"/>
      <c r="M15" s="900"/>
      <c r="N15" s="900"/>
      <c r="O15" s="900"/>
    </row>
    <row r="16" spans="1:24" ht="15.75" x14ac:dyDescent="0.25">
      <c r="A16" s="1" t="s">
        <v>999</v>
      </c>
      <c r="C16" s="2"/>
      <c r="D16" s="84"/>
      <c r="F16" s="2"/>
      <c r="G16" s="2"/>
      <c r="H16" s="2"/>
      <c r="I16" s="170">
        <f>I13*I14*D11</f>
        <v>0</v>
      </c>
      <c r="J16" s="245"/>
      <c r="K16" s="244"/>
      <c r="L16" s="388"/>
      <c r="M16" s="388"/>
      <c r="N16" s="388"/>
      <c r="O16" s="388"/>
    </row>
    <row r="17" spans="1:15" x14ac:dyDescent="0.25">
      <c r="A17" s="1" t="s">
        <v>1000</v>
      </c>
      <c r="C17" s="2"/>
      <c r="D17" s="84"/>
      <c r="E17" s="2"/>
      <c r="F17" s="2"/>
      <c r="G17" s="2"/>
      <c r="H17" s="2"/>
      <c r="I17" s="171">
        <f>I15/D11</f>
        <v>0</v>
      </c>
      <c r="K17" s="2"/>
      <c r="L17" s="2"/>
      <c r="M17" s="2"/>
      <c r="N17" s="2"/>
      <c r="O17" s="2"/>
    </row>
    <row r="18" spans="1:15" x14ac:dyDescent="0.25">
      <c r="A18" s="2"/>
      <c r="B18" s="2"/>
      <c r="C18" s="2"/>
      <c r="D18" s="2"/>
      <c r="E18" s="2"/>
      <c r="F18" s="2"/>
      <c r="G18" s="2"/>
      <c r="H18" s="2"/>
      <c r="I18" s="2"/>
      <c r="J18" s="2"/>
      <c r="K18" s="2"/>
      <c r="L18" s="2"/>
      <c r="M18" s="2"/>
      <c r="N18" s="2"/>
      <c r="O18" s="2"/>
    </row>
    <row r="19" spans="1:15" x14ac:dyDescent="0.25">
      <c r="A19" s="814" t="s">
        <v>1001</v>
      </c>
      <c r="B19" s="814"/>
      <c r="C19" s="814"/>
      <c r="D19" s="814"/>
      <c r="E19" s="814"/>
      <c r="F19" s="2"/>
      <c r="G19" s="2"/>
      <c r="H19" s="2"/>
      <c r="I19" s="2"/>
      <c r="J19" s="2"/>
      <c r="K19" s="2"/>
      <c r="L19" s="2"/>
      <c r="M19" s="2"/>
      <c r="N19" s="2"/>
      <c r="O19" s="2"/>
    </row>
    <row r="20" spans="1:15" x14ac:dyDescent="0.25">
      <c r="A20" s="885" t="s">
        <v>1002</v>
      </c>
      <c r="B20" s="885"/>
      <c r="C20" s="885"/>
      <c r="D20" s="885"/>
      <c r="E20" s="885"/>
      <c r="F20" s="885"/>
      <c r="G20" s="885"/>
      <c r="H20" s="885"/>
      <c r="I20" s="885"/>
      <c r="J20" s="885"/>
      <c r="K20" s="885"/>
      <c r="L20" s="885"/>
      <c r="M20" s="885"/>
      <c r="N20" s="885"/>
      <c r="O20" s="885"/>
    </row>
    <row r="21" spans="1:15" x14ac:dyDescent="0.25">
      <c r="A21" s="885"/>
      <c r="B21" s="885"/>
      <c r="C21" s="885"/>
      <c r="D21" s="885"/>
      <c r="E21" s="885"/>
      <c r="F21" s="885"/>
      <c r="G21" s="885"/>
      <c r="H21" s="885"/>
      <c r="I21" s="885"/>
      <c r="J21" s="885"/>
      <c r="K21" s="885"/>
      <c r="L21" s="885"/>
      <c r="M21" s="885"/>
      <c r="N21" s="885"/>
      <c r="O21" s="885"/>
    </row>
    <row r="22" spans="1:15" x14ac:dyDescent="0.25">
      <c r="A22" s="885"/>
      <c r="B22" s="885"/>
      <c r="C22" s="885"/>
      <c r="D22" s="885"/>
      <c r="E22" s="885"/>
      <c r="F22" s="885"/>
      <c r="G22" s="885"/>
      <c r="H22" s="885"/>
      <c r="I22" s="885"/>
      <c r="J22" s="885"/>
      <c r="K22" s="885"/>
      <c r="L22" s="885"/>
      <c r="M22" s="885"/>
      <c r="N22" s="885"/>
      <c r="O22" s="885"/>
    </row>
    <row r="23" spans="1:15" x14ac:dyDescent="0.25">
      <c r="A23" s="885"/>
      <c r="B23" s="885"/>
      <c r="C23" s="885"/>
      <c r="D23" s="885"/>
      <c r="E23" s="885"/>
      <c r="F23" s="885"/>
      <c r="G23" s="885"/>
      <c r="H23" s="885"/>
      <c r="I23" s="885"/>
      <c r="J23" s="885"/>
      <c r="K23" s="885"/>
      <c r="L23" s="885"/>
      <c r="M23" s="885"/>
      <c r="N23" s="885"/>
      <c r="O23" s="885"/>
    </row>
    <row r="24" spans="1:15" x14ac:dyDescent="0.25">
      <c r="A24" s="885"/>
      <c r="B24" s="885"/>
      <c r="C24" s="885"/>
      <c r="D24" s="885"/>
      <c r="E24" s="885"/>
      <c r="F24" s="885"/>
      <c r="G24" s="885"/>
      <c r="H24" s="885"/>
      <c r="I24" s="885"/>
      <c r="J24" s="885"/>
      <c r="K24" s="885"/>
      <c r="L24" s="885"/>
      <c r="M24" s="885"/>
      <c r="N24" s="885"/>
      <c r="O24" s="885"/>
    </row>
  </sheetData>
  <mergeCells count="7">
    <mergeCell ref="A7:O8"/>
    <mergeCell ref="A19:E19"/>
    <mergeCell ref="A20:O24"/>
    <mergeCell ref="A6:D6"/>
    <mergeCell ref="B2:O3"/>
    <mergeCell ref="L15:O15"/>
    <mergeCell ref="K13:X13"/>
  </mergeCells>
  <hyperlinks>
    <hyperlink ref="K13:X13" r:id="rId1" display="In Tunisia, the annual damage cost of environmental degradation in 1999 was estimated at 1.5 –2.7 percent of GDP with a mean estimate of 2.1 percent of GDP, or close to US$440 million per year. The cost of inadequate potable water, sanitation and hygiene is assessed at 0.5-0.7 percent of GDP, followed by air pollution at 0.4-0.8  percent of GDP." xr:uid="{C1C92520-F113-4F0F-9789-A5F7D1D05151}"/>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EF799-C6D8-40C1-B828-F20B18B94FE3}">
  <dimension ref="A1:Q409"/>
  <sheetViews>
    <sheetView topLeftCell="A177" workbookViewId="0">
      <selection activeCell="E185" sqref="E185:E208"/>
    </sheetView>
  </sheetViews>
  <sheetFormatPr defaultRowHeight="15" x14ac:dyDescent="0.25"/>
  <cols>
    <col min="1" max="1" width="22.140625" customWidth="1"/>
    <col min="2" max="2" width="32.140625" customWidth="1"/>
    <col min="3" max="5" width="20.140625" customWidth="1"/>
    <col min="6" max="6" width="21.42578125" bestFit="1" customWidth="1"/>
    <col min="7" max="7" width="23" bestFit="1" customWidth="1"/>
    <col min="8" max="8" width="22" customWidth="1"/>
    <col min="9" max="9" width="8.42578125" customWidth="1"/>
    <col min="10" max="10" width="23.85546875" customWidth="1"/>
    <col min="12" max="12" width="16.85546875" customWidth="1"/>
    <col min="13" max="13" width="28.85546875" bestFit="1" customWidth="1"/>
    <col min="14" max="14" width="24.42578125" customWidth="1"/>
    <col min="15" max="15" width="20" customWidth="1"/>
    <col min="16" max="16" width="19.5703125" customWidth="1"/>
  </cols>
  <sheetData>
    <row r="1" spans="1:15" ht="18.75" x14ac:dyDescent="0.3">
      <c r="A1" s="866" t="s">
        <v>1003</v>
      </c>
      <c r="B1" s="866"/>
      <c r="C1" s="866"/>
      <c r="D1" s="866"/>
      <c r="E1" s="866"/>
      <c r="F1" s="866"/>
      <c r="G1" s="866"/>
      <c r="H1" s="866"/>
      <c r="I1" s="866"/>
      <c r="J1" t="s">
        <v>1004</v>
      </c>
      <c r="L1" s="81">
        <f>'Prices,exch.rates,harvest index'!M2</f>
        <v>2.8759999999999999</v>
      </c>
      <c r="M1" s="1" t="s">
        <v>257</v>
      </c>
      <c r="N1" t="s">
        <v>1005</v>
      </c>
      <c r="O1" s="41">
        <f>'Prices,exch.rates,harvest index'!M4</f>
        <v>134280440000</v>
      </c>
    </row>
    <row r="2" spans="1:15" ht="18.75" x14ac:dyDescent="0.3">
      <c r="A2" s="58"/>
      <c r="B2" s="58"/>
      <c r="C2" s="58"/>
      <c r="D2" s="58"/>
      <c r="E2" s="58"/>
      <c r="F2" s="58"/>
      <c r="G2" s="58"/>
      <c r="H2" s="58"/>
      <c r="I2" s="58"/>
      <c r="J2" s="1" t="s">
        <v>400</v>
      </c>
      <c r="K2" s="1"/>
      <c r="L2" s="235">
        <f>L1</f>
        <v>2.8759999999999999</v>
      </c>
      <c r="M2" s="1" t="s">
        <v>257</v>
      </c>
      <c r="N2" t="s">
        <v>1006</v>
      </c>
      <c r="O2" s="41">
        <f>'Prices,exch.rates,harvest index'!M3</f>
        <v>46690000000</v>
      </c>
    </row>
    <row r="3" spans="1:15" x14ac:dyDescent="0.25">
      <c r="A3" s="3" t="s">
        <v>260</v>
      </c>
      <c r="B3" s="8" t="s">
        <v>480</v>
      </c>
      <c r="C3" s="8"/>
      <c r="D3" s="8"/>
      <c r="E3" s="8"/>
      <c r="F3" s="8"/>
      <c r="G3" s="4"/>
      <c r="H3" s="7" t="s">
        <v>265</v>
      </c>
      <c r="I3" s="7"/>
      <c r="J3" s="6"/>
      <c r="K3" s="6"/>
      <c r="L3" s="6"/>
      <c r="M3" s="6"/>
    </row>
    <row r="4" spans="1:15" x14ac:dyDescent="0.25">
      <c r="A4" s="3"/>
      <c r="B4" s="10" t="s">
        <v>263</v>
      </c>
      <c r="C4" s="10"/>
      <c r="D4" s="10"/>
      <c r="E4" s="10"/>
      <c r="F4" s="10"/>
      <c r="G4" s="10"/>
      <c r="H4" s="10"/>
      <c r="I4" s="10"/>
      <c r="J4" s="10"/>
      <c r="K4" s="10"/>
      <c r="L4" s="10"/>
      <c r="M4" s="10"/>
    </row>
    <row r="5" spans="1:15" x14ac:dyDescent="0.25">
      <c r="A5" s="1" t="s">
        <v>1007</v>
      </c>
      <c r="O5" s="1"/>
    </row>
    <row r="6" spans="1:15" ht="75" x14ac:dyDescent="0.25">
      <c r="A6" s="354" t="s">
        <v>1008</v>
      </c>
      <c r="B6" s="354" t="s">
        <v>101</v>
      </c>
      <c r="C6" s="347" t="s">
        <v>1009</v>
      </c>
      <c r="D6" s="347" t="s">
        <v>1010</v>
      </c>
      <c r="E6" s="347" t="s">
        <v>1011</v>
      </c>
      <c r="F6" s="347" t="s">
        <v>1012</v>
      </c>
      <c r="G6" s="347" t="s">
        <v>1013</v>
      </c>
      <c r="H6" s="347" t="s">
        <v>1014</v>
      </c>
    </row>
    <row r="7" spans="1:15" x14ac:dyDescent="0.25">
      <c r="A7" s="901" t="s">
        <v>1015</v>
      </c>
      <c r="B7" s="13" t="s">
        <v>139</v>
      </c>
      <c r="C7" s="539"/>
      <c r="D7" s="738">
        <f>C7*0.025</f>
        <v>0</v>
      </c>
      <c r="E7" s="740"/>
      <c r="F7" s="540">
        <f>E7*D7</f>
        <v>0</v>
      </c>
      <c r="G7" s="550"/>
      <c r="H7" s="97">
        <f t="shared" ref="H7:H30" si="0">F7*G7</f>
        <v>0</v>
      </c>
    </row>
    <row r="8" spans="1:15" x14ac:dyDescent="0.25">
      <c r="A8" s="901"/>
      <c r="B8" s="13" t="s">
        <v>140</v>
      </c>
      <c r="C8" s="539"/>
      <c r="D8" s="738">
        <f t="shared" ref="D8:D30" si="1">C8*0.025</f>
        <v>0</v>
      </c>
      <c r="E8" s="740"/>
      <c r="F8" s="540">
        <f t="shared" ref="F8:F30" si="2">E8*D8</f>
        <v>0</v>
      </c>
      <c r="G8" s="550"/>
      <c r="H8" s="97">
        <f t="shared" si="0"/>
        <v>0</v>
      </c>
    </row>
    <row r="9" spans="1:15" x14ac:dyDescent="0.25">
      <c r="A9" s="901"/>
      <c r="B9" s="13" t="s">
        <v>141</v>
      </c>
      <c r="C9" s="539"/>
      <c r="D9" s="738">
        <f t="shared" si="1"/>
        <v>0</v>
      </c>
      <c r="E9" s="740"/>
      <c r="F9" s="540">
        <f t="shared" si="2"/>
        <v>0</v>
      </c>
      <c r="G9" s="550"/>
      <c r="H9" s="97">
        <f t="shared" si="0"/>
        <v>0</v>
      </c>
    </row>
    <row r="10" spans="1:15" x14ac:dyDescent="0.25">
      <c r="A10" s="901"/>
      <c r="B10" s="13" t="s">
        <v>142</v>
      </c>
      <c r="C10" s="539"/>
      <c r="D10" s="738">
        <f t="shared" si="1"/>
        <v>0</v>
      </c>
      <c r="E10" s="740"/>
      <c r="F10" s="540">
        <f t="shared" si="2"/>
        <v>0</v>
      </c>
      <c r="G10" s="550"/>
      <c r="H10" s="97">
        <f t="shared" si="0"/>
        <v>0</v>
      </c>
    </row>
    <row r="11" spans="1:15" x14ac:dyDescent="0.25">
      <c r="A11" s="901"/>
      <c r="B11" s="13" t="s">
        <v>143</v>
      </c>
      <c r="C11" s="539"/>
      <c r="D11" s="738">
        <f t="shared" si="1"/>
        <v>0</v>
      </c>
      <c r="E11" s="740"/>
      <c r="F11" s="540">
        <f t="shared" si="2"/>
        <v>0</v>
      </c>
      <c r="G11" s="550"/>
      <c r="H11" s="97">
        <f t="shared" si="0"/>
        <v>0</v>
      </c>
    </row>
    <row r="12" spans="1:15" x14ac:dyDescent="0.25">
      <c r="A12" s="901"/>
      <c r="B12" s="13" t="s">
        <v>144</v>
      </c>
      <c r="C12" s="539"/>
      <c r="D12" s="738">
        <f t="shared" si="1"/>
        <v>0</v>
      </c>
      <c r="E12" s="740"/>
      <c r="F12" s="540">
        <f t="shared" si="2"/>
        <v>0</v>
      </c>
      <c r="G12" s="550"/>
      <c r="H12" s="97">
        <f t="shared" si="0"/>
        <v>0</v>
      </c>
    </row>
    <row r="13" spans="1:15" x14ac:dyDescent="0.25">
      <c r="A13" s="901"/>
      <c r="B13" s="13" t="s">
        <v>145</v>
      </c>
      <c r="C13" s="539"/>
      <c r="D13" s="738">
        <f t="shared" si="1"/>
        <v>0</v>
      </c>
      <c r="E13" s="740"/>
      <c r="F13" s="540">
        <f t="shared" si="2"/>
        <v>0</v>
      </c>
      <c r="G13" s="550"/>
      <c r="H13" s="97">
        <f t="shared" si="0"/>
        <v>0</v>
      </c>
    </row>
    <row r="14" spans="1:15" x14ac:dyDescent="0.25">
      <c r="A14" s="901"/>
      <c r="B14" s="13" t="s">
        <v>146</v>
      </c>
      <c r="C14" s="539"/>
      <c r="D14" s="738">
        <f t="shared" si="1"/>
        <v>0</v>
      </c>
      <c r="E14" s="740"/>
      <c r="F14" s="540">
        <f t="shared" si="2"/>
        <v>0</v>
      </c>
      <c r="G14" s="550"/>
      <c r="H14" s="97">
        <f t="shared" si="0"/>
        <v>0</v>
      </c>
    </row>
    <row r="15" spans="1:15" x14ac:dyDescent="0.25">
      <c r="A15" s="901"/>
      <c r="B15" s="13" t="s">
        <v>147</v>
      </c>
      <c r="C15" s="539"/>
      <c r="D15" s="738">
        <f t="shared" si="1"/>
        <v>0</v>
      </c>
      <c r="E15" s="740"/>
      <c r="F15" s="540">
        <f t="shared" si="2"/>
        <v>0</v>
      </c>
      <c r="G15" s="550"/>
      <c r="H15" s="97">
        <f t="shared" si="0"/>
        <v>0</v>
      </c>
    </row>
    <row r="16" spans="1:15" x14ac:dyDescent="0.25">
      <c r="A16" s="901"/>
      <c r="B16" s="13" t="s">
        <v>148</v>
      </c>
      <c r="C16" s="539"/>
      <c r="D16" s="738">
        <f t="shared" si="1"/>
        <v>0</v>
      </c>
      <c r="E16" s="740"/>
      <c r="F16" s="540">
        <f t="shared" si="2"/>
        <v>0</v>
      </c>
      <c r="G16" s="550"/>
      <c r="H16" s="97">
        <f t="shared" si="0"/>
        <v>0</v>
      </c>
    </row>
    <row r="17" spans="1:8" x14ac:dyDescent="0.25">
      <c r="A17" s="901"/>
      <c r="B17" s="13" t="s">
        <v>149</v>
      </c>
      <c r="C17" s="539"/>
      <c r="D17" s="738">
        <f t="shared" si="1"/>
        <v>0</v>
      </c>
      <c r="E17" s="740"/>
      <c r="F17" s="540">
        <f t="shared" si="2"/>
        <v>0</v>
      </c>
      <c r="G17" s="550"/>
      <c r="H17" s="97">
        <f t="shared" si="0"/>
        <v>0</v>
      </c>
    </row>
    <row r="18" spans="1:8" x14ac:dyDescent="0.25">
      <c r="A18" s="901"/>
      <c r="B18" s="13" t="s">
        <v>150</v>
      </c>
      <c r="C18" s="539"/>
      <c r="D18" s="738">
        <f t="shared" si="1"/>
        <v>0</v>
      </c>
      <c r="E18" s="740"/>
      <c r="F18" s="540">
        <f t="shared" si="2"/>
        <v>0</v>
      </c>
      <c r="G18" s="550"/>
      <c r="H18" s="97">
        <f t="shared" si="0"/>
        <v>0</v>
      </c>
    </row>
    <row r="19" spans="1:8" x14ac:dyDescent="0.25">
      <c r="A19" s="901"/>
      <c r="B19" s="13" t="s">
        <v>151</v>
      </c>
      <c r="C19" s="539"/>
      <c r="D19" s="738">
        <f t="shared" si="1"/>
        <v>0</v>
      </c>
      <c r="E19" s="740"/>
      <c r="F19" s="540">
        <f t="shared" si="2"/>
        <v>0</v>
      </c>
      <c r="G19" s="550"/>
      <c r="H19" s="97">
        <f t="shared" si="0"/>
        <v>0</v>
      </c>
    </row>
    <row r="20" spans="1:8" x14ac:dyDescent="0.25">
      <c r="A20" s="901"/>
      <c r="B20" s="13" t="s">
        <v>152</v>
      </c>
      <c r="C20" s="539"/>
      <c r="D20" s="738">
        <f t="shared" si="1"/>
        <v>0</v>
      </c>
      <c r="E20" s="740"/>
      <c r="F20" s="540">
        <f t="shared" si="2"/>
        <v>0</v>
      </c>
      <c r="G20" s="550"/>
      <c r="H20" s="97">
        <f t="shared" si="0"/>
        <v>0</v>
      </c>
    </row>
    <row r="21" spans="1:8" x14ac:dyDescent="0.25">
      <c r="A21" s="901"/>
      <c r="B21" s="13" t="s">
        <v>153</v>
      </c>
      <c r="C21" s="539"/>
      <c r="D21" s="738">
        <f t="shared" si="1"/>
        <v>0</v>
      </c>
      <c r="E21" s="740"/>
      <c r="F21" s="540">
        <f t="shared" si="2"/>
        <v>0</v>
      </c>
      <c r="G21" s="550"/>
      <c r="H21" s="97">
        <f t="shared" si="0"/>
        <v>0</v>
      </c>
    </row>
    <row r="22" spans="1:8" x14ac:dyDescent="0.25">
      <c r="A22" s="901"/>
      <c r="B22" s="13" t="s">
        <v>154</v>
      </c>
      <c r="C22" s="539"/>
      <c r="D22" s="738">
        <f t="shared" si="1"/>
        <v>0</v>
      </c>
      <c r="E22" s="740"/>
      <c r="F22" s="540">
        <f t="shared" si="2"/>
        <v>0</v>
      </c>
      <c r="G22" s="550"/>
      <c r="H22" s="97">
        <f t="shared" si="0"/>
        <v>0</v>
      </c>
    </row>
    <row r="23" spans="1:8" x14ac:dyDescent="0.25">
      <c r="A23" s="901"/>
      <c r="B23" s="13" t="s">
        <v>155</v>
      </c>
      <c r="C23" s="539"/>
      <c r="D23" s="738">
        <f t="shared" si="1"/>
        <v>0</v>
      </c>
      <c r="E23" s="740"/>
      <c r="F23" s="540">
        <f t="shared" si="2"/>
        <v>0</v>
      </c>
      <c r="G23" s="550"/>
      <c r="H23" s="97">
        <f t="shared" si="0"/>
        <v>0</v>
      </c>
    </row>
    <row r="24" spans="1:8" x14ac:dyDescent="0.25">
      <c r="A24" s="901"/>
      <c r="B24" s="13" t="s">
        <v>156</v>
      </c>
      <c r="C24" s="539"/>
      <c r="D24" s="738">
        <f t="shared" si="1"/>
        <v>0</v>
      </c>
      <c r="E24" s="740"/>
      <c r="F24" s="540">
        <f t="shared" si="2"/>
        <v>0</v>
      </c>
      <c r="G24" s="550"/>
      <c r="H24" s="97">
        <f t="shared" si="0"/>
        <v>0</v>
      </c>
    </row>
    <row r="25" spans="1:8" x14ac:dyDescent="0.25">
      <c r="A25" s="901"/>
      <c r="B25" s="13" t="s">
        <v>157</v>
      </c>
      <c r="C25" s="539"/>
      <c r="D25" s="738">
        <f t="shared" si="1"/>
        <v>0</v>
      </c>
      <c r="E25" s="740"/>
      <c r="F25" s="540">
        <f t="shared" si="2"/>
        <v>0</v>
      </c>
      <c r="G25" s="550"/>
      <c r="H25" s="97">
        <f t="shared" si="0"/>
        <v>0</v>
      </c>
    </row>
    <row r="26" spans="1:8" x14ac:dyDescent="0.25">
      <c r="A26" s="901"/>
      <c r="B26" s="13" t="s">
        <v>158</v>
      </c>
      <c r="C26" s="539"/>
      <c r="D26" s="738">
        <f t="shared" si="1"/>
        <v>0</v>
      </c>
      <c r="E26" s="740"/>
      <c r="F26" s="540">
        <f t="shared" si="2"/>
        <v>0</v>
      </c>
      <c r="G26" s="550"/>
      <c r="H26" s="97">
        <f t="shared" si="0"/>
        <v>0</v>
      </c>
    </row>
    <row r="27" spans="1:8" x14ac:dyDescent="0.25">
      <c r="A27" s="901"/>
      <c r="B27" s="13" t="s">
        <v>159</v>
      </c>
      <c r="C27" s="539"/>
      <c r="D27" s="738">
        <f t="shared" si="1"/>
        <v>0</v>
      </c>
      <c r="E27" s="740"/>
      <c r="F27" s="540">
        <f t="shared" si="2"/>
        <v>0</v>
      </c>
      <c r="G27" s="550"/>
      <c r="H27" s="97">
        <f t="shared" si="0"/>
        <v>0</v>
      </c>
    </row>
    <row r="28" spans="1:8" ht="18" customHeight="1" x14ac:dyDescent="0.25">
      <c r="A28" s="901"/>
      <c r="B28" s="13" t="s">
        <v>160</v>
      </c>
      <c r="C28" s="539"/>
      <c r="D28" s="738">
        <f t="shared" si="1"/>
        <v>0</v>
      </c>
      <c r="E28" s="740"/>
      <c r="F28" s="540">
        <f t="shared" si="2"/>
        <v>0</v>
      </c>
      <c r="G28" s="550"/>
      <c r="H28" s="97">
        <f t="shared" si="0"/>
        <v>0</v>
      </c>
    </row>
    <row r="29" spans="1:8" ht="15.75" customHeight="1" x14ac:dyDescent="0.25">
      <c r="A29" s="901"/>
      <c r="B29" s="13" t="s">
        <v>161</v>
      </c>
      <c r="C29" s="539"/>
      <c r="D29" s="738">
        <f t="shared" si="1"/>
        <v>0</v>
      </c>
      <c r="E29" s="740"/>
      <c r="F29" s="540">
        <f t="shared" si="2"/>
        <v>0</v>
      </c>
      <c r="G29" s="550"/>
      <c r="H29" s="97">
        <f t="shared" si="0"/>
        <v>0</v>
      </c>
    </row>
    <row r="30" spans="1:8" x14ac:dyDescent="0.25">
      <c r="A30" s="901"/>
      <c r="B30" s="13" t="s">
        <v>162</v>
      </c>
      <c r="C30" s="539"/>
      <c r="D30" s="738">
        <f t="shared" si="1"/>
        <v>0</v>
      </c>
      <c r="E30" s="740"/>
      <c r="F30" s="540">
        <f t="shared" si="2"/>
        <v>0</v>
      </c>
      <c r="G30" s="550"/>
      <c r="H30" s="97">
        <f t="shared" si="0"/>
        <v>0</v>
      </c>
    </row>
    <row r="31" spans="1:8" x14ac:dyDescent="0.25">
      <c r="A31" s="901"/>
      <c r="B31" s="15" t="s">
        <v>163</v>
      </c>
      <c r="C31" s="355">
        <f>SUM(C7:C30)</f>
        <v>0</v>
      </c>
      <c r="D31" s="355">
        <f>SUM(D7:D30)</f>
        <v>0</v>
      </c>
      <c r="E31" s="240" t="e">
        <f>SUMPRODUCT(C7:C30,E7:E30)/C31</f>
        <v>#DIV/0!</v>
      </c>
      <c r="F31" s="541">
        <f>SUM(F7:F30)</f>
        <v>0</v>
      </c>
      <c r="G31" s="551">
        <v>400000</v>
      </c>
      <c r="H31" s="48">
        <f>SUM(H7:H30)</f>
        <v>0</v>
      </c>
    </row>
    <row r="32" spans="1:8" x14ac:dyDescent="0.25">
      <c r="A32" s="901" t="s">
        <v>1016</v>
      </c>
      <c r="B32" s="13" t="str">
        <f>B7</f>
        <v>Tunis</v>
      </c>
      <c r="C32" s="539"/>
      <c r="D32" s="738">
        <f>C32*0.05</f>
        <v>0</v>
      </c>
      <c r="E32" s="490"/>
      <c r="F32" s="358">
        <f t="shared" ref="F32:F55" si="3">E32*D32</f>
        <v>0</v>
      </c>
      <c r="G32" s="550"/>
      <c r="H32" s="242">
        <f t="shared" ref="H32:H57" si="4">F32*G32</f>
        <v>0</v>
      </c>
    </row>
    <row r="33" spans="1:8" x14ac:dyDescent="0.25">
      <c r="A33" s="901"/>
      <c r="B33" s="13" t="str">
        <f t="shared" ref="B33:B55" si="5">B8</f>
        <v>Ariana</v>
      </c>
      <c r="C33" s="539"/>
      <c r="D33" s="738">
        <f t="shared" ref="D33:D55" si="6">C33*0.05</f>
        <v>0</v>
      </c>
      <c r="E33" s="490"/>
      <c r="F33" s="358">
        <f t="shared" si="3"/>
        <v>0</v>
      </c>
      <c r="G33" s="550"/>
      <c r="H33" s="242">
        <f t="shared" si="4"/>
        <v>0</v>
      </c>
    </row>
    <row r="34" spans="1:8" x14ac:dyDescent="0.25">
      <c r="A34" s="901"/>
      <c r="B34" s="13" t="str">
        <f t="shared" si="5"/>
        <v>La Manouba</v>
      </c>
      <c r="C34" s="539"/>
      <c r="D34" s="738">
        <f t="shared" si="6"/>
        <v>0</v>
      </c>
      <c r="E34" s="490"/>
      <c r="F34" s="358">
        <f t="shared" si="3"/>
        <v>0</v>
      </c>
      <c r="G34" s="550"/>
      <c r="H34" s="242">
        <f t="shared" si="4"/>
        <v>0</v>
      </c>
    </row>
    <row r="35" spans="1:8" x14ac:dyDescent="0.25">
      <c r="A35" s="901"/>
      <c r="B35" s="13" t="str">
        <f t="shared" si="5"/>
        <v>Ben Arous</v>
      </c>
      <c r="C35" s="539"/>
      <c r="D35" s="738">
        <f t="shared" si="6"/>
        <v>0</v>
      </c>
      <c r="E35" s="490"/>
      <c r="F35" s="358">
        <f t="shared" si="3"/>
        <v>0</v>
      </c>
      <c r="G35" s="550"/>
      <c r="H35" s="242">
        <f t="shared" si="4"/>
        <v>0</v>
      </c>
    </row>
    <row r="36" spans="1:8" x14ac:dyDescent="0.25">
      <c r="A36" s="901"/>
      <c r="B36" s="13" t="str">
        <f t="shared" si="5"/>
        <v>Nabeul</v>
      </c>
      <c r="C36" s="539"/>
      <c r="D36" s="738">
        <f t="shared" si="6"/>
        <v>0</v>
      </c>
      <c r="E36" s="490"/>
      <c r="F36" s="358">
        <f t="shared" si="3"/>
        <v>0</v>
      </c>
      <c r="G36" s="550"/>
      <c r="H36" s="242">
        <f t="shared" si="4"/>
        <v>0</v>
      </c>
    </row>
    <row r="37" spans="1:8" x14ac:dyDescent="0.25">
      <c r="A37" s="901"/>
      <c r="B37" s="13" t="str">
        <f t="shared" si="5"/>
        <v>Bizerte</v>
      </c>
      <c r="C37" s="539"/>
      <c r="D37" s="738">
        <f t="shared" si="6"/>
        <v>0</v>
      </c>
      <c r="E37" s="490"/>
      <c r="F37" s="358">
        <f t="shared" si="3"/>
        <v>0</v>
      </c>
      <c r="G37" s="550"/>
      <c r="H37" s="242">
        <f t="shared" si="4"/>
        <v>0</v>
      </c>
    </row>
    <row r="38" spans="1:8" x14ac:dyDescent="0.25">
      <c r="A38" s="901"/>
      <c r="B38" s="13" t="str">
        <f t="shared" si="5"/>
        <v>Zaghouan</v>
      </c>
      <c r="C38" s="539"/>
      <c r="D38" s="738">
        <f t="shared" si="6"/>
        <v>0</v>
      </c>
      <c r="E38" s="490"/>
      <c r="F38" s="358">
        <f t="shared" si="3"/>
        <v>0</v>
      </c>
      <c r="G38" s="550"/>
      <c r="H38" s="242">
        <f t="shared" si="4"/>
        <v>0</v>
      </c>
    </row>
    <row r="39" spans="1:8" x14ac:dyDescent="0.25">
      <c r="A39" s="901"/>
      <c r="B39" s="13" t="str">
        <f t="shared" si="5"/>
        <v>Béja</v>
      </c>
      <c r="C39" s="539"/>
      <c r="D39" s="738">
        <f t="shared" si="6"/>
        <v>0</v>
      </c>
      <c r="E39" s="490"/>
      <c r="F39" s="358">
        <f t="shared" si="3"/>
        <v>0</v>
      </c>
      <c r="G39" s="550"/>
      <c r="H39" s="242">
        <f t="shared" si="4"/>
        <v>0</v>
      </c>
    </row>
    <row r="40" spans="1:8" x14ac:dyDescent="0.25">
      <c r="A40" s="901"/>
      <c r="B40" s="13" t="str">
        <f t="shared" si="5"/>
        <v>Jendouba</v>
      </c>
      <c r="C40" s="539"/>
      <c r="D40" s="738">
        <f t="shared" si="6"/>
        <v>0</v>
      </c>
      <c r="E40" s="490"/>
      <c r="F40" s="358">
        <f t="shared" si="3"/>
        <v>0</v>
      </c>
      <c r="G40" s="550"/>
      <c r="H40" s="242">
        <f t="shared" si="4"/>
        <v>0</v>
      </c>
    </row>
    <row r="41" spans="1:8" x14ac:dyDescent="0.25">
      <c r="A41" s="901"/>
      <c r="B41" s="13" t="str">
        <f t="shared" si="5"/>
        <v>Le Kef</v>
      </c>
      <c r="C41" s="539"/>
      <c r="D41" s="738">
        <f t="shared" si="6"/>
        <v>0</v>
      </c>
      <c r="E41" s="490"/>
      <c r="F41" s="358">
        <f t="shared" si="3"/>
        <v>0</v>
      </c>
      <c r="G41" s="550"/>
      <c r="H41" s="242">
        <f t="shared" si="4"/>
        <v>0</v>
      </c>
    </row>
    <row r="42" spans="1:8" x14ac:dyDescent="0.25">
      <c r="A42" s="901"/>
      <c r="B42" s="13" t="str">
        <f t="shared" si="5"/>
        <v>Siliana</v>
      </c>
      <c r="C42" s="539"/>
      <c r="D42" s="738">
        <f t="shared" si="6"/>
        <v>0</v>
      </c>
      <c r="E42" s="490"/>
      <c r="F42" s="358">
        <f t="shared" si="3"/>
        <v>0</v>
      </c>
      <c r="G42" s="550"/>
      <c r="H42" s="242">
        <f t="shared" si="4"/>
        <v>0</v>
      </c>
    </row>
    <row r="43" spans="1:8" x14ac:dyDescent="0.25">
      <c r="A43" s="901"/>
      <c r="B43" s="13" t="str">
        <f t="shared" si="5"/>
        <v>Sousse</v>
      </c>
      <c r="C43" s="539"/>
      <c r="D43" s="738">
        <f t="shared" si="6"/>
        <v>0</v>
      </c>
      <c r="E43" s="490"/>
      <c r="F43" s="358">
        <f t="shared" si="3"/>
        <v>0</v>
      </c>
      <c r="G43" s="550"/>
      <c r="H43" s="242">
        <f t="shared" si="4"/>
        <v>0</v>
      </c>
    </row>
    <row r="44" spans="1:8" x14ac:dyDescent="0.25">
      <c r="A44" s="901"/>
      <c r="B44" s="13" t="str">
        <f t="shared" si="5"/>
        <v>Monastir</v>
      </c>
      <c r="C44" s="539"/>
      <c r="D44" s="738">
        <f t="shared" si="6"/>
        <v>0</v>
      </c>
      <c r="E44" s="490"/>
      <c r="F44" s="358">
        <f t="shared" si="3"/>
        <v>0</v>
      </c>
      <c r="G44" s="550"/>
      <c r="H44" s="242">
        <f t="shared" si="4"/>
        <v>0</v>
      </c>
    </row>
    <row r="45" spans="1:8" x14ac:dyDescent="0.25">
      <c r="A45" s="901"/>
      <c r="B45" s="13" t="str">
        <f t="shared" si="5"/>
        <v>Mahdia</v>
      </c>
      <c r="C45" s="539"/>
      <c r="D45" s="738">
        <f t="shared" si="6"/>
        <v>0</v>
      </c>
      <c r="E45" s="490"/>
      <c r="F45" s="358">
        <f t="shared" si="3"/>
        <v>0</v>
      </c>
      <c r="G45" s="550"/>
      <c r="H45" s="242">
        <f t="shared" si="4"/>
        <v>0</v>
      </c>
    </row>
    <row r="46" spans="1:8" x14ac:dyDescent="0.25">
      <c r="A46" s="901"/>
      <c r="B46" s="13" t="str">
        <f t="shared" si="5"/>
        <v>Sfax</v>
      </c>
      <c r="C46" s="539"/>
      <c r="D46" s="738">
        <f t="shared" si="6"/>
        <v>0</v>
      </c>
      <c r="E46" s="490"/>
      <c r="F46" s="358">
        <f t="shared" si="3"/>
        <v>0</v>
      </c>
      <c r="G46" s="550"/>
      <c r="H46" s="242">
        <f t="shared" si="4"/>
        <v>0</v>
      </c>
    </row>
    <row r="47" spans="1:8" x14ac:dyDescent="0.25">
      <c r="A47" s="901"/>
      <c r="B47" s="13" t="str">
        <f t="shared" si="5"/>
        <v>Kairouan</v>
      </c>
      <c r="C47" s="539"/>
      <c r="D47" s="738">
        <f t="shared" si="6"/>
        <v>0</v>
      </c>
      <c r="E47" s="490"/>
      <c r="F47" s="358">
        <f t="shared" si="3"/>
        <v>0</v>
      </c>
      <c r="G47" s="550"/>
      <c r="H47" s="242">
        <f t="shared" si="4"/>
        <v>0</v>
      </c>
    </row>
    <row r="48" spans="1:8" x14ac:dyDescent="0.25">
      <c r="A48" s="901"/>
      <c r="B48" s="13" t="str">
        <f t="shared" si="5"/>
        <v>Kasserine</v>
      </c>
      <c r="C48" s="539"/>
      <c r="D48" s="738">
        <f t="shared" si="6"/>
        <v>0</v>
      </c>
      <c r="E48" s="490"/>
      <c r="F48" s="358">
        <f t="shared" si="3"/>
        <v>0</v>
      </c>
      <c r="G48" s="550"/>
      <c r="H48" s="242">
        <f t="shared" si="4"/>
        <v>0</v>
      </c>
    </row>
    <row r="49" spans="1:15" x14ac:dyDescent="0.25">
      <c r="A49" s="901"/>
      <c r="B49" s="13" t="str">
        <f t="shared" si="5"/>
        <v>Sidi Bouzid</v>
      </c>
      <c r="C49" s="539"/>
      <c r="D49" s="738">
        <f t="shared" si="6"/>
        <v>0</v>
      </c>
      <c r="E49" s="490"/>
      <c r="F49" s="358">
        <f t="shared" si="3"/>
        <v>0</v>
      </c>
      <c r="G49" s="550"/>
      <c r="H49" s="242">
        <f t="shared" si="4"/>
        <v>0</v>
      </c>
    </row>
    <row r="50" spans="1:15" x14ac:dyDescent="0.25">
      <c r="A50" s="901"/>
      <c r="B50" s="13" t="str">
        <f t="shared" si="5"/>
        <v>Gafsa</v>
      </c>
      <c r="C50" s="539"/>
      <c r="D50" s="738">
        <f t="shared" si="6"/>
        <v>0</v>
      </c>
      <c r="E50" s="490"/>
      <c r="F50" s="358">
        <f t="shared" si="3"/>
        <v>0</v>
      </c>
      <c r="G50" s="550"/>
      <c r="H50" s="242">
        <f t="shared" si="4"/>
        <v>0</v>
      </c>
    </row>
    <row r="51" spans="1:15" x14ac:dyDescent="0.25">
      <c r="A51" s="901"/>
      <c r="B51" s="13" t="str">
        <f t="shared" si="5"/>
        <v>Gabès</v>
      </c>
      <c r="C51" s="539"/>
      <c r="D51" s="738">
        <f t="shared" si="6"/>
        <v>0</v>
      </c>
      <c r="E51" s="490"/>
      <c r="F51" s="358">
        <f t="shared" si="3"/>
        <v>0</v>
      </c>
      <c r="G51" s="550"/>
      <c r="H51" s="242">
        <f t="shared" si="4"/>
        <v>0</v>
      </c>
    </row>
    <row r="52" spans="1:15" x14ac:dyDescent="0.25">
      <c r="A52" s="901"/>
      <c r="B52" s="13" t="str">
        <f t="shared" si="5"/>
        <v>Médenine</v>
      </c>
      <c r="C52" s="539"/>
      <c r="D52" s="738">
        <f t="shared" si="6"/>
        <v>0</v>
      </c>
      <c r="E52" s="490"/>
      <c r="F52" s="358">
        <f t="shared" si="3"/>
        <v>0</v>
      </c>
      <c r="G52" s="550"/>
      <c r="H52" s="242">
        <f t="shared" si="4"/>
        <v>0</v>
      </c>
    </row>
    <row r="53" spans="1:15" x14ac:dyDescent="0.25">
      <c r="A53" s="901"/>
      <c r="B53" s="13" t="str">
        <f t="shared" si="5"/>
        <v>Tataouine</v>
      </c>
      <c r="C53" s="539"/>
      <c r="D53" s="738">
        <f t="shared" si="6"/>
        <v>0</v>
      </c>
      <c r="E53" s="490"/>
      <c r="F53" s="358">
        <f t="shared" si="3"/>
        <v>0</v>
      </c>
      <c r="G53" s="550"/>
      <c r="H53" s="242">
        <f t="shared" si="4"/>
        <v>0</v>
      </c>
    </row>
    <row r="54" spans="1:15" x14ac:dyDescent="0.25">
      <c r="A54" s="901"/>
      <c r="B54" s="13" t="str">
        <f t="shared" si="5"/>
        <v>Tozeur</v>
      </c>
      <c r="C54" s="539"/>
      <c r="D54" s="738">
        <f t="shared" si="6"/>
        <v>0</v>
      </c>
      <c r="E54" s="490"/>
      <c r="F54" s="358">
        <f t="shared" si="3"/>
        <v>0</v>
      </c>
      <c r="G54" s="550"/>
      <c r="H54" s="242">
        <f t="shared" si="4"/>
        <v>0</v>
      </c>
    </row>
    <row r="55" spans="1:15" x14ac:dyDescent="0.25">
      <c r="A55" s="901"/>
      <c r="B55" s="13" t="str">
        <f t="shared" si="5"/>
        <v>Kébili</v>
      </c>
      <c r="C55" s="539"/>
      <c r="D55" s="738">
        <f t="shared" si="6"/>
        <v>0</v>
      </c>
      <c r="E55" s="490"/>
      <c r="F55" s="358">
        <f t="shared" si="3"/>
        <v>0</v>
      </c>
      <c r="G55" s="550"/>
      <c r="H55" s="242">
        <f t="shared" si="4"/>
        <v>0</v>
      </c>
    </row>
    <row r="56" spans="1:15" x14ac:dyDescent="0.25">
      <c r="A56" s="901"/>
      <c r="B56" s="15" t="s">
        <v>163</v>
      </c>
      <c r="C56" s="360">
        <f t="shared" ref="C56:D56" si="7">SUM(C32:C55)</f>
        <v>0</v>
      </c>
      <c r="D56" s="360">
        <f t="shared" si="7"/>
        <v>0</v>
      </c>
      <c r="E56" s="241" t="e">
        <f>SUMPRODUCT(C32:C55,E32:E55)/C56</f>
        <v>#DIV/0!</v>
      </c>
      <c r="F56" s="355">
        <f t="shared" ref="F56:H56" si="8">SUM(F32:F55)</f>
        <v>0</v>
      </c>
      <c r="G56" s="214">
        <v>90000</v>
      </c>
      <c r="H56" s="214">
        <f t="shared" si="8"/>
        <v>0</v>
      </c>
      <c r="L56" s="227"/>
      <c r="M56" s="227"/>
      <c r="N56" s="227"/>
      <c r="O56" s="227"/>
    </row>
    <row r="57" spans="1:15" x14ac:dyDescent="0.25">
      <c r="A57" s="901" t="s">
        <v>1017</v>
      </c>
      <c r="B57" s="13" t="str">
        <f>B32</f>
        <v>Tunis</v>
      </c>
      <c r="C57" s="739"/>
      <c r="D57" s="14">
        <f>C57*0.0375</f>
        <v>0</v>
      </c>
      <c r="E57" s="490"/>
      <c r="F57" s="358">
        <f t="shared" ref="F57" si="9">E57*D57</f>
        <v>0</v>
      </c>
      <c r="G57" s="553"/>
      <c r="H57" s="242">
        <f t="shared" si="4"/>
        <v>0</v>
      </c>
      <c r="K57" s="59"/>
      <c r="L57" s="227"/>
      <c r="M57" s="227"/>
      <c r="N57" s="227"/>
      <c r="O57" s="227"/>
    </row>
    <row r="58" spans="1:15" x14ac:dyDescent="0.25">
      <c r="A58" s="901"/>
      <c r="B58" s="13" t="str">
        <f t="shared" ref="B58:B80" si="10">B33</f>
        <v>Ariana</v>
      </c>
      <c r="C58" s="739"/>
      <c r="D58" s="14">
        <f t="shared" ref="D58:D80" si="11">C58*0.0375</f>
        <v>0</v>
      </c>
      <c r="E58" s="490"/>
      <c r="F58" s="358">
        <f t="shared" ref="F58:F80" si="12">E58*D58</f>
        <v>0</v>
      </c>
      <c r="G58" s="553"/>
      <c r="H58" s="242">
        <f t="shared" ref="H58:H80" si="13">F58*G58</f>
        <v>0</v>
      </c>
      <c r="K58" s="59"/>
      <c r="L58" s="227"/>
      <c r="M58" s="227"/>
      <c r="N58" s="227"/>
      <c r="O58" s="227"/>
    </row>
    <row r="59" spans="1:15" x14ac:dyDescent="0.25">
      <c r="A59" s="901"/>
      <c r="B59" s="13" t="str">
        <f t="shared" si="10"/>
        <v>La Manouba</v>
      </c>
      <c r="C59" s="739"/>
      <c r="D59" s="14">
        <f t="shared" si="11"/>
        <v>0</v>
      </c>
      <c r="E59" s="490"/>
      <c r="F59" s="358">
        <f t="shared" si="12"/>
        <v>0</v>
      </c>
      <c r="G59" s="553"/>
      <c r="H59" s="242">
        <f t="shared" si="13"/>
        <v>0</v>
      </c>
      <c r="K59" s="59"/>
      <c r="L59" s="227"/>
      <c r="M59" s="227"/>
      <c r="N59" s="227"/>
      <c r="O59" s="227"/>
    </row>
    <row r="60" spans="1:15" x14ac:dyDescent="0.25">
      <c r="A60" s="901"/>
      <c r="B60" s="13" t="str">
        <f t="shared" si="10"/>
        <v>Ben Arous</v>
      </c>
      <c r="C60" s="739"/>
      <c r="D60" s="14">
        <f t="shared" si="11"/>
        <v>0</v>
      </c>
      <c r="E60" s="490"/>
      <c r="F60" s="358">
        <f t="shared" si="12"/>
        <v>0</v>
      </c>
      <c r="G60" s="553"/>
      <c r="H60" s="242">
        <f t="shared" si="13"/>
        <v>0</v>
      </c>
      <c r="K60" s="59"/>
      <c r="L60" s="227"/>
      <c r="M60" s="227"/>
      <c r="N60" s="227"/>
      <c r="O60" s="227"/>
    </row>
    <row r="61" spans="1:15" x14ac:dyDescent="0.25">
      <c r="A61" s="901"/>
      <c r="B61" s="13" t="str">
        <f t="shared" si="10"/>
        <v>Nabeul</v>
      </c>
      <c r="C61" s="739"/>
      <c r="D61" s="14">
        <f t="shared" si="11"/>
        <v>0</v>
      </c>
      <c r="E61" s="490"/>
      <c r="F61" s="358">
        <f t="shared" si="12"/>
        <v>0</v>
      </c>
      <c r="G61" s="553"/>
      <c r="H61" s="242">
        <f t="shared" si="13"/>
        <v>0</v>
      </c>
      <c r="K61" s="59"/>
      <c r="L61" s="227"/>
      <c r="M61" s="227"/>
      <c r="N61" s="227"/>
      <c r="O61" s="227"/>
    </row>
    <row r="62" spans="1:15" x14ac:dyDescent="0.25">
      <c r="A62" s="901"/>
      <c r="B62" s="13" t="str">
        <f t="shared" si="10"/>
        <v>Bizerte</v>
      </c>
      <c r="C62" s="739"/>
      <c r="D62" s="14">
        <f t="shared" si="11"/>
        <v>0</v>
      </c>
      <c r="E62" s="490"/>
      <c r="F62" s="358">
        <f t="shared" si="12"/>
        <v>0</v>
      </c>
      <c r="G62" s="553"/>
      <c r="H62" s="242">
        <f t="shared" si="13"/>
        <v>0</v>
      </c>
      <c r="K62" s="59"/>
      <c r="L62" s="227"/>
      <c r="M62" s="227"/>
      <c r="N62" s="227"/>
      <c r="O62" s="227"/>
    </row>
    <row r="63" spans="1:15" x14ac:dyDescent="0.25">
      <c r="A63" s="901"/>
      <c r="B63" s="13" t="str">
        <f t="shared" si="10"/>
        <v>Zaghouan</v>
      </c>
      <c r="C63" s="739"/>
      <c r="D63" s="14">
        <f t="shared" si="11"/>
        <v>0</v>
      </c>
      <c r="E63" s="490"/>
      <c r="F63" s="358">
        <f t="shared" si="12"/>
        <v>0</v>
      </c>
      <c r="G63" s="553"/>
      <c r="H63" s="242">
        <f t="shared" si="13"/>
        <v>0</v>
      </c>
      <c r="K63" s="59"/>
      <c r="L63" s="227"/>
      <c r="M63" s="227"/>
      <c r="N63" s="227"/>
      <c r="O63" s="227"/>
    </row>
    <row r="64" spans="1:15" x14ac:dyDescent="0.25">
      <c r="A64" s="901"/>
      <c r="B64" s="13" t="str">
        <f t="shared" si="10"/>
        <v>Béja</v>
      </c>
      <c r="C64" s="739"/>
      <c r="D64" s="14">
        <f t="shared" si="11"/>
        <v>0</v>
      </c>
      <c r="E64" s="490"/>
      <c r="F64" s="358">
        <f t="shared" si="12"/>
        <v>0</v>
      </c>
      <c r="G64" s="553"/>
      <c r="H64" s="242">
        <f t="shared" si="13"/>
        <v>0</v>
      </c>
      <c r="K64" s="59"/>
      <c r="L64" s="227"/>
      <c r="M64" s="227"/>
      <c r="N64" s="227"/>
      <c r="O64" s="227"/>
    </row>
    <row r="65" spans="1:15" x14ac:dyDescent="0.25">
      <c r="A65" s="901"/>
      <c r="B65" s="13" t="str">
        <f t="shared" si="10"/>
        <v>Jendouba</v>
      </c>
      <c r="C65" s="739"/>
      <c r="D65" s="14">
        <f t="shared" si="11"/>
        <v>0</v>
      </c>
      <c r="E65" s="490"/>
      <c r="F65" s="358">
        <f t="shared" si="12"/>
        <v>0</v>
      </c>
      <c r="G65" s="553"/>
      <c r="H65" s="242">
        <f t="shared" si="13"/>
        <v>0</v>
      </c>
      <c r="K65" s="59"/>
      <c r="L65" s="227"/>
      <c r="M65" s="227"/>
      <c r="N65" s="227"/>
      <c r="O65" s="227"/>
    </row>
    <row r="66" spans="1:15" x14ac:dyDescent="0.25">
      <c r="A66" s="901"/>
      <c r="B66" s="13" t="str">
        <f t="shared" si="10"/>
        <v>Le Kef</v>
      </c>
      <c r="C66" s="739"/>
      <c r="D66" s="14">
        <f t="shared" si="11"/>
        <v>0</v>
      </c>
      <c r="E66" s="490"/>
      <c r="F66" s="358">
        <f t="shared" si="12"/>
        <v>0</v>
      </c>
      <c r="G66" s="553"/>
      <c r="H66" s="242">
        <f t="shared" si="13"/>
        <v>0</v>
      </c>
      <c r="K66" s="59"/>
      <c r="L66" s="227"/>
      <c r="M66" s="227"/>
      <c r="N66" s="227"/>
      <c r="O66" s="227"/>
    </row>
    <row r="67" spans="1:15" x14ac:dyDescent="0.25">
      <c r="A67" s="901"/>
      <c r="B67" s="13" t="str">
        <f t="shared" si="10"/>
        <v>Siliana</v>
      </c>
      <c r="C67" s="739"/>
      <c r="D67" s="14">
        <f t="shared" si="11"/>
        <v>0</v>
      </c>
      <c r="E67" s="490"/>
      <c r="F67" s="358">
        <f t="shared" si="12"/>
        <v>0</v>
      </c>
      <c r="G67" s="553"/>
      <c r="H67" s="242">
        <f t="shared" si="13"/>
        <v>0</v>
      </c>
      <c r="K67" s="59"/>
      <c r="L67" s="227"/>
      <c r="M67" s="227"/>
      <c r="N67" s="227"/>
      <c r="O67" s="227"/>
    </row>
    <row r="68" spans="1:15" x14ac:dyDescent="0.25">
      <c r="A68" s="901"/>
      <c r="B68" s="13" t="str">
        <f t="shared" si="10"/>
        <v>Sousse</v>
      </c>
      <c r="C68" s="739"/>
      <c r="D68" s="14">
        <f t="shared" si="11"/>
        <v>0</v>
      </c>
      <c r="E68" s="490"/>
      <c r="F68" s="358">
        <f t="shared" si="12"/>
        <v>0</v>
      </c>
      <c r="G68" s="553"/>
      <c r="H68" s="242">
        <f t="shared" si="13"/>
        <v>0</v>
      </c>
      <c r="K68" s="59"/>
      <c r="L68" s="227"/>
      <c r="M68" s="227"/>
      <c r="N68" s="227"/>
      <c r="O68" s="227"/>
    </row>
    <row r="69" spans="1:15" x14ac:dyDescent="0.25">
      <c r="A69" s="901"/>
      <c r="B69" s="13" t="str">
        <f t="shared" si="10"/>
        <v>Monastir</v>
      </c>
      <c r="C69" s="739"/>
      <c r="D69" s="14">
        <f t="shared" si="11"/>
        <v>0</v>
      </c>
      <c r="E69" s="490"/>
      <c r="F69" s="358">
        <f t="shared" si="12"/>
        <v>0</v>
      </c>
      <c r="G69" s="553"/>
      <c r="H69" s="242">
        <f t="shared" si="13"/>
        <v>0</v>
      </c>
      <c r="K69" s="59"/>
      <c r="L69" s="227"/>
      <c r="M69" s="227"/>
      <c r="N69" s="227"/>
      <c r="O69" s="227"/>
    </row>
    <row r="70" spans="1:15" x14ac:dyDescent="0.25">
      <c r="A70" s="901"/>
      <c r="B70" s="13" t="str">
        <f t="shared" si="10"/>
        <v>Mahdia</v>
      </c>
      <c r="C70" s="739"/>
      <c r="D70" s="14">
        <f t="shared" si="11"/>
        <v>0</v>
      </c>
      <c r="E70" s="490"/>
      <c r="F70" s="358">
        <f t="shared" si="12"/>
        <v>0</v>
      </c>
      <c r="G70" s="553"/>
      <c r="H70" s="242">
        <f t="shared" si="13"/>
        <v>0</v>
      </c>
      <c r="K70" s="59"/>
      <c r="L70" s="227"/>
      <c r="M70" s="227"/>
      <c r="N70" s="227"/>
      <c r="O70" s="227"/>
    </row>
    <row r="71" spans="1:15" x14ac:dyDescent="0.25">
      <c r="A71" s="901"/>
      <c r="B71" s="13" t="str">
        <f t="shared" si="10"/>
        <v>Sfax</v>
      </c>
      <c r="C71" s="739"/>
      <c r="D71" s="14">
        <f t="shared" si="11"/>
        <v>0</v>
      </c>
      <c r="E71" s="490"/>
      <c r="F71" s="358">
        <f t="shared" si="12"/>
        <v>0</v>
      </c>
      <c r="G71" s="553"/>
      <c r="H71" s="242">
        <f t="shared" si="13"/>
        <v>0</v>
      </c>
      <c r="K71" s="59"/>
      <c r="L71" s="227"/>
      <c r="M71" s="227"/>
      <c r="N71" s="227"/>
      <c r="O71" s="227"/>
    </row>
    <row r="72" spans="1:15" x14ac:dyDescent="0.25">
      <c r="A72" s="901"/>
      <c r="B72" s="13" t="str">
        <f t="shared" si="10"/>
        <v>Kairouan</v>
      </c>
      <c r="C72" s="739"/>
      <c r="D72" s="14">
        <f t="shared" si="11"/>
        <v>0</v>
      </c>
      <c r="E72" s="490"/>
      <c r="F72" s="358">
        <f t="shared" si="12"/>
        <v>0</v>
      </c>
      <c r="G72" s="553"/>
      <c r="H72" s="242">
        <f t="shared" si="13"/>
        <v>0</v>
      </c>
      <c r="K72" s="59"/>
      <c r="L72" s="227"/>
      <c r="M72" s="227"/>
      <c r="N72" s="227"/>
      <c r="O72" s="227"/>
    </row>
    <row r="73" spans="1:15" x14ac:dyDescent="0.25">
      <c r="A73" s="901"/>
      <c r="B73" s="13" t="str">
        <f t="shared" si="10"/>
        <v>Kasserine</v>
      </c>
      <c r="C73" s="739"/>
      <c r="D73" s="14">
        <f t="shared" si="11"/>
        <v>0</v>
      </c>
      <c r="E73" s="490"/>
      <c r="F73" s="358">
        <f t="shared" si="12"/>
        <v>0</v>
      </c>
      <c r="G73" s="553"/>
      <c r="H73" s="242">
        <f t="shared" si="13"/>
        <v>0</v>
      </c>
      <c r="K73" s="59"/>
      <c r="L73" s="227"/>
      <c r="M73" s="227"/>
      <c r="N73" s="227"/>
      <c r="O73" s="227"/>
    </row>
    <row r="74" spans="1:15" x14ac:dyDescent="0.25">
      <c r="A74" s="901"/>
      <c r="B74" s="13" t="str">
        <f t="shared" si="10"/>
        <v>Sidi Bouzid</v>
      </c>
      <c r="C74" s="739"/>
      <c r="D74" s="14">
        <f t="shared" si="11"/>
        <v>0</v>
      </c>
      <c r="E74" s="490"/>
      <c r="F74" s="358">
        <f t="shared" si="12"/>
        <v>0</v>
      </c>
      <c r="G74" s="553"/>
      <c r="H74" s="242">
        <f t="shared" si="13"/>
        <v>0</v>
      </c>
      <c r="K74" s="59"/>
      <c r="L74" s="227"/>
      <c r="M74" s="227"/>
      <c r="N74" s="227"/>
      <c r="O74" s="227"/>
    </row>
    <row r="75" spans="1:15" x14ac:dyDescent="0.25">
      <c r="A75" s="901"/>
      <c r="B75" s="13" t="str">
        <f t="shared" si="10"/>
        <v>Gafsa</v>
      </c>
      <c r="C75" s="739"/>
      <c r="D75" s="14">
        <f t="shared" si="11"/>
        <v>0</v>
      </c>
      <c r="E75" s="490"/>
      <c r="F75" s="358">
        <f t="shared" si="12"/>
        <v>0</v>
      </c>
      <c r="G75" s="553"/>
      <c r="H75" s="242">
        <f t="shared" si="13"/>
        <v>0</v>
      </c>
      <c r="K75" s="59"/>
      <c r="L75" s="227"/>
      <c r="M75" s="227"/>
      <c r="N75" s="227"/>
      <c r="O75" s="227"/>
    </row>
    <row r="76" spans="1:15" x14ac:dyDescent="0.25">
      <c r="A76" s="901"/>
      <c r="B76" s="13" t="str">
        <f t="shared" si="10"/>
        <v>Gabès</v>
      </c>
      <c r="C76" s="739"/>
      <c r="D76" s="14">
        <f t="shared" si="11"/>
        <v>0</v>
      </c>
      <c r="E76" s="490"/>
      <c r="F76" s="358">
        <f t="shared" si="12"/>
        <v>0</v>
      </c>
      <c r="G76" s="553"/>
      <c r="H76" s="242">
        <f t="shared" si="13"/>
        <v>0</v>
      </c>
      <c r="K76" s="59"/>
      <c r="L76" s="227"/>
      <c r="M76" s="227"/>
      <c r="N76" s="227"/>
      <c r="O76" s="227"/>
    </row>
    <row r="77" spans="1:15" x14ac:dyDescent="0.25">
      <c r="A77" s="901"/>
      <c r="B77" s="13" t="str">
        <f t="shared" si="10"/>
        <v>Médenine</v>
      </c>
      <c r="C77" s="739"/>
      <c r="D77" s="14">
        <f t="shared" si="11"/>
        <v>0</v>
      </c>
      <c r="E77" s="490"/>
      <c r="F77" s="358">
        <f t="shared" si="12"/>
        <v>0</v>
      </c>
      <c r="G77" s="553"/>
      <c r="H77" s="242">
        <f t="shared" si="13"/>
        <v>0</v>
      </c>
      <c r="K77" s="59"/>
      <c r="L77" s="227"/>
      <c r="M77" s="227"/>
      <c r="N77" s="227"/>
      <c r="O77" s="227"/>
    </row>
    <row r="78" spans="1:15" x14ac:dyDescent="0.25">
      <c r="A78" s="901"/>
      <c r="B78" s="13" t="str">
        <f t="shared" si="10"/>
        <v>Tataouine</v>
      </c>
      <c r="C78" s="739"/>
      <c r="D78" s="14">
        <f t="shared" si="11"/>
        <v>0</v>
      </c>
      <c r="E78" s="490"/>
      <c r="F78" s="358">
        <f t="shared" si="12"/>
        <v>0</v>
      </c>
      <c r="G78" s="553"/>
      <c r="H78" s="242">
        <f t="shared" si="13"/>
        <v>0</v>
      </c>
      <c r="K78" s="59" t="s">
        <v>1018</v>
      </c>
      <c r="L78" s="227"/>
      <c r="M78" s="227"/>
      <c r="N78" s="227"/>
      <c r="O78" s="227"/>
    </row>
    <row r="79" spans="1:15" x14ac:dyDescent="0.25">
      <c r="A79" s="901"/>
      <c r="B79" s="13" t="str">
        <f t="shared" si="10"/>
        <v>Tozeur</v>
      </c>
      <c r="C79" s="739"/>
      <c r="D79" s="14">
        <f t="shared" si="11"/>
        <v>0</v>
      </c>
      <c r="E79" s="490"/>
      <c r="F79" s="358">
        <f t="shared" si="12"/>
        <v>0</v>
      </c>
      <c r="G79" s="553"/>
      <c r="H79" s="242">
        <f t="shared" si="13"/>
        <v>0</v>
      </c>
      <c r="K79" s="59" t="s">
        <v>1019</v>
      </c>
      <c r="L79" s="227"/>
      <c r="M79" s="236" t="s">
        <v>1020</v>
      </c>
      <c r="N79" s="59" t="s">
        <v>1021</v>
      </c>
      <c r="O79" s="59"/>
    </row>
    <row r="80" spans="1:15" x14ac:dyDescent="0.25">
      <c r="A80" s="901"/>
      <c r="B80" s="13" t="str">
        <f t="shared" si="10"/>
        <v>Kébili</v>
      </c>
      <c r="C80" s="739"/>
      <c r="D80" s="14">
        <f t="shared" si="11"/>
        <v>0</v>
      </c>
      <c r="E80" s="490"/>
      <c r="F80" s="358">
        <f t="shared" si="12"/>
        <v>0</v>
      </c>
      <c r="G80" s="553"/>
      <c r="H80" s="242">
        <f t="shared" si="13"/>
        <v>0</v>
      </c>
      <c r="K80" s="59" t="s">
        <v>1022</v>
      </c>
      <c r="L80" s="227"/>
      <c r="M80" s="236" t="s">
        <v>1023</v>
      </c>
      <c r="N80" s="59" t="s">
        <v>1021</v>
      </c>
      <c r="O80" s="59"/>
    </row>
    <row r="81" spans="1:15" x14ac:dyDescent="0.25">
      <c r="A81" s="901"/>
      <c r="B81" s="15" t="s">
        <v>163</v>
      </c>
      <c r="C81" s="48">
        <f t="shared" ref="C81:D81" si="14">SUM(C57:C80)</f>
        <v>0</v>
      </c>
      <c r="D81" s="48">
        <f t="shared" si="14"/>
        <v>0</v>
      </c>
      <c r="E81" s="241" t="e">
        <f>SUMPRODUCT(C57:C80,E57:E80)/C81</f>
        <v>#DIV/0!</v>
      </c>
      <c r="F81" s="356">
        <f t="shared" ref="F81" si="15">SUM(F57:F80)</f>
        <v>0</v>
      </c>
      <c r="G81" s="552">
        <v>150000</v>
      </c>
      <c r="H81" s="214">
        <f>SUM(H57:H80)</f>
        <v>0</v>
      </c>
      <c r="L81" s="227"/>
      <c r="M81" s="227"/>
      <c r="N81" s="227"/>
      <c r="O81" s="227"/>
    </row>
    <row r="82" spans="1:15" x14ac:dyDescent="0.25">
      <c r="A82" s="902" t="s">
        <v>1024</v>
      </c>
      <c r="B82" s="13" t="str">
        <f>B7</f>
        <v>Tunis</v>
      </c>
      <c r="C82" s="46">
        <f>C7+C32+C57</f>
        <v>0</v>
      </c>
      <c r="D82" s="46">
        <f>D7+D32+D57</f>
        <v>0</v>
      </c>
      <c r="E82" s="241" t="e">
        <f>(E7*C7+E32*C32+E57*C57)/C82</f>
        <v>#DIV/0!</v>
      </c>
      <c r="F82" s="356">
        <f>F7+F32+F57</f>
        <v>0</v>
      </c>
      <c r="G82" s="361" t="e">
        <f>(G7*F7+G32*F32+G57*F57)/F82</f>
        <v>#DIV/0!</v>
      </c>
      <c r="H82" s="48">
        <f>H7+H32+H57</f>
        <v>0</v>
      </c>
    </row>
    <row r="83" spans="1:15" x14ac:dyDescent="0.25">
      <c r="A83" s="902"/>
      <c r="B83" s="13" t="str">
        <f t="shared" ref="B83:B105" si="16">B8</f>
        <v>Ariana</v>
      </c>
      <c r="C83" s="46">
        <f t="shared" ref="C83:D83" si="17">C8+C33+C58</f>
        <v>0</v>
      </c>
      <c r="D83" s="46">
        <f t="shared" si="17"/>
        <v>0</v>
      </c>
      <c r="E83" s="241" t="e">
        <f t="shared" ref="E83:E105" si="18">(E8*C8+E33*C33+E58*C58)/C83</f>
        <v>#DIV/0!</v>
      </c>
      <c r="F83" s="356">
        <f t="shared" ref="F83:F105" si="19">F8+F33+F58</f>
        <v>0</v>
      </c>
      <c r="G83" s="361" t="e">
        <f t="shared" ref="G83:G105" si="20">(G8*F8+G33*F33+G58*F58)/F83</f>
        <v>#DIV/0!</v>
      </c>
      <c r="H83" s="48">
        <f t="shared" ref="H83:H105" si="21">H8+H33+H58</f>
        <v>0</v>
      </c>
    </row>
    <row r="84" spans="1:15" x14ac:dyDescent="0.25">
      <c r="A84" s="902"/>
      <c r="B84" s="13" t="str">
        <f t="shared" si="16"/>
        <v>La Manouba</v>
      </c>
      <c r="C84" s="46">
        <f t="shared" ref="C84:D84" si="22">C9+C34+C59</f>
        <v>0</v>
      </c>
      <c r="D84" s="46">
        <f t="shared" si="22"/>
        <v>0</v>
      </c>
      <c r="E84" s="241" t="e">
        <f t="shared" si="18"/>
        <v>#DIV/0!</v>
      </c>
      <c r="F84" s="356">
        <f t="shared" si="19"/>
        <v>0</v>
      </c>
      <c r="G84" s="361" t="e">
        <f t="shared" si="20"/>
        <v>#DIV/0!</v>
      </c>
      <c r="H84" s="48">
        <f t="shared" si="21"/>
        <v>0</v>
      </c>
    </row>
    <row r="85" spans="1:15" x14ac:dyDescent="0.25">
      <c r="A85" s="902"/>
      <c r="B85" s="13" t="str">
        <f t="shared" si="16"/>
        <v>Ben Arous</v>
      </c>
      <c r="C85" s="46">
        <f t="shared" ref="C85:D85" si="23">C10+C35+C60</f>
        <v>0</v>
      </c>
      <c r="D85" s="46">
        <f t="shared" si="23"/>
        <v>0</v>
      </c>
      <c r="E85" s="241" t="e">
        <f t="shared" si="18"/>
        <v>#DIV/0!</v>
      </c>
      <c r="F85" s="356">
        <f t="shared" si="19"/>
        <v>0</v>
      </c>
      <c r="G85" s="361" t="e">
        <f t="shared" si="20"/>
        <v>#DIV/0!</v>
      </c>
      <c r="H85" s="48">
        <f t="shared" si="21"/>
        <v>0</v>
      </c>
    </row>
    <row r="86" spans="1:15" x14ac:dyDescent="0.25">
      <c r="A86" s="902"/>
      <c r="B86" s="13" t="str">
        <f t="shared" si="16"/>
        <v>Nabeul</v>
      </c>
      <c r="C86" s="46">
        <f t="shared" ref="C86:D86" si="24">C11+C36+C61</f>
        <v>0</v>
      </c>
      <c r="D86" s="46">
        <f t="shared" si="24"/>
        <v>0</v>
      </c>
      <c r="E86" s="241" t="e">
        <f t="shared" si="18"/>
        <v>#DIV/0!</v>
      </c>
      <c r="F86" s="356">
        <f t="shared" si="19"/>
        <v>0</v>
      </c>
      <c r="G86" s="361" t="e">
        <f t="shared" si="20"/>
        <v>#DIV/0!</v>
      </c>
      <c r="H86" s="48">
        <f t="shared" si="21"/>
        <v>0</v>
      </c>
    </row>
    <row r="87" spans="1:15" x14ac:dyDescent="0.25">
      <c r="A87" s="902"/>
      <c r="B87" s="13" t="str">
        <f t="shared" si="16"/>
        <v>Bizerte</v>
      </c>
      <c r="C87" s="46">
        <f t="shared" ref="C87:D87" si="25">C12+C37+C62</f>
        <v>0</v>
      </c>
      <c r="D87" s="46">
        <f t="shared" si="25"/>
        <v>0</v>
      </c>
      <c r="E87" s="241" t="e">
        <f t="shared" si="18"/>
        <v>#DIV/0!</v>
      </c>
      <c r="F87" s="356">
        <f t="shared" si="19"/>
        <v>0</v>
      </c>
      <c r="G87" s="361" t="e">
        <f t="shared" si="20"/>
        <v>#DIV/0!</v>
      </c>
      <c r="H87" s="48">
        <f t="shared" si="21"/>
        <v>0</v>
      </c>
    </row>
    <row r="88" spans="1:15" x14ac:dyDescent="0.25">
      <c r="A88" s="902"/>
      <c r="B88" s="13" t="str">
        <f t="shared" si="16"/>
        <v>Zaghouan</v>
      </c>
      <c r="C88" s="46">
        <f t="shared" ref="C88:D88" si="26">C13+C38+C63</f>
        <v>0</v>
      </c>
      <c r="D88" s="46">
        <f t="shared" si="26"/>
        <v>0</v>
      </c>
      <c r="E88" s="241" t="e">
        <f t="shared" si="18"/>
        <v>#DIV/0!</v>
      </c>
      <c r="F88" s="356">
        <f t="shared" si="19"/>
        <v>0</v>
      </c>
      <c r="G88" s="361" t="e">
        <f t="shared" si="20"/>
        <v>#DIV/0!</v>
      </c>
      <c r="H88" s="48">
        <f t="shared" si="21"/>
        <v>0</v>
      </c>
    </row>
    <row r="89" spans="1:15" x14ac:dyDescent="0.25">
      <c r="A89" s="902"/>
      <c r="B89" s="13" t="str">
        <f t="shared" si="16"/>
        <v>Béja</v>
      </c>
      <c r="C89" s="46">
        <f t="shared" ref="C89:D89" si="27">C14+C39+C64</f>
        <v>0</v>
      </c>
      <c r="D89" s="46">
        <f t="shared" si="27"/>
        <v>0</v>
      </c>
      <c r="E89" s="241" t="e">
        <f t="shared" si="18"/>
        <v>#DIV/0!</v>
      </c>
      <c r="F89" s="356">
        <f t="shared" si="19"/>
        <v>0</v>
      </c>
      <c r="G89" s="361" t="e">
        <f t="shared" si="20"/>
        <v>#DIV/0!</v>
      </c>
      <c r="H89" s="48">
        <f t="shared" si="21"/>
        <v>0</v>
      </c>
    </row>
    <row r="90" spans="1:15" x14ac:dyDescent="0.25">
      <c r="A90" s="902"/>
      <c r="B90" s="13" t="str">
        <f t="shared" si="16"/>
        <v>Jendouba</v>
      </c>
      <c r="C90" s="46">
        <f t="shared" ref="C90:D90" si="28">C15+C40+C65</f>
        <v>0</v>
      </c>
      <c r="D90" s="46">
        <f t="shared" si="28"/>
        <v>0</v>
      </c>
      <c r="E90" s="241" t="e">
        <f t="shared" si="18"/>
        <v>#DIV/0!</v>
      </c>
      <c r="F90" s="356">
        <f t="shared" si="19"/>
        <v>0</v>
      </c>
      <c r="G90" s="361" t="e">
        <f t="shared" si="20"/>
        <v>#DIV/0!</v>
      </c>
      <c r="H90" s="48">
        <f t="shared" si="21"/>
        <v>0</v>
      </c>
    </row>
    <row r="91" spans="1:15" x14ac:dyDescent="0.25">
      <c r="A91" s="902"/>
      <c r="B91" s="13" t="str">
        <f t="shared" si="16"/>
        <v>Le Kef</v>
      </c>
      <c r="C91" s="46">
        <f t="shared" ref="C91:D91" si="29">C16+C41+C66</f>
        <v>0</v>
      </c>
      <c r="D91" s="46">
        <f t="shared" si="29"/>
        <v>0</v>
      </c>
      <c r="E91" s="241" t="e">
        <f t="shared" si="18"/>
        <v>#DIV/0!</v>
      </c>
      <c r="F91" s="356">
        <f t="shared" si="19"/>
        <v>0</v>
      </c>
      <c r="G91" s="361" t="e">
        <f t="shared" si="20"/>
        <v>#DIV/0!</v>
      </c>
      <c r="H91" s="48">
        <f t="shared" si="21"/>
        <v>0</v>
      </c>
    </row>
    <row r="92" spans="1:15" x14ac:dyDescent="0.25">
      <c r="A92" s="902"/>
      <c r="B92" s="13" t="str">
        <f t="shared" si="16"/>
        <v>Siliana</v>
      </c>
      <c r="C92" s="46">
        <f t="shared" ref="C92:D92" si="30">C17+C42+C67</f>
        <v>0</v>
      </c>
      <c r="D92" s="46">
        <f t="shared" si="30"/>
        <v>0</v>
      </c>
      <c r="E92" s="241" t="e">
        <f t="shared" si="18"/>
        <v>#DIV/0!</v>
      </c>
      <c r="F92" s="356">
        <f t="shared" si="19"/>
        <v>0</v>
      </c>
      <c r="G92" s="361" t="e">
        <f t="shared" si="20"/>
        <v>#DIV/0!</v>
      </c>
      <c r="H92" s="48">
        <f t="shared" si="21"/>
        <v>0</v>
      </c>
    </row>
    <row r="93" spans="1:15" x14ac:dyDescent="0.25">
      <c r="A93" s="902"/>
      <c r="B93" s="13" t="str">
        <f t="shared" si="16"/>
        <v>Sousse</v>
      </c>
      <c r="C93" s="46">
        <f t="shared" ref="C93:D93" si="31">C18+C43+C68</f>
        <v>0</v>
      </c>
      <c r="D93" s="46">
        <f t="shared" si="31"/>
        <v>0</v>
      </c>
      <c r="E93" s="241" t="e">
        <f t="shared" si="18"/>
        <v>#DIV/0!</v>
      </c>
      <c r="F93" s="356">
        <f t="shared" si="19"/>
        <v>0</v>
      </c>
      <c r="G93" s="361" t="e">
        <f t="shared" si="20"/>
        <v>#DIV/0!</v>
      </c>
      <c r="H93" s="48">
        <f t="shared" si="21"/>
        <v>0</v>
      </c>
    </row>
    <row r="94" spans="1:15" x14ac:dyDescent="0.25">
      <c r="A94" s="902"/>
      <c r="B94" s="13" t="str">
        <f t="shared" si="16"/>
        <v>Monastir</v>
      </c>
      <c r="C94" s="46">
        <f t="shared" ref="C94:D94" si="32">C19+C44+C69</f>
        <v>0</v>
      </c>
      <c r="D94" s="46">
        <f t="shared" si="32"/>
        <v>0</v>
      </c>
      <c r="E94" s="241" t="e">
        <f t="shared" si="18"/>
        <v>#DIV/0!</v>
      </c>
      <c r="F94" s="356">
        <f t="shared" si="19"/>
        <v>0</v>
      </c>
      <c r="G94" s="361" t="e">
        <f t="shared" si="20"/>
        <v>#DIV/0!</v>
      </c>
      <c r="H94" s="48">
        <f t="shared" si="21"/>
        <v>0</v>
      </c>
    </row>
    <row r="95" spans="1:15" x14ac:dyDescent="0.25">
      <c r="A95" s="902"/>
      <c r="B95" s="13" t="str">
        <f t="shared" si="16"/>
        <v>Mahdia</v>
      </c>
      <c r="C95" s="46">
        <f t="shared" ref="C95:D95" si="33">C20+C45+C70</f>
        <v>0</v>
      </c>
      <c r="D95" s="46">
        <f t="shared" si="33"/>
        <v>0</v>
      </c>
      <c r="E95" s="241" t="e">
        <f t="shared" si="18"/>
        <v>#DIV/0!</v>
      </c>
      <c r="F95" s="356">
        <f t="shared" si="19"/>
        <v>0</v>
      </c>
      <c r="G95" s="361" t="e">
        <f t="shared" si="20"/>
        <v>#DIV/0!</v>
      </c>
      <c r="H95" s="48">
        <f t="shared" si="21"/>
        <v>0</v>
      </c>
    </row>
    <row r="96" spans="1:15" x14ac:dyDescent="0.25">
      <c r="A96" s="902"/>
      <c r="B96" s="13" t="str">
        <f t="shared" si="16"/>
        <v>Sfax</v>
      </c>
      <c r="C96" s="46">
        <f t="shared" ref="C96:D96" si="34">C21+C46+C71</f>
        <v>0</v>
      </c>
      <c r="D96" s="46">
        <f t="shared" si="34"/>
        <v>0</v>
      </c>
      <c r="E96" s="241" t="e">
        <f t="shared" si="18"/>
        <v>#DIV/0!</v>
      </c>
      <c r="F96" s="356">
        <f t="shared" si="19"/>
        <v>0</v>
      </c>
      <c r="G96" s="361" t="e">
        <f t="shared" si="20"/>
        <v>#DIV/0!</v>
      </c>
      <c r="H96" s="48">
        <f t="shared" si="21"/>
        <v>0</v>
      </c>
    </row>
    <row r="97" spans="1:17" x14ac:dyDescent="0.25">
      <c r="A97" s="902"/>
      <c r="B97" s="13" t="str">
        <f t="shared" si="16"/>
        <v>Kairouan</v>
      </c>
      <c r="C97" s="46">
        <f t="shared" ref="C97:D97" si="35">C22+C47+C72</f>
        <v>0</v>
      </c>
      <c r="D97" s="46">
        <f t="shared" si="35"/>
        <v>0</v>
      </c>
      <c r="E97" s="241" t="e">
        <f t="shared" si="18"/>
        <v>#DIV/0!</v>
      </c>
      <c r="F97" s="356">
        <f t="shared" si="19"/>
        <v>0</v>
      </c>
      <c r="G97" s="361" t="e">
        <f t="shared" si="20"/>
        <v>#DIV/0!</v>
      </c>
      <c r="H97" s="48">
        <f t="shared" si="21"/>
        <v>0</v>
      </c>
    </row>
    <row r="98" spans="1:17" x14ac:dyDescent="0.25">
      <c r="A98" s="902"/>
      <c r="B98" s="13" t="str">
        <f t="shared" si="16"/>
        <v>Kasserine</v>
      </c>
      <c r="C98" s="46">
        <f t="shared" ref="C98:D98" si="36">C23+C48+C73</f>
        <v>0</v>
      </c>
      <c r="D98" s="46">
        <f t="shared" si="36"/>
        <v>0</v>
      </c>
      <c r="E98" s="241" t="e">
        <f t="shared" si="18"/>
        <v>#DIV/0!</v>
      </c>
      <c r="F98" s="356">
        <f t="shared" si="19"/>
        <v>0</v>
      </c>
      <c r="G98" s="361" t="e">
        <f t="shared" si="20"/>
        <v>#DIV/0!</v>
      </c>
      <c r="H98" s="48">
        <f t="shared" si="21"/>
        <v>0</v>
      </c>
    </row>
    <row r="99" spans="1:17" x14ac:dyDescent="0.25">
      <c r="A99" s="902"/>
      <c r="B99" s="13" t="str">
        <f t="shared" si="16"/>
        <v>Sidi Bouzid</v>
      </c>
      <c r="C99" s="46">
        <f t="shared" ref="C99:D99" si="37">C24+C49+C74</f>
        <v>0</v>
      </c>
      <c r="D99" s="46">
        <f t="shared" si="37"/>
        <v>0</v>
      </c>
      <c r="E99" s="241" t="e">
        <f t="shared" si="18"/>
        <v>#DIV/0!</v>
      </c>
      <c r="F99" s="356">
        <f t="shared" si="19"/>
        <v>0</v>
      </c>
      <c r="G99" s="361" t="e">
        <f t="shared" si="20"/>
        <v>#DIV/0!</v>
      </c>
      <c r="H99" s="48">
        <f t="shared" si="21"/>
        <v>0</v>
      </c>
    </row>
    <row r="100" spans="1:17" x14ac:dyDescent="0.25">
      <c r="A100" s="902"/>
      <c r="B100" s="13" t="str">
        <f t="shared" si="16"/>
        <v>Gafsa</v>
      </c>
      <c r="C100" s="46">
        <f t="shared" ref="C100:D100" si="38">C25+C50+C75</f>
        <v>0</v>
      </c>
      <c r="D100" s="46">
        <f t="shared" si="38"/>
        <v>0</v>
      </c>
      <c r="E100" s="241" t="e">
        <f t="shared" si="18"/>
        <v>#DIV/0!</v>
      </c>
      <c r="F100" s="356">
        <f t="shared" si="19"/>
        <v>0</v>
      </c>
      <c r="G100" s="361" t="e">
        <f t="shared" si="20"/>
        <v>#DIV/0!</v>
      </c>
      <c r="H100" s="48">
        <f t="shared" si="21"/>
        <v>0</v>
      </c>
    </row>
    <row r="101" spans="1:17" x14ac:dyDescent="0.25">
      <c r="A101" s="902"/>
      <c r="B101" s="13" t="str">
        <f t="shared" si="16"/>
        <v>Gabès</v>
      </c>
      <c r="C101" s="46">
        <f t="shared" ref="C101:D101" si="39">C26+C51+C76</f>
        <v>0</v>
      </c>
      <c r="D101" s="46">
        <f t="shared" si="39"/>
        <v>0</v>
      </c>
      <c r="E101" s="241" t="e">
        <f t="shared" si="18"/>
        <v>#DIV/0!</v>
      </c>
      <c r="F101" s="356">
        <f t="shared" si="19"/>
        <v>0</v>
      </c>
      <c r="G101" s="361" t="e">
        <f t="shared" si="20"/>
        <v>#DIV/0!</v>
      </c>
      <c r="H101" s="48">
        <f t="shared" si="21"/>
        <v>0</v>
      </c>
    </row>
    <row r="102" spans="1:17" x14ac:dyDescent="0.25">
      <c r="A102" s="902"/>
      <c r="B102" s="13" t="str">
        <f t="shared" si="16"/>
        <v>Médenine</v>
      </c>
      <c r="C102" s="46">
        <f t="shared" ref="C102:D102" si="40">C27+C52+C77</f>
        <v>0</v>
      </c>
      <c r="D102" s="46">
        <f t="shared" si="40"/>
        <v>0</v>
      </c>
      <c r="E102" s="241" t="e">
        <f t="shared" si="18"/>
        <v>#DIV/0!</v>
      </c>
      <c r="F102" s="356">
        <f t="shared" si="19"/>
        <v>0</v>
      </c>
      <c r="G102" s="361" t="e">
        <f t="shared" si="20"/>
        <v>#DIV/0!</v>
      </c>
      <c r="H102" s="48">
        <f t="shared" si="21"/>
        <v>0</v>
      </c>
    </row>
    <row r="103" spans="1:17" x14ac:dyDescent="0.25">
      <c r="A103" s="902"/>
      <c r="B103" s="13" t="str">
        <f t="shared" si="16"/>
        <v>Tataouine</v>
      </c>
      <c r="C103" s="46">
        <f t="shared" ref="C103:D103" si="41">C28+C53+C78</f>
        <v>0</v>
      </c>
      <c r="D103" s="46">
        <f t="shared" si="41"/>
        <v>0</v>
      </c>
      <c r="E103" s="241" t="e">
        <f t="shared" si="18"/>
        <v>#DIV/0!</v>
      </c>
      <c r="F103" s="356">
        <f t="shared" si="19"/>
        <v>0</v>
      </c>
      <c r="G103" s="361" t="e">
        <f t="shared" si="20"/>
        <v>#DIV/0!</v>
      </c>
      <c r="H103" s="48">
        <f t="shared" si="21"/>
        <v>0</v>
      </c>
    </row>
    <row r="104" spans="1:17" x14ac:dyDescent="0.25">
      <c r="A104" s="902"/>
      <c r="B104" s="13" t="str">
        <f t="shared" si="16"/>
        <v>Tozeur</v>
      </c>
      <c r="C104" s="46">
        <f t="shared" ref="C104:D104" si="42">C29+C54+C79</f>
        <v>0</v>
      </c>
      <c r="D104" s="46">
        <f t="shared" si="42"/>
        <v>0</v>
      </c>
      <c r="E104" s="241" t="e">
        <f t="shared" si="18"/>
        <v>#DIV/0!</v>
      </c>
      <c r="F104" s="356">
        <f t="shared" si="19"/>
        <v>0</v>
      </c>
      <c r="G104" s="361" t="e">
        <f t="shared" si="20"/>
        <v>#DIV/0!</v>
      </c>
      <c r="H104" s="48">
        <f t="shared" si="21"/>
        <v>0</v>
      </c>
    </row>
    <row r="105" spans="1:17" x14ac:dyDescent="0.25">
      <c r="A105" s="902"/>
      <c r="B105" s="13" t="str">
        <f t="shared" si="16"/>
        <v>Kébili</v>
      </c>
      <c r="C105" s="46">
        <f t="shared" ref="C105:D105" si="43">C30+C55+C80</f>
        <v>0</v>
      </c>
      <c r="D105" s="46">
        <f t="shared" si="43"/>
        <v>0</v>
      </c>
      <c r="E105" s="241" t="e">
        <f t="shared" si="18"/>
        <v>#DIV/0!</v>
      </c>
      <c r="F105" s="356">
        <f t="shared" si="19"/>
        <v>0</v>
      </c>
      <c r="G105" s="361" t="e">
        <f t="shared" si="20"/>
        <v>#DIV/0!</v>
      </c>
      <c r="H105" s="48">
        <f t="shared" si="21"/>
        <v>0</v>
      </c>
      <c r="L105" t="s">
        <v>1025</v>
      </c>
      <c r="O105" s="119">
        <v>0.11600000000000001</v>
      </c>
      <c r="P105" s="375" t="s">
        <v>345</v>
      </c>
      <c r="Q105" s="20" t="s">
        <v>1026</v>
      </c>
    </row>
    <row r="106" spans="1:17" x14ac:dyDescent="0.25">
      <c r="A106" s="902"/>
      <c r="B106" s="13" t="str">
        <f>B31</f>
        <v>Total Tunisia</v>
      </c>
      <c r="C106" s="46">
        <f>C31+C56+C81</f>
        <v>0</v>
      </c>
      <c r="D106" s="46">
        <f>D31+D56+D81</f>
        <v>0</v>
      </c>
      <c r="E106" s="241" t="e">
        <f>(E31*C31+E56*C56+E81*C81)/C106</f>
        <v>#DIV/0!</v>
      </c>
      <c r="F106" s="356">
        <f>F31+F56+F81</f>
        <v>0</v>
      </c>
      <c r="G106" s="361" t="e">
        <f>(G31*F31+G56*F56+G81*F81)/F106</f>
        <v>#DIV/0!</v>
      </c>
      <c r="H106" s="48">
        <f>H31+H56+H81</f>
        <v>0</v>
      </c>
      <c r="J106" s="5" t="b">
        <f>H106=SUM(H82:H105)</f>
        <v>1</v>
      </c>
      <c r="L106" t="s">
        <v>1027</v>
      </c>
      <c r="O106" s="49">
        <v>0.4</v>
      </c>
    </row>
    <row r="107" spans="1:17" ht="15" customHeight="1" x14ac:dyDescent="0.25">
      <c r="A107" s="780" t="s">
        <v>1028</v>
      </c>
      <c r="B107" s="780"/>
      <c r="C107" s="780"/>
      <c r="D107" s="780"/>
      <c r="E107" s="780"/>
      <c r="F107" s="780"/>
      <c r="G107" s="780"/>
      <c r="H107" s="44"/>
      <c r="I107" s="44"/>
      <c r="J107" s="362">
        <f>H106/L1</f>
        <v>0</v>
      </c>
    </row>
    <row r="108" spans="1:17" ht="60" x14ac:dyDescent="0.25">
      <c r="A108" s="877"/>
      <c r="B108" s="877"/>
      <c r="C108" s="877"/>
      <c r="D108" s="877"/>
      <c r="E108" s="877"/>
      <c r="F108" s="877"/>
      <c r="G108" s="877"/>
      <c r="H108" s="44"/>
      <c r="I108" s="44"/>
      <c r="J108" s="149">
        <f>J107/B214</f>
        <v>0</v>
      </c>
      <c r="L108" s="13"/>
      <c r="M108" s="377" t="s">
        <v>1029</v>
      </c>
      <c r="N108" s="378"/>
      <c r="O108" s="352" t="s">
        <v>1030</v>
      </c>
      <c r="P108" s="363" t="s">
        <v>1031</v>
      </c>
      <c r="Q108" s="385"/>
    </row>
    <row r="109" spans="1:17" ht="90" x14ac:dyDescent="0.25">
      <c r="A109" s="15" t="s">
        <v>1008</v>
      </c>
      <c r="B109" s="364" t="s">
        <v>101</v>
      </c>
      <c r="C109" s="347" t="s">
        <v>1032</v>
      </c>
      <c r="D109" s="347" t="str">
        <f>E6</f>
        <v>Percentage of infrastructure affected by land degradation in a typical year</v>
      </c>
      <c r="E109" s="348" t="s">
        <v>1033</v>
      </c>
      <c r="F109" s="347" t="s">
        <v>1034</v>
      </c>
      <c r="G109" s="347" t="s">
        <v>1035</v>
      </c>
      <c r="H109" s="347" t="s">
        <v>1036</v>
      </c>
      <c r="L109" s="13"/>
      <c r="M109" s="365" t="s">
        <v>1037</v>
      </c>
      <c r="N109" s="365" t="s">
        <v>1038</v>
      </c>
      <c r="O109" s="365" t="s">
        <v>1037</v>
      </c>
      <c r="P109" s="366" t="s">
        <v>1039</v>
      </c>
    </row>
    <row r="110" spans="1:17" x14ac:dyDescent="0.25">
      <c r="A110" s="901" t="s">
        <v>1015</v>
      </c>
      <c r="B110" s="13" t="str">
        <f>B82</f>
        <v>Tunis</v>
      </c>
      <c r="C110" s="238">
        <f>C7</f>
        <v>0</v>
      </c>
      <c r="D110" s="746" t="e">
        <f>+F7/C110</f>
        <v>#DIV/0!</v>
      </c>
      <c r="E110" s="543"/>
      <c r="F110" s="747" t="e">
        <f>P110*0.1*1000000</f>
        <v>#DIV/0!</v>
      </c>
      <c r="G110" s="242" t="e">
        <f>F110*E110*D110*C110</f>
        <v>#DIV/0!</v>
      </c>
      <c r="H110" s="903" t="s">
        <v>1040</v>
      </c>
      <c r="L110" s="13" t="str">
        <f>B110</f>
        <v>Tunis</v>
      </c>
      <c r="M110" s="386" t="e">
        <f>$O$106*$O$105*$O$1*C110/$C$134/1000000</f>
        <v>#DIV/0!</v>
      </c>
      <c r="N110" s="386" t="e">
        <f>+M110/$L$1</f>
        <v>#DIV/0!</v>
      </c>
      <c r="O110" s="368" t="e">
        <f>M110/365</f>
        <v>#DIV/0!</v>
      </c>
      <c r="P110" s="548" t="e">
        <f>O110/C110</f>
        <v>#DIV/0!</v>
      </c>
    </row>
    <row r="111" spans="1:17" x14ac:dyDescent="0.25">
      <c r="A111" s="901"/>
      <c r="B111" s="13" t="str">
        <f>B83</f>
        <v>Ariana</v>
      </c>
      <c r="C111" s="238">
        <f>C8</f>
        <v>0</v>
      </c>
      <c r="D111" s="746" t="e">
        <f>+F8/C111</f>
        <v>#DIV/0!</v>
      </c>
      <c r="E111" s="543"/>
      <c r="F111" s="747" t="e">
        <f t="shared" ref="F111:F122" si="44">P111*0.1*1000000</f>
        <v>#DIV/0!</v>
      </c>
      <c r="G111" s="242" t="e">
        <f t="shared" ref="G111:G112" si="45">F111*E111*D111*C111</f>
        <v>#DIV/0!</v>
      </c>
      <c r="H111" s="903"/>
      <c r="L111" s="13" t="str">
        <f t="shared" ref="L111:L133" si="46">B111</f>
        <v>Ariana</v>
      </c>
      <c r="M111" s="386" t="e">
        <f t="shared" ref="M111:M133" si="47">$O$106*$O$105*$O$1*C111/$C$134/1000000</f>
        <v>#DIV/0!</v>
      </c>
      <c r="N111" s="386" t="e">
        <f t="shared" ref="N111:N135" si="48">+M111/$L$1</f>
        <v>#DIV/0!</v>
      </c>
      <c r="O111" s="368" t="e">
        <f t="shared" ref="O111:O135" si="49">M111/365</f>
        <v>#DIV/0!</v>
      </c>
      <c r="P111" s="548" t="e">
        <f t="shared" ref="P111:P135" si="50">O111/C111</f>
        <v>#DIV/0!</v>
      </c>
    </row>
    <row r="112" spans="1:17" x14ac:dyDescent="0.25">
      <c r="A112" s="901"/>
      <c r="B112" s="13" t="str">
        <f t="shared" ref="B112:B133" si="51">B84</f>
        <v>La Manouba</v>
      </c>
      <c r="C112" s="238">
        <f t="shared" ref="C112:C133" si="52">C9</f>
        <v>0</v>
      </c>
      <c r="D112" s="746" t="e">
        <f t="shared" ref="D112:D133" si="53">+F9/C112</f>
        <v>#DIV/0!</v>
      </c>
      <c r="E112" s="543"/>
      <c r="F112" s="747" t="e">
        <f t="shared" si="44"/>
        <v>#DIV/0!</v>
      </c>
      <c r="G112" s="242" t="e">
        <f t="shared" si="45"/>
        <v>#DIV/0!</v>
      </c>
      <c r="H112" s="903"/>
      <c r="L112" s="13" t="str">
        <f t="shared" si="46"/>
        <v>La Manouba</v>
      </c>
      <c r="M112" s="386" t="e">
        <f t="shared" si="47"/>
        <v>#DIV/0!</v>
      </c>
      <c r="N112" s="386" t="e">
        <f t="shared" si="48"/>
        <v>#DIV/0!</v>
      </c>
      <c r="O112" s="368" t="e">
        <f t="shared" si="49"/>
        <v>#DIV/0!</v>
      </c>
      <c r="P112" s="548" t="e">
        <f t="shared" si="50"/>
        <v>#DIV/0!</v>
      </c>
    </row>
    <row r="113" spans="1:16" x14ac:dyDescent="0.25">
      <c r="A113" s="901"/>
      <c r="B113" s="13" t="str">
        <f t="shared" si="51"/>
        <v>Ben Arous</v>
      </c>
      <c r="C113" s="238">
        <f t="shared" si="52"/>
        <v>0</v>
      </c>
      <c r="D113" s="746" t="e">
        <f t="shared" si="53"/>
        <v>#DIV/0!</v>
      </c>
      <c r="E113" s="543"/>
      <c r="F113" s="747" t="e">
        <f t="shared" si="44"/>
        <v>#DIV/0!</v>
      </c>
      <c r="G113" s="242" t="e">
        <f t="shared" ref="G113:G133" si="54">F113*E113*D113*C113</f>
        <v>#DIV/0!</v>
      </c>
      <c r="H113" s="903"/>
      <c r="L113" s="13" t="str">
        <f t="shared" si="46"/>
        <v>Ben Arous</v>
      </c>
      <c r="M113" s="386" t="e">
        <f t="shared" si="47"/>
        <v>#DIV/0!</v>
      </c>
      <c r="N113" s="386" t="e">
        <f t="shared" si="48"/>
        <v>#DIV/0!</v>
      </c>
      <c r="O113" s="368" t="e">
        <f t="shared" si="49"/>
        <v>#DIV/0!</v>
      </c>
      <c r="P113" s="548" t="e">
        <f t="shared" si="50"/>
        <v>#DIV/0!</v>
      </c>
    </row>
    <row r="114" spans="1:16" x14ac:dyDescent="0.25">
      <c r="A114" s="901"/>
      <c r="B114" s="13" t="str">
        <f t="shared" si="51"/>
        <v>Nabeul</v>
      </c>
      <c r="C114" s="238">
        <f t="shared" si="52"/>
        <v>0</v>
      </c>
      <c r="D114" s="746" t="e">
        <f t="shared" si="53"/>
        <v>#DIV/0!</v>
      </c>
      <c r="E114" s="543"/>
      <c r="F114" s="747" t="e">
        <f t="shared" si="44"/>
        <v>#DIV/0!</v>
      </c>
      <c r="G114" s="242" t="e">
        <f t="shared" si="54"/>
        <v>#DIV/0!</v>
      </c>
      <c r="H114" s="903"/>
      <c r="L114" s="13" t="str">
        <f t="shared" si="46"/>
        <v>Nabeul</v>
      </c>
      <c r="M114" s="386" t="e">
        <f t="shared" si="47"/>
        <v>#DIV/0!</v>
      </c>
      <c r="N114" s="386" t="e">
        <f t="shared" si="48"/>
        <v>#DIV/0!</v>
      </c>
      <c r="O114" s="368" t="e">
        <f t="shared" si="49"/>
        <v>#DIV/0!</v>
      </c>
      <c r="P114" s="548" t="e">
        <f t="shared" si="50"/>
        <v>#DIV/0!</v>
      </c>
    </row>
    <row r="115" spans="1:16" x14ac:dyDescent="0.25">
      <c r="A115" s="901"/>
      <c r="B115" s="13" t="str">
        <f t="shared" si="51"/>
        <v>Bizerte</v>
      </c>
      <c r="C115" s="238">
        <f t="shared" si="52"/>
        <v>0</v>
      </c>
      <c r="D115" s="746" t="e">
        <f t="shared" si="53"/>
        <v>#DIV/0!</v>
      </c>
      <c r="E115" s="543"/>
      <c r="F115" s="747" t="e">
        <f t="shared" si="44"/>
        <v>#DIV/0!</v>
      </c>
      <c r="G115" s="242" t="e">
        <f t="shared" si="54"/>
        <v>#DIV/0!</v>
      </c>
      <c r="H115" s="903"/>
      <c r="L115" s="13" t="str">
        <f t="shared" si="46"/>
        <v>Bizerte</v>
      </c>
      <c r="M115" s="386" t="e">
        <f t="shared" si="47"/>
        <v>#DIV/0!</v>
      </c>
      <c r="N115" s="386" t="e">
        <f t="shared" si="48"/>
        <v>#DIV/0!</v>
      </c>
      <c r="O115" s="368" t="e">
        <f t="shared" si="49"/>
        <v>#DIV/0!</v>
      </c>
      <c r="P115" s="548" t="e">
        <f t="shared" si="50"/>
        <v>#DIV/0!</v>
      </c>
    </row>
    <row r="116" spans="1:16" x14ac:dyDescent="0.25">
      <c r="A116" s="901"/>
      <c r="B116" s="13" t="str">
        <f t="shared" si="51"/>
        <v>Zaghouan</v>
      </c>
      <c r="C116" s="238">
        <f t="shared" si="52"/>
        <v>0</v>
      </c>
      <c r="D116" s="746" t="e">
        <f t="shared" si="53"/>
        <v>#DIV/0!</v>
      </c>
      <c r="E116" s="543"/>
      <c r="F116" s="747" t="e">
        <f t="shared" si="44"/>
        <v>#DIV/0!</v>
      </c>
      <c r="G116" s="242" t="e">
        <f t="shared" si="54"/>
        <v>#DIV/0!</v>
      </c>
      <c r="H116" s="903"/>
      <c r="L116" s="13" t="str">
        <f t="shared" si="46"/>
        <v>Zaghouan</v>
      </c>
      <c r="M116" s="386" t="e">
        <f t="shared" si="47"/>
        <v>#DIV/0!</v>
      </c>
      <c r="N116" s="386" t="e">
        <f t="shared" si="48"/>
        <v>#DIV/0!</v>
      </c>
      <c r="O116" s="368" t="e">
        <f t="shared" si="49"/>
        <v>#DIV/0!</v>
      </c>
      <c r="P116" s="548" t="e">
        <f t="shared" si="50"/>
        <v>#DIV/0!</v>
      </c>
    </row>
    <row r="117" spans="1:16" x14ac:dyDescent="0.25">
      <c r="A117" s="901"/>
      <c r="B117" s="13" t="str">
        <f t="shared" si="51"/>
        <v>Béja</v>
      </c>
      <c r="C117" s="238">
        <f t="shared" si="52"/>
        <v>0</v>
      </c>
      <c r="D117" s="746" t="e">
        <f t="shared" si="53"/>
        <v>#DIV/0!</v>
      </c>
      <c r="E117" s="543"/>
      <c r="F117" s="747" t="e">
        <f t="shared" si="44"/>
        <v>#DIV/0!</v>
      </c>
      <c r="G117" s="242" t="e">
        <f t="shared" si="54"/>
        <v>#DIV/0!</v>
      </c>
      <c r="H117" s="903"/>
      <c r="L117" s="13" t="str">
        <f t="shared" si="46"/>
        <v>Béja</v>
      </c>
      <c r="M117" s="386" t="e">
        <f t="shared" si="47"/>
        <v>#DIV/0!</v>
      </c>
      <c r="N117" s="386" t="e">
        <f t="shared" si="48"/>
        <v>#DIV/0!</v>
      </c>
      <c r="O117" s="368" t="e">
        <f t="shared" si="49"/>
        <v>#DIV/0!</v>
      </c>
      <c r="P117" s="548" t="e">
        <f t="shared" si="50"/>
        <v>#DIV/0!</v>
      </c>
    </row>
    <row r="118" spans="1:16" x14ac:dyDescent="0.25">
      <c r="A118" s="901"/>
      <c r="B118" s="13" t="str">
        <f t="shared" si="51"/>
        <v>Jendouba</v>
      </c>
      <c r="C118" s="238">
        <f t="shared" si="52"/>
        <v>0</v>
      </c>
      <c r="D118" s="746" t="e">
        <f t="shared" si="53"/>
        <v>#DIV/0!</v>
      </c>
      <c r="E118" s="543"/>
      <c r="F118" s="747" t="e">
        <f t="shared" si="44"/>
        <v>#DIV/0!</v>
      </c>
      <c r="G118" s="242" t="e">
        <f t="shared" si="54"/>
        <v>#DIV/0!</v>
      </c>
      <c r="H118" s="903"/>
      <c r="L118" s="13" t="str">
        <f t="shared" si="46"/>
        <v>Jendouba</v>
      </c>
      <c r="M118" s="386" t="e">
        <f t="shared" si="47"/>
        <v>#DIV/0!</v>
      </c>
      <c r="N118" s="386" t="e">
        <f t="shared" si="48"/>
        <v>#DIV/0!</v>
      </c>
      <c r="O118" s="368" t="e">
        <f t="shared" si="49"/>
        <v>#DIV/0!</v>
      </c>
      <c r="P118" s="548" t="e">
        <f t="shared" si="50"/>
        <v>#DIV/0!</v>
      </c>
    </row>
    <row r="119" spans="1:16" x14ac:dyDescent="0.25">
      <c r="A119" s="901"/>
      <c r="B119" s="13" t="str">
        <f t="shared" si="51"/>
        <v>Le Kef</v>
      </c>
      <c r="C119" s="238">
        <f t="shared" si="52"/>
        <v>0</v>
      </c>
      <c r="D119" s="746" t="e">
        <f t="shared" si="53"/>
        <v>#DIV/0!</v>
      </c>
      <c r="E119" s="543"/>
      <c r="F119" s="747" t="e">
        <f t="shared" si="44"/>
        <v>#DIV/0!</v>
      </c>
      <c r="G119" s="242" t="e">
        <f t="shared" si="54"/>
        <v>#DIV/0!</v>
      </c>
      <c r="H119" s="903"/>
      <c r="L119" s="13" t="str">
        <f t="shared" si="46"/>
        <v>Le Kef</v>
      </c>
      <c r="M119" s="386" t="e">
        <f t="shared" si="47"/>
        <v>#DIV/0!</v>
      </c>
      <c r="N119" s="386" t="e">
        <f t="shared" si="48"/>
        <v>#DIV/0!</v>
      </c>
      <c r="O119" s="368" t="e">
        <f t="shared" si="49"/>
        <v>#DIV/0!</v>
      </c>
      <c r="P119" s="548" t="e">
        <f t="shared" si="50"/>
        <v>#DIV/0!</v>
      </c>
    </row>
    <row r="120" spans="1:16" x14ac:dyDescent="0.25">
      <c r="A120" s="901"/>
      <c r="B120" s="13" t="str">
        <f t="shared" si="51"/>
        <v>Siliana</v>
      </c>
      <c r="C120" s="238">
        <f t="shared" si="52"/>
        <v>0</v>
      </c>
      <c r="D120" s="746" t="e">
        <f t="shared" si="53"/>
        <v>#DIV/0!</v>
      </c>
      <c r="E120" s="543"/>
      <c r="F120" s="747" t="e">
        <f t="shared" si="44"/>
        <v>#DIV/0!</v>
      </c>
      <c r="G120" s="242" t="e">
        <f t="shared" si="54"/>
        <v>#DIV/0!</v>
      </c>
      <c r="H120" s="903"/>
      <c r="L120" s="13" t="str">
        <f t="shared" si="46"/>
        <v>Siliana</v>
      </c>
      <c r="M120" s="386" t="e">
        <f t="shared" si="47"/>
        <v>#DIV/0!</v>
      </c>
      <c r="N120" s="386" t="e">
        <f t="shared" si="48"/>
        <v>#DIV/0!</v>
      </c>
      <c r="O120" s="368" t="e">
        <f t="shared" si="49"/>
        <v>#DIV/0!</v>
      </c>
      <c r="P120" s="548" t="e">
        <f t="shared" si="50"/>
        <v>#DIV/0!</v>
      </c>
    </row>
    <row r="121" spans="1:16" x14ac:dyDescent="0.25">
      <c r="A121" s="901"/>
      <c r="B121" s="13" t="str">
        <f t="shared" si="51"/>
        <v>Sousse</v>
      </c>
      <c r="C121" s="238">
        <f t="shared" si="52"/>
        <v>0</v>
      </c>
      <c r="D121" s="746" t="e">
        <f t="shared" si="53"/>
        <v>#DIV/0!</v>
      </c>
      <c r="E121" s="543"/>
      <c r="F121" s="747" t="e">
        <f t="shared" si="44"/>
        <v>#DIV/0!</v>
      </c>
      <c r="G121" s="242" t="e">
        <f t="shared" si="54"/>
        <v>#DIV/0!</v>
      </c>
      <c r="H121" s="903"/>
      <c r="L121" s="13" t="str">
        <f t="shared" si="46"/>
        <v>Sousse</v>
      </c>
      <c r="M121" s="386" t="e">
        <f t="shared" si="47"/>
        <v>#DIV/0!</v>
      </c>
      <c r="N121" s="386" t="e">
        <f t="shared" si="48"/>
        <v>#DIV/0!</v>
      </c>
      <c r="O121" s="368" t="e">
        <f t="shared" si="49"/>
        <v>#DIV/0!</v>
      </c>
      <c r="P121" s="548" t="e">
        <f t="shared" si="50"/>
        <v>#DIV/0!</v>
      </c>
    </row>
    <row r="122" spans="1:16" x14ac:dyDescent="0.25">
      <c r="A122" s="901"/>
      <c r="B122" s="13" t="str">
        <f t="shared" si="51"/>
        <v>Monastir</v>
      </c>
      <c r="C122" s="238">
        <f t="shared" si="52"/>
        <v>0</v>
      </c>
      <c r="D122" s="746" t="e">
        <f t="shared" si="53"/>
        <v>#DIV/0!</v>
      </c>
      <c r="E122" s="543"/>
      <c r="F122" s="747" t="e">
        <f t="shared" si="44"/>
        <v>#DIV/0!</v>
      </c>
      <c r="G122" s="242" t="e">
        <f t="shared" si="54"/>
        <v>#DIV/0!</v>
      </c>
      <c r="H122" s="903"/>
      <c r="L122" s="13" t="str">
        <f t="shared" si="46"/>
        <v>Monastir</v>
      </c>
      <c r="M122" s="386" t="e">
        <f t="shared" si="47"/>
        <v>#DIV/0!</v>
      </c>
      <c r="N122" s="386" t="e">
        <f t="shared" si="48"/>
        <v>#DIV/0!</v>
      </c>
      <c r="O122" s="368" t="e">
        <f t="shared" si="49"/>
        <v>#DIV/0!</v>
      </c>
      <c r="P122" s="548" t="e">
        <f t="shared" si="50"/>
        <v>#DIV/0!</v>
      </c>
    </row>
    <row r="123" spans="1:16" x14ac:dyDescent="0.25">
      <c r="A123" s="901"/>
      <c r="B123" s="13" t="str">
        <f t="shared" si="51"/>
        <v>Mahdia</v>
      </c>
      <c r="C123" s="238">
        <f t="shared" si="52"/>
        <v>0</v>
      </c>
      <c r="D123" s="746" t="e">
        <f t="shared" si="53"/>
        <v>#DIV/0!</v>
      </c>
      <c r="E123" s="543"/>
      <c r="F123" s="747" t="e">
        <f t="shared" ref="F123:F133" si="55">P123*0.1*1000000</f>
        <v>#DIV/0!</v>
      </c>
      <c r="G123" s="242" t="e">
        <f t="shared" si="54"/>
        <v>#DIV/0!</v>
      </c>
      <c r="H123" s="903"/>
      <c r="L123" s="13" t="str">
        <f t="shared" si="46"/>
        <v>Mahdia</v>
      </c>
      <c r="M123" s="386" t="e">
        <f t="shared" si="47"/>
        <v>#DIV/0!</v>
      </c>
      <c r="N123" s="386" t="e">
        <f t="shared" si="48"/>
        <v>#DIV/0!</v>
      </c>
      <c r="O123" s="368" t="e">
        <f t="shared" si="49"/>
        <v>#DIV/0!</v>
      </c>
      <c r="P123" s="548" t="e">
        <f t="shared" si="50"/>
        <v>#DIV/0!</v>
      </c>
    </row>
    <row r="124" spans="1:16" x14ac:dyDescent="0.25">
      <c r="A124" s="901"/>
      <c r="B124" s="13" t="str">
        <f t="shared" si="51"/>
        <v>Sfax</v>
      </c>
      <c r="C124" s="238">
        <f t="shared" si="52"/>
        <v>0</v>
      </c>
      <c r="D124" s="746" t="e">
        <f t="shared" si="53"/>
        <v>#DIV/0!</v>
      </c>
      <c r="E124" s="543"/>
      <c r="F124" s="747" t="e">
        <f t="shared" si="55"/>
        <v>#DIV/0!</v>
      </c>
      <c r="G124" s="242" t="e">
        <f t="shared" si="54"/>
        <v>#DIV/0!</v>
      </c>
      <c r="H124" s="903"/>
      <c r="L124" s="13" t="str">
        <f t="shared" si="46"/>
        <v>Sfax</v>
      </c>
      <c r="M124" s="386" t="e">
        <f t="shared" si="47"/>
        <v>#DIV/0!</v>
      </c>
      <c r="N124" s="386" t="e">
        <f t="shared" si="48"/>
        <v>#DIV/0!</v>
      </c>
      <c r="O124" s="368" t="e">
        <f t="shared" si="49"/>
        <v>#DIV/0!</v>
      </c>
      <c r="P124" s="548" t="e">
        <f t="shared" si="50"/>
        <v>#DIV/0!</v>
      </c>
    </row>
    <row r="125" spans="1:16" x14ac:dyDescent="0.25">
      <c r="A125" s="901"/>
      <c r="B125" s="13" t="str">
        <f t="shared" si="51"/>
        <v>Kairouan</v>
      </c>
      <c r="C125" s="238">
        <f t="shared" si="52"/>
        <v>0</v>
      </c>
      <c r="D125" s="746" t="e">
        <f t="shared" si="53"/>
        <v>#DIV/0!</v>
      </c>
      <c r="E125" s="543"/>
      <c r="F125" s="747" t="e">
        <f t="shared" si="55"/>
        <v>#DIV/0!</v>
      </c>
      <c r="G125" s="242" t="e">
        <f t="shared" si="54"/>
        <v>#DIV/0!</v>
      </c>
      <c r="H125" s="903"/>
      <c r="L125" s="13" t="str">
        <f t="shared" si="46"/>
        <v>Kairouan</v>
      </c>
      <c r="M125" s="386" t="e">
        <f t="shared" si="47"/>
        <v>#DIV/0!</v>
      </c>
      <c r="N125" s="386" t="e">
        <f t="shared" si="48"/>
        <v>#DIV/0!</v>
      </c>
      <c r="O125" s="368" t="e">
        <f t="shared" si="49"/>
        <v>#DIV/0!</v>
      </c>
      <c r="P125" s="548" t="e">
        <f t="shared" si="50"/>
        <v>#DIV/0!</v>
      </c>
    </row>
    <row r="126" spans="1:16" x14ac:dyDescent="0.25">
      <c r="A126" s="901"/>
      <c r="B126" s="13" t="str">
        <f t="shared" si="51"/>
        <v>Kasserine</v>
      </c>
      <c r="C126" s="238">
        <f t="shared" si="52"/>
        <v>0</v>
      </c>
      <c r="D126" s="746" t="e">
        <f t="shared" si="53"/>
        <v>#DIV/0!</v>
      </c>
      <c r="E126" s="543"/>
      <c r="F126" s="747" t="e">
        <f t="shared" si="55"/>
        <v>#DIV/0!</v>
      </c>
      <c r="G126" s="242" t="e">
        <f t="shared" si="54"/>
        <v>#DIV/0!</v>
      </c>
      <c r="H126" s="903"/>
      <c r="L126" s="13" t="str">
        <f t="shared" si="46"/>
        <v>Kasserine</v>
      </c>
      <c r="M126" s="386" t="e">
        <f t="shared" si="47"/>
        <v>#DIV/0!</v>
      </c>
      <c r="N126" s="386" t="e">
        <f t="shared" si="48"/>
        <v>#DIV/0!</v>
      </c>
      <c r="O126" s="368" t="e">
        <f t="shared" si="49"/>
        <v>#DIV/0!</v>
      </c>
      <c r="P126" s="548" t="e">
        <f t="shared" si="50"/>
        <v>#DIV/0!</v>
      </c>
    </row>
    <row r="127" spans="1:16" x14ac:dyDescent="0.25">
      <c r="A127" s="901"/>
      <c r="B127" s="13" t="str">
        <f t="shared" si="51"/>
        <v>Sidi Bouzid</v>
      </c>
      <c r="C127" s="238">
        <f t="shared" si="52"/>
        <v>0</v>
      </c>
      <c r="D127" s="746" t="e">
        <f t="shared" si="53"/>
        <v>#DIV/0!</v>
      </c>
      <c r="E127" s="543"/>
      <c r="F127" s="747" t="e">
        <f t="shared" si="55"/>
        <v>#DIV/0!</v>
      </c>
      <c r="G127" s="242" t="e">
        <f t="shared" si="54"/>
        <v>#DIV/0!</v>
      </c>
      <c r="H127" s="903"/>
      <c r="L127" s="13" t="str">
        <f t="shared" si="46"/>
        <v>Sidi Bouzid</v>
      </c>
      <c r="M127" s="386" t="e">
        <f t="shared" si="47"/>
        <v>#DIV/0!</v>
      </c>
      <c r="N127" s="386" t="e">
        <f t="shared" si="48"/>
        <v>#DIV/0!</v>
      </c>
      <c r="O127" s="368" t="e">
        <f t="shared" si="49"/>
        <v>#DIV/0!</v>
      </c>
      <c r="P127" s="548" t="e">
        <f t="shared" si="50"/>
        <v>#DIV/0!</v>
      </c>
    </row>
    <row r="128" spans="1:16" x14ac:dyDescent="0.25">
      <c r="A128" s="901"/>
      <c r="B128" s="13" t="str">
        <f t="shared" si="51"/>
        <v>Gafsa</v>
      </c>
      <c r="C128" s="238">
        <f t="shared" si="52"/>
        <v>0</v>
      </c>
      <c r="D128" s="746" t="e">
        <f t="shared" si="53"/>
        <v>#DIV/0!</v>
      </c>
      <c r="E128" s="543"/>
      <c r="F128" s="747" t="e">
        <f t="shared" si="55"/>
        <v>#DIV/0!</v>
      </c>
      <c r="G128" s="242" t="e">
        <f t="shared" si="54"/>
        <v>#DIV/0!</v>
      </c>
      <c r="H128" s="903"/>
      <c r="L128" s="13" t="str">
        <f t="shared" si="46"/>
        <v>Gafsa</v>
      </c>
      <c r="M128" s="386" t="e">
        <f t="shared" si="47"/>
        <v>#DIV/0!</v>
      </c>
      <c r="N128" s="386" t="e">
        <f t="shared" si="48"/>
        <v>#DIV/0!</v>
      </c>
      <c r="O128" s="368" t="e">
        <f t="shared" si="49"/>
        <v>#DIV/0!</v>
      </c>
      <c r="P128" s="548" t="e">
        <f t="shared" si="50"/>
        <v>#DIV/0!</v>
      </c>
    </row>
    <row r="129" spans="1:16" x14ac:dyDescent="0.25">
      <c r="A129" s="901"/>
      <c r="B129" s="13" t="str">
        <f t="shared" si="51"/>
        <v>Gabès</v>
      </c>
      <c r="C129" s="238">
        <f t="shared" si="52"/>
        <v>0</v>
      </c>
      <c r="D129" s="746" t="e">
        <f t="shared" si="53"/>
        <v>#DIV/0!</v>
      </c>
      <c r="E129" s="543"/>
      <c r="F129" s="747" t="e">
        <f t="shared" si="55"/>
        <v>#DIV/0!</v>
      </c>
      <c r="G129" s="242" t="e">
        <f t="shared" si="54"/>
        <v>#DIV/0!</v>
      </c>
      <c r="H129" s="903"/>
      <c r="L129" s="13" t="str">
        <f t="shared" si="46"/>
        <v>Gabès</v>
      </c>
      <c r="M129" s="386" t="e">
        <f t="shared" si="47"/>
        <v>#DIV/0!</v>
      </c>
      <c r="N129" s="386" t="e">
        <f t="shared" si="48"/>
        <v>#DIV/0!</v>
      </c>
      <c r="O129" s="368" t="e">
        <f t="shared" si="49"/>
        <v>#DIV/0!</v>
      </c>
      <c r="P129" s="548" t="e">
        <f t="shared" si="50"/>
        <v>#DIV/0!</v>
      </c>
    </row>
    <row r="130" spans="1:16" x14ac:dyDescent="0.25">
      <c r="A130" s="901"/>
      <c r="B130" s="13" t="str">
        <f t="shared" si="51"/>
        <v>Médenine</v>
      </c>
      <c r="C130" s="238">
        <f t="shared" si="52"/>
        <v>0</v>
      </c>
      <c r="D130" s="746" t="e">
        <f t="shared" si="53"/>
        <v>#DIV/0!</v>
      </c>
      <c r="E130" s="543"/>
      <c r="F130" s="747" t="e">
        <f t="shared" si="55"/>
        <v>#DIV/0!</v>
      </c>
      <c r="G130" s="242" t="e">
        <f t="shared" si="54"/>
        <v>#DIV/0!</v>
      </c>
      <c r="H130" s="903"/>
      <c r="L130" s="13" t="str">
        <f t="shared" si="46"/>
        <v>Médenine</v>
      </c>
      <c r="M130" s="386" t="e">
        <f t="shared" si="47"/>
        <v>#DIV/0!</v>
      </c>
      <c r="N130" s="386" t="e">
        <f t="shared" si="48"/>
        <v>#DIV/0!</v>
      </c>
      <c r="O130" s="368" t="e">
        <f t="shared" si="49"/>
        <v>#DIV/0!</v>
      </c>
      <c r="P130" s="548" t="e">
        <f t="shared" si="50"/>
        <v>#DIV/0!</v>
      </c>
    </row>
    <row r="131" spans="1:16" x14ac:dyDescent="0.25">
      <c r="A131" s="901"/>
      <c r="B131" s="13" t="str">
        <f t="shared" si="51"/>
        <v>Tataouine</v>
      </c>
      <c r="C131" s="238">
        <f t="shared" si="52"/>
        <v>0</v>
      </c>
      <c r="D131" s="746" t="e">
        <f t="shared" si="53"/>
        <v>#DIV/0!</v>
      </c>
      <c r="E131" s="543"/>
      <c r="F131" s="747" t="e">
        <f t="shared" si="55"/>
        <v>#DIV/0!</v>
      </c>
      <c r="G131" s="242" t="e">
        <f t="shared" si="54"/>
        <v>#DIV/0!</v>
      </c>
      <c r="H131" s="903"/>
      <c r="L131" s="13" t="str">
        <f t="shared" si="46"/>
        <v>Tataouine</v>
      </c>
      <c r="M131" s="386" t="e">
        <f t="shared" si="47"/>
        <v>#DIV/0!</v>
      </c>
      <c r="N131" s="386" t="e">
        <f t="shared" si="48"/>
        <v>#DIV/0!</v>
      </c>
      <c r="O131" s="368" t="e">
        <f t="shared" si="49"/>
        <v>#DIV/0!</v>
      </c>
      <c r="P131" s="548" t="e">
        <f t="shared" si="50"/>
        <v>#DIV/0!</v>
      </c>
    </row>
    <row r="132" spans="1:16" x14ac:dyDescent="0.25">
      <c r="A132" s="901"/>
      <c r="B132" s="13" t="str">
        <f t="shared" si="51"/>
        <v>Tozeur</v>
      </c>
      <c r="C132" s="238">
        <f t="shared" si="52"/>
        <v>0</v>
      </c>
      <c r="D132" s="746" t="e">
        <f t="shared" si="53"/>
        <v>#DIV/0!</v>
      </c>
      <c r="E132" s="543"/>
      <c r="F132" s="747" t="e">
        <f t="shared" si="55"/>
        <v>#DIV/0!</v>
      </c>
      <c r="G132" s="242" t="e">
        <f t="shared" si="54"/>
        <v>#DIV/0!</v>
      </c>
      <c r="H132" s="903"/>
      <c r="L132" s="13" t="str">
        <f t="shared" si="46"/>
        <v>Tozeur</v>
      </c>
      <c r="M132" s="386" t="e">
        <f t="shared" si="47"/>
        <v>#DIV/0!</v>
      </c>
      <c r="N132" s="386" t="e">
        <f t="shared" si="48"/>
        <v>#DIV/0!</v>
      </c>
      <c r="O132" s="368" t="e">
        <f t="shared" si="49"/>
        <v>#DIV/0!</v>
      </c>
      <c r="P132" s="548" t="e">
        <f t="shared" si="50"/>
        <v>#DIV/0!</v>
      </c>
    </row>
    <row r="133" spans="1:16" x14ac:dyDescent="0.25">
      <c r="A133" s="901"/>
      <c r="B133" s="13" t="str">
        <f t="shared" si="51"/>
        <v>Kébili</v>
      </c>
      <c r="C133" s="238">
        <f t="shared" si="52"/>
        <v>0</v>
      </c>
      <c r="D133" s="746" t="e">
        <f t="shared" si="53"/>
        <v>#DIV/0!</v>
      </c>
      <c r="E133" s="543"/>
      <c r="F133" s="747" t="e">
        <f t="shared" si="55"/>
        <v>#DIV/0!</v>
      </c>
      <c r="G133" s="242" t="e">
        <f t="shared" si="54"/>
        <v>#DIV/0!</v>
      </c>
      <c r="H133" s="903"/>
      <c r="L133" s="13" t="str">
        <f t="shared" si="46"/>
        <v>Kébili</v>
      </c>
      <c r="M133" s="386" t="e">
        <f t="shared" si="47"/>
        <v>#DIV/0!</v>
      </c>
      <c r="N133" s="386" t="e">
        <f t="shared" si="48"/>
        <v>#DIV/0!</v>
      </c>
      <c r="O133" s="368" t="e">
        <f t="shared" si="49"/>
        <v>#DIV/0!</v>
      </c>
      <c r="P133" s="548" t="e">
        <f t="shared" si="50"/>
        <v>#DIV/0!</v>
      </c>
    </row>
    <row r="134" spans="1:16" x14ac:dyDescent="0.25">
      <c r="A134" s="901"/>
      <c r="B134" s="15" t="s">
        <v>163</v>
      </c>
      <c r="C134" s="239">
        <f>SUM(C110:C133)</f>
        <v>0</v>
      </c>
      <c r="D134" s="542" t="e">
        <f>SUMPRODUCT(C110:C133,D110:D133)/C134</f>
        <v>#DIV/0!</v>
      </c>
      <c r="E134" s="544" t="e">
        <f>SUMPRODUCT(C110:C133,E110:E133)/C134</f>
        <v>#DIV/0!</v>
      </c>
      <c r="F134" s="357" t="e">
        <f>SUMPRODUCT(C110:C133,F110:F133)/C134</f>
        <v>#DIV/0!</v>
      </c>
      <c r="G134" s="549" t="e">
        <f>SUM(G110:G133)</f>
        <v>#DIV/0!</v>
      </c>
      <c r="H134" s="13"/>
      <c r="J134" s="369" t="e">
        <f>+G134/L2/1000000</f>
        <v>#DIV/0!</v>
      </c>
      <c r="L134" t="s">
        <v>163</v>
      </c>
      <c r="M134" s="76" t="e">
        <f>SUM(M110:M133)</f>
        <v>#DIV/0!</v>
      </c>
      <c r="N134" s="547" t="e">
        <f>+M134/$L$1</f>
        <v>#DIV/0!</v>
      </c>
      <c r="O134" s="545" t="e">
        <f t="shared" si="49"/>
        <v>#DIV/0!</v>
      </c>
      <c r="P134" s="548" t="e">
        <f t="shared" si="50"/>
        <v>#DIV/0!</v>
      </c>
    </row>
    <row r="135" spans="1:16" x14ac:dyDescent="0.25">
      <c r="A135" s="901" t="s">
        <v>1016</v>
      </c>
      <c r="B135" s="13" t="str">
        <f>B110</f>
        <v>Tunis</v>
      </c>
      <c r="C135" s="238">
        <f>C32</f>
        <v>0</v>
      </c>
      <c r="D135" s="746" t="e">
        <f>+F32/C135</f>
        <v>#DIV/0!</v>
      </c>
      <c r="E135" s="543"/>
      <c r="F135" s="748" t="e">
        <f>P110*0.05*1000000</f>
        <v>#DIV/0!</v>
      </c>
      <c r="G135" s="242" t="e">
        <f t="shared" ref="G135:G160" si="56">C135*D135*F135*E135</f>
        <v>#DIV/0!</v>
      </c>
      <c r="H135" s="903" t="s">
        <v>1041</v>
      </c>
      <c r="L135" s="370"/>
      <c r="M135" s="546" t="e">
        <f>M134*1000000=O106*O105*O1</f>
        <v>#DIV/0!</v>
      </c>
      <c r="N135" s="371" t="e">
        <f t="shared" si="48"/>
        <v>#DIV/0!</v>
      </c>
      <c r="O135" s="371" t="e">
        <f t="shared" si="49"/>
        <v>#DIV/0!</v>
      </c>
      <c r="P135" s="548" t="e">
        <f t="shared" si="50"/>
        <v>#DIV/0!</v>
      </c>
    </row>
    <row r="136" spans="1:16" x14ac:dyDescent="0.25">
      <c r="A136" s="901"/>
      <c r="B136" s="13" t="str">
        <f t="shared" ref="B136:B158" si="57">B111</f>
        <v>Ariana</v>
      </c>
      <c r="C136" s="238">
        <f t="shared" ref="C136:C158" si="58">C33</f>
        <v>0</v>
      </c>
      <c r="D136" s="746" t="e">
        <f t="shared" ref="D136:D158" si="59">+F33/C136</f>
        <v>#DIV/0!</v>
      </c>
      <c r="E136" s="543"/>
      <c r="F136" s="748" t="e">
        <f t="shared" ref="F136:F158" si="60">P111*0.05*1000000</f>
        <v>#DIV/0!</v>
      </c>
      <c r="G136" s="242" t="e">
        <f t="shared" ref="G136:G158" si="61">C136*D136*F136*E136</f>
        <v>#DIV/0!</v>
      </c>
      <c r="H136" s="903"/>
    </row>
    <row r="137" spans="1:16" x14ac:dyDescent="0.25">
      <c r="A137" s="901"/>
      <c r="B137" s="13" t="str">
        <f t="shared" si="57"/>
        <v>La Manouba</v>
      </c>
      <c r="C137" s="238">
        <f t="shared" si="58"/>
        <v>0</v>
      </c>
      <c r="D137" s="746" t="e">
        <f t="shared" si="59"/>
        <v>#DIV/0!</v>
      </c>
      <c r="E137" s="543"/>
      <c r="F137" s="748" t="e">
        <f t="shared" si="60"/>
        <v>#DIV/0!</v>
      </c>
      <c r="G137" s="242" t="e">
        <f t="shared" si="61"/>
        <v>#DIV/0!</v>
      </c>
      <c r="H137" s="903"/>
    </row>
    <row r="138" spans="1:16" x14ac:dyDescent="0.25">
      <c r="A138" s="901"/>
      <c r="B138" s="13" t="str">
        <f t="shared" si="57"/>
        <v>Ben Arous</v>
      </c>
      <c r="C138" s="238">
        <f t="shared" si="58"/>
        <v>0</v>
      </c>
      <c r="D138" s="746" t="e">
        <f t="shared" si="59"/>
        <v>#DIV/0!</v>
      </c>
      <c r="E138" s="543"/>
      <c r="F138" s="748" t="e">
        <f t="shared" si="60"/>
        <v>#DIV/0!</v>
      </c>
      <c r="G138" s="242" t="e">
        <f t="shared" si="61"/>
        <v>#DIV/0!</v>
      </c>
      <c r="H138" s="903"/>
    </row>
    <row r="139" spans="1:16" x14ac:dyDescent="0.25">
      <c r="A139" s="901"/>
      <c r="B139" s="13" t="str">
        <f t="shared" si="57"/>
        <v>Nabeul</v>
      </c>
      <c r="C139" s="238">
        <f t="shared" si="58"/>
        <v>0</v>
      </c>
      <c r="D139" s="746" t="e">
        <f t="shared" si="59"/>
        <v>#DIV/0!</v>
      </c>
      <c r="E139" s="543"/>
      <c r="F139" s="748" t="e">
        <f t="shared" si="60"/>
        <v>#DIV/0!</v>
      </c>
      <c r="G139" s="242" t="e">
        <f t="shared" si="61"/>
        <v>#DIV/0!</v>
      </c>
      <c r="H139" s="903"/>
    </row>
    <row r="140" spans="1:16" x14ac:dyDescent="0.25">
      <c r="A140" s="901"/>
      <c r="B140" s="13" t="str">
        <f t="shared" si="57"/>
        <v>Bizerte</v>
      </c>
      <c r="C140" s="238">
        <f t="shared" si="58"/>
        <v>0</v>
      </c>
      <c r="D140" s="746" t="e">
        <f t="shared" si="59"/>
        <v>#DIV/0!</v>
      </c>
      <c r="E140" s="543"/>
      <c r="F140" s="748" t="e">
        <f t="shared" si="60"/>
        <v>#DIV/0!</v>
      </c>
      <c r="G140" s="242" t="e">
        <f t="shared" si="61"/>
        <v>#DIV/0!</v>
      </c>
      <c r="H140" s="903"/>
    </row>
    <row r="141" spans="1:16" x14ac:dyDescent="0.25">
      <c r="A141" s="901"/>
      <c r="B141" s="13" t="str">
        <f t="shared" si="57"/>
        <v>Zaghouan</v>
      </c>
      <c r="C141" s="238">
        <f t="shared" si="58"/>
        <v>0</v>
      </c>
      <c r="D141" s="746" t="e">
        <f t="shared" si="59"/>
        <v>#DIV/0!</v>
      </c>
      <c r="E141" s="543"/>
      <c r="F141" s="748" t="e">
        <f t="shared" si="60"/>
        <v>#DIV/0!</v>
      </c>
      <c r="G141" s="242" t="e">
        <f t="shared" si="61"/>
        <v>#DIV/0!</v>
      </c>
      <c r="H141" s="903"/>
    </row>
    <row r="142" spans="1:16" x14ac:dyDescent="0.25">
      <c r="A142" s="901"/>
      <c r="B142" s="13" t="str">
        <f t="shared" si="57"/>
        <v>Béja</v>
      </c>
      <c r="C142" s="238">
        <f t="shared" si="58"/>
        <v>0</v>
      </c>
      <c r="D142" s="746" t="e">
        <f t="shared" si="59"/>
        <v>#DIV/0!</v>
      </c>
      <c r="E142" s="543"/>
      <c r="F142" s="748" t="e">
        <f t="shared" si="60"/>
        <v>#DIV/0!</v>
      </c>
      <c r="G142" s="242" t="e">
        <f t="shared" si="61"/>
        <v>#DIV/0!</v>
      </c>
      <c r="H142" s="903"/>
    </row>
    <row r="143" spans="1:16" x14ac:dyDescent="0.25">
      <c r="A143" s="901"/>
      <c r="B143" s="13" t="str">
        <f t="shared" si="57"/>
        <v>Jendouba</v>
      </c>
      <c r="C143" s="238">
        <f t="shared" si="58"/>
        <v>0</v>
      </c>
      <c r="D143" s="746" t="e">
        <f t="shared" si="59"/>
        <v>#DIV/0!</v>
      </c>
      <c r="E143" s="543"/>
      <c r="F143" s="748" t="e">
        <f t="shared" si="60"/>
        <v>#DIV/0!</v>
      </c>
      <c r="G143" s="242" t="e">
        <f t="shared" si="61"/>
        <v>#DIV/0!</v>
      </c>
      <c r="H143" s="903"/>
    </row>
    <row r="144" spans="1:16" x14ac:dyDescent="0.25">
      <c r="A144" s="901"/>
      <c r="B144" s="13" t="str">
        <f t="shared" si="57"/>
        <v>Le Kef</v>
      </c>
      <c r="C144" s="238">
        <f t="shared" si="58"/>
        <v>0</v>
      </c>
      <c r="D144" s="746" t="e">
        <f t="shared" si="59"/>
        <v>#DIV/0!</v>
      </c>
      <c r="E144" s="543"/>
      <c r="F144" s="748" t="e">
        <f t="shared" si="60"/>
        <v>#DIV/0!</v>
      </c>
      <c r="G144" s="242" t="e">
        <f t="shared" si="61"/>
        <v>#DIV/0!</v>
      </c>
      <c r="H144" s="903"/>
    </row>
    <row r="145" spans="1:8" x14ac:dyDescent="0.25">
      <c r="A145" s="901"/>
      <c r="B145" s="13" t="str">
        <f t="shared" si="57"/>
        <v>Siliana</v>
      </c>
      <c r="C145" s="238">
        <f t="shared" si="58"/>
        <v>0</v>
      </c>
      <c r="D145" s="746" t="e">
        <f t="shared" si="59"/>
        <v>#DIV/0!</v>
      </c>
      <c r="E145" s="543"/>
      <c r="F145" s="748" t="e">
        <f t="shared" si="60"/>
        <v>#DIV/0!</v>
      </c>
      <c r="G145" s="242" t="e">
        <f t="shared" si="61"/>
        <v>#DIV/0!</v>
      </c>
      <c r="H145" s="903"/>
    </row>
    <row r="146" spans="1:8" x14ac:dyDescent="0.25">
      <c r="A146" s="901"/>
      <c r="B146" s="13" t="str">
        <f t="shared" si="57"/>
        <v>Sousse</v>
      </c>
      <c r="C146" s="238">
        <f t="shared" si="58"/>
        <v>0</v>
      </c>
      <c r="D146" s="746" t="e">
        <f t="shared" si="59"/>
        <v>#DIV/0!</v>
      </c>
      <c r="E146" s="543"/>
      <c r="F146" s="748" t="e">
        <f t="shared" si="60"/>
        <v>#DIV/0!</v>
      </c>
      <c r="G146" s="242" t="e">
        <f t="shared" si="61"/>
        <v>#DIV/0!</v>
      </c>
      <c r="H146" s="903"/>
    </row>
    <row r="147" spans="1:8" x14ac:dyDescent="0.25">
      <c r="A147" s="901"/>
      <c r="B147" s="13" t="str">
        <f t="shared" si="57"/>
        <v>Monastir</v>
      </c>
      <c r="C147" s="238">
        <f t="shared" si="58"/>
        <v>0</v>
      </c>
      <c r="D147" s="746" t="e">
        <f t="shared" si="59"/>
        <v>#DIV/0!</v>
      </c>
      <c r="E147" s="543"/>
      <c r="F147" s="748" t="e">
        <f t="shared" si="60"/>
        <v>#DIV/0!</v>
      </c>
      <c r="G147" s="242" t="e">
        <f t="shared" si="61"/>
        <v>#DIV/0!</v>
      </c>
      <c r="H147" s="903"/>
    </row>
    <row r="148" spans="1:8" x14ac:dyDescent="0.25">
      <c r="A148" s="901"/>
      <c r="B148" s="13" t="str">
        <f t="shared" si="57"/>
        <v>Mahdia</v>
      </c>
      <c r="C148" s="238">
        <f t="shared" si="58"/>
        <v>0</v>
      </c>
      <c r="D148" s="746" t="e">
        <f t="shared" si="59"/>
        <v>#DIV/0!</v>
      </c>
      <c r="E148" s="543"/>
      <c r="F148" s="748" t="e">
        <f t="shared" si="60"/>
        <v>#DIV/0!</v>
      </c>
      <c r="G148" s="242" t="e">
        <f t="shared" si="61"/>
        <v>#DIV/0!</v>
      </c>
      <c r="H148" s="903"/>
    </row>
    <row r="149" spans="1:8" x14ac:dyDescent="0.25">
      <c r="A149" s="901"/>
      <c r="B149" s="13" t="str">
        <f t="shared" si="57"/>
        <v>Sfax</v>
      </c>
      <c r="C149" s="238">
        <f t="shared" si="58"/>
        <v>0</v>
      </c>
      <c r="D149" s="746" t="e">
        <f t="shared" si="59"/>
        <v>#DIV/0!</v>
      </c>
      <c r="E149" s="543"/>
      <c r="F149" s="748" t="e">
        <f t="shared" si="60"/>
        <v>#DIV/0!</v>
      </c>
      <c r="G149" s="242" t="e">
        <f t="shared" si="61"/>
        <v>#DIV/0!</v>
      </c>
      <c r="H149" s="903"/>
    </row>
    <row r="150" spans="1:8" x14ac:dyDescent="0.25">
      <c r="A150" s="901"/>
      <c r="B150" s="13" t="str">
        <f t="shared" si="57"/>
        <v>Kairouan</v>
      </c>
      <c r="C150" s="238">
        <f t="shared" si="58"/>
        <v>0</v>
      </c>
      <c r="D150" s="746" t="e">
        <f t="shared" si="59"/>
        <v>#DIV/0!</v>
      </c>
      <c r="E150" s="543"/>
      <c r="F150" s="748" t="e">
        <f t="shared" si="60"/>
        <v>#DIV/0!</v>
      </c>
      <c r="G150" s="242" t="e">
        <f t="shared" si="61"/>
        <v>#DIV/0!</v>
      </c>
      <c r="H150" s="903"/>
    </row>
    <row r="151" spans="1:8" x14ac:dyDescent="0.25">
      <c r="A151" s="901"/>
      <c r="B151" s="13" t="str">
        <f t="shared" si="57"/>
        <v>Kasserine</v>
      </c>
      <c r="C151" s="238">
        <f t="shared" si="58"/>
        <v>0</v>
      </c>
      <c r="D151" s="746" t="e">
        <f t="shared" si="59"/>
        <v>#DIV/0!</v>
      </c>
      <c r="E151" s="543"/>
      <c r="F151" s="748" t="e">
        <f t="shared" si="60"/>
        <v>#DIV/0!</v>
      </c>
      <c r="G151" s="242" t="e">
        <f t="shared" si="61"/>
        <v>#DIV/0!</v>
      </c>
      <c r="H151" s="903"/>
    </row>
    <row r="152" spans="1:8" x14ac:dyDescent="0.25">
      <c r="A152" s="901"/>
      <c r="B152" s="13" t="str">
        <f t="shared" si="57"/>
        <v>Sidi Bouzid</v>
      </c>
      <c r="C152" s="238">
        <f t="shared" si="58"/>
        <v>0</v>
      </c>
      <c r="D152" s="746" t="e">
        <f t="shared" si="59"/>
        <v>#DIV/0!</v>
      </c>
      <c r="E152" s="543"/>
      <c r="F152" s="748" t="e">
        <f t="shared" si="60"/>
        <v>#DIV/0!</v>
      </c>
      <c r="G152" s="242" t="e">
        <f t="shared" si="61"/>
        <v>#DIV/0!</v>
      </c>
      <c r="H152" s="903"/>
    </row>
    <row r="153" spans="1:8" x14ac:dyDescent="0.25">
      <c r="A153" s="901"/>
      <c r="B153" s="13" t="str">
        <f t="shared" si="57"/>
        <v>Gafsa</v>
      </c>
      <c r="C153" s="238">
        <f t="shared" si="58"/>
        <v>0</v>
      </c>
      <c r="D153" s="746" t="e">
        <f t="shared" si="59"/>
        <v>#DIV/0!</v>
      </c>
      <c r="E153" s="543"/>
      <c r="F153" s="748" t="e">
        <f t="shared" si="60"/>
        <v>#DIV/0!</v>
      </c>
      <c r="G153" s="242" t="e">
        <f t="shared" si="61"/>
        <v>#DIV/0!</v>
      </c>
      <c r="H153" s="903"/>
    </row>
    <row r="154" spans="1:8" x14ac:dyDescent="0.25">
      <c r="A154" s="901"/>
      <c r="B154" s="13" t="str">
        <f t="shared" si="57"/>
        <v>Gabès</v>
      </c>
      <c r="C154" s="238">
        <f t="shared" si="58"/>
        <v>0</v>
      </c>
      <c r="D154" s="746" t="e">
        <f t="shared" si="59"/>
        <v>#DIV/0!</v>
      </c>
      <c r="E154" s="543"/>
      <c r="F154" s="748" t="e">
        <f t="shared" si="60"/>
        <v>#DIV/0!</v>
      </c>
      <c r="G154" s="242" t="e">
        <f t="shared" si="61"/>
        <v>#DIV/0!</v>
      </c>
      <c r="H154" s="903"/>
    </row>
    <row r="155" spans="1:8" x14ac:dyDescent="0.25">
      <c r="A155" s="901"/>
      <c r="B155" s="13" t="str">
        <f t="shared" si="57"/>
        <v>Médenine</v>
      </c>
      <c r="C155" s="238">
        <f t="shared" si="58"/>
        <v>0</v>
      </c>
      <c r="D155" s="746" t="e">
        <f t="shared" si="59"/>
        <v>#DIV/0!</v>
      </c>
      <c r="E155" s="543"/>
      <c r="F155" s="748" t="e">
        <f t="shared" si="60"/>
        <v>#DIV/0!</v>
      </c>
      <c r="G155" s="242" t="e">
        <f t="shared" si="61"/>
        <v>#DIV/0!</v>
      </c>
      <c r="H155" s="903"/>
    </row>
    <row r="156" spans="1:8" x14ac:dyDescent="0.25">
      <c r="A156" s="901"/>
      <c r="B156" s="13" t="str">
        <f t="shared" si="57"/>
        <v>Tataouine</v>
      </c>
      <c r="C156" s="238">
        <f t="shared" si="58"/>
        <v>0</v>
      </c>
      <c r="D156" s="746" t="e">
        <f t="shared" si="59"/>
        <v>#DIV/0!</v>
      </c>
      <c r="E156" s="543"/>
      <c r="F156" s="748" t="e">
        <f t="shared" si="60"/>
        <v>#DIV/0!</v>
      </c>
      <c r="G156" s="242" t="e">
        <f t="shared" si="61"/>
        <v>#DIV/0!</v>
      </c>
      <c r="H156" s="903"/>
    </row>
    <row r="157" spans="1:8" x14ac:dyDescent="0.25">
      <c r="A157" s="901"/>
      <c r="B157" s="13" t="str">
        <f t="shared" si="57"/>
        <v>Tozeur</v>
      </c>
      <c r="C157" s="238">
        <f t="shared" si="58"/>
        <v>0</v>
      </c>
      <c r="D157" s="746" t="e">
        <f t="shared" si="59"/>
        <v>#DIV/0!</v>
      </c>
      <c r="E157" s="543"/>
      <c r="F157" s="748" t="e">
        <f t="shared" si="60"/>
        <v>#DIV/0!</v>
      </c>
      <c r="G157" s="242" t="e">
        <f t="shared" si="61"/>
        <v>#DIV/0!</v>
      </c>
      <c r="H157" s="903"/>
    </row>
    <row r="158" spans="1:8" x14ac:dyDescent="0.25">
      <c r="A158" s="901"/>
      <c r="B158" s="13" t="str">
        <f t="shared" si="57"/>
        <v>Kébili</v>
      </c>
      <c r="C158" s="238">
        <f t="shared" si="58"/>
        <v>0</v>
      </c>
      <c r="D158" s="746" t="e">
        <f t="shared" si="59"/>
        <v>#DIV/0!</v>
      </c>
      <c r="E158" s="543"/>
      <c r="F158" s="748" t="e">
        <f t="shared" si="60"/>
        <v>#DIV/0!</v>
      </c>
      <c r="G158" s="242" t="e">
        <f t="shared" si="61"/>
        <v>#DIV/0!</v>
      </c>
      <c r="H158" s="903"/>
    </row>
    <row r="159" spans="1:8" x14ac:dyDescent="0.25">
      <c r="A159" s="901"/>
      <c r="B159" s="15" t="s">
        <v>163</v>
      </c>
      <c r="C159" s="239">
        <f>SUM(C135:C158)</f>
        <v>0</v>
      </c>
      <c r="D159" s="542" t="e">
        <f>SUMPRODUCT(C135:C158,D135:D158)/C159</f>
        <v>#DIV/0!</v>
      </c>
      <c r="E159" s="356" t="e">
        <f>SUMPRODUCT(C135:C158,E135:E158)/C159</f>
        <v>#DIV/0!</v>
      </c>
      <c r="F159" s="357" t="e">
        <f>SUMPRODUCT(C135:C158,F135:F158)/C159</f>
        <v>#DIV/0!</v>
      </c>
      <c r="G159" s="549" t="e">
        <f>SUM(G135:G158)</f>
        <v>#DIV/0!</v>
      </c>
      <c r="H159" s="13"/>
    </row>
    <row r="160" spans="1:8" x14ac:dyDescent="0.25">
      <c r="A160" s="901" t="s">
        <v>1042</v>
      </c>
      <c r="B160" s="13" t="str">
        <f>B135</f>
        <v>Tunis</v>
      </c>
      <c r="C160" s="238">
        <f>C57</f>
        <v>0</v>
      </c>
      <c r="D160" s="746" t="e">
        <f>+F57/C160</f>
        <v>#DIV/0!</v>
      </c>
      <c r="E160" s="543"/>
      <c r="F160" s="748" t="e">
        <f>P110*0.01*1000000</f>
        <v>#DIV/0!</v>
      </c>
      <c r="G160" s="242" t="e">
        <f t="shared" si="56"/>
        <v>#DIV/0!</v>
      </c>
      <c r="H160" s="903" t="s">
        <v>1043</v>
      </c>
    </row>
    <row r="161" spans="1:8" x14ac:dyDescent="0.25">
      <c r="A161" s="901"/>
      <c r="B161" s="13" t="str">
        <f t="shared" ref="B161:B183" si="62">B136</f>
        <v>Ariana</v>
      </c>
      <c r="C161" s="238">
        <f t="shared" ref="C161:C183" si="63">C58</f>
        <v>0</v>
      </c>
      <c r="D161" s="746" t="e">
        <f t="shared" ref="D161:D183" si="64">+F58/C161</f>
        <v>#DIV/0!</v>
      </c>
      <c r="E161" s="543"/>
      <c r="F161" s="748" t="e">
        <f t="shared" ref="F161:F183" si="65">P111*0.01*1000000</f>
        <v>#DIV/0!</v>
      </c>
      <c r="G161" s="242" t="e">
        <f t="shared" ref="G161:G183" si="66">C161*D161*F161*E161</f>
        <v>#DIV/0!</v>
      </c>
      <c r="H161" s="903"/>
    </row>
    <row r="162" spans="1:8" x14ac:dyDescent="0.25">
      <c r="A162" s="901"/>
      <c r="B162" s="13" t="str">
        <f t="shared" si="62"/>
        <v>La Manouba</v>
      </c>
      <c r="C162" s="238">
        <f t="shared" si="63"/>
        <v>0</v>
      </c>
      <c r="D162" s="746" t="e">
        <f t="shared" si="64"/>
        <v>#DIV/0!</v>
      </c>
      <c r="E162" s="543"/>
      <c r="F162" s="748" t="e">
        <f t="shared" si="65"/>
        <v>#DIV/0!</v>
      </c>
      <c r="G162" s="242" t="e">
        <f t="shared" si="66"/>
        <v>#DIV/0!</v>
      </c>
      <c r="H162" s="903"/>
    </row>
    <row r="163" spans="1:8" x14ac:dyDescent="0.25">
      <c r="A163" s="901"/>
      <c r="B163" s="13" t="str">
        <f t="shared" si="62"/>
        <v>Ben Arous</v>
      </c>
      <c r="C163" s="238">
        <f t="shared" si="63"/>
        <v>0</v>
      </c>
      <c r="D163" s="746" t="e">
        <f t="shared" si="64"/>
        <v>#DIV/0!</v>
      </c>
      <c r="E163" s="543"/>
      <c r="F163" s="748" t="e">
        <f t="shared" si="65"/>
        <v>#DIV/0!</v>
      </c>
      <c r="G163" s="242" t="e">
        <f t="shared" si="66"/>
        <v>#DIV/0!</v>
      </c>
      <c r="H163" s="903"/>
    </row>
    <row r="164" spans="1:8" x14ac:dyDescent="0.25">
      <c r="A164" s="901"/>
      <c r="B164" s="13" t="str">
        <f t="shared" si="62"/>
        <v>Nabeul</v>
      </c>
      <c r="C164" s="238">
        <f t="shared" si="63"/>
        <v>0</v>
      </c>
      <c r="D164" s="746" t="e">
        <f t="shared" si="64"/>
        <v>#DIV/0!</v>
      </c>
      <c r="E164" s="543"/>
      <c r="F164" s="748" t="e">
        <f t="shared" si="65"/>
        <v>#DIV/0!</v>
      </c>
      <c r="G164" s="242" t="e">
        <f t="shared" si="66"/>
        <v>#DIV/0!</v>
      </c>
      <c r="H164" s="903"/>
    </row>
    <row r="165" spans="1:8" x14ac:dyDescent="0.25">
      <c r="A165" s="901"/>
      <c r="B165" s="13" t="str">
        <f t="shared" si="62"/>
        <v>Bizerte</v>
      </c>
      <c r="C165" s="238">
        <f t="shared" si="63"/>
        <v>0</v>
      </c>
      <c r="D165" s="746" t="e">
        <f t="shared" si="64"/>
        <v>#DIV/0!</v>
      </c>
      <c r="E165" s="543"/>
      <c r="F165" s="748" t="e">
        <f t="shared" si="65"/>
        <v>#DIV/0!</v>
      </c>
      <c r="G165" s="242" t="e">
        <f t="shared" si="66"/>
        <v>#DIV/0!</v>
      </c>
      <c r="H165" s="903"/>
    </row>
    <row r="166" spans="1:8" x14ac:dyDescent="0.25">
      <c r="A166" s="901"/>
      <c r="B166" s="13" t="str">
        <f t="shared" si="62"/>
        <v>Zaghouan</v>
      </c>
      <c r="C166" s="238">
        <f t="shared" si="63"/>
        <v>0</v>
      </c>
      <c r="D166" s="746" t="e">
        <f t="shared" si="64"/>
        <v>#DIV/0!</v>
      </c>
      <c r="E166" s="543"/>
      <c r="F166" s="748" t="e">
        <f t="shared" si="65"/>
        <v>#DIV/0!</v>
      </c>
      <c r="G166" s="242" t="e">
        <f t="shared" si="66"/>
        <v>#DIV/0!</v>
      </c>
      <c r="H166" s="903"/>
    </row>
    <row r="167" spans="1:8" x14ac:dyDescent="0.25">
      <c r="A167" s="901"/>
      <c r="B167" s="13" t="str">
        <f t="shared" si="62"/>
        <v>Béja</v>
      </c>
      <c r="C167" s="238">
        <f t="shared" si="63"/>
        <v>0</v>
      </c>
      <c r="D167" s="746" t="e">
        <f t="shared" si="64"/>
        <v>#DIV/0!</v>
      </c>
      <c r="E167" s="543"/>
      <c r="F167" s="748" t="e">
        <f t="shared" si="65"/>
        <v>#DIV/0!</v>
      </c>
      <c r="G167" s="242" t="e">
        <f t="shared" si="66"/>
        <v>#DIV/0!</v>
      </c>
      <c r="H167" s="903"/>
    </row>
    <row r="168" spans="1:8" x14ac:dyDescent="0.25">
      <c r="A168" s="901"/>
      <c r="B168" s="13" t="str">
        <f t="shared" si="62"/>
        <v>Jendouba</v>
      </c>
      <c r="C168" s="238">
        <f t="shared" si="63"/>
        <v>0</v>
      </c>
      <c r="D168" s="746" t="e">
        <f t="shared" si="64"/>
        <v>#DIV/0!</v>
      </c>
      <c r="E168" s="543"/>
      <c r="F168" s="748" t="e">
        <f t="shared" si="65"/>
        <v>#DIV/0!</v>
      </c>
      <c r="G168" s="242" t="e">
        <f t="shared" si="66"/>
        <v>#DIV/0!</v>
      </c>
      <c r="H168" s="903"/>
    </row>
    <row r="169" spans="1:8" x14ac:dyDescent="0.25">
      <c r="A169" s="901"/>
      <c r="B169" s="13" t="str">
        <f t="shared" si="62"/>
        <v>Le Kef</v>
      </c>
      <c r="C169" s="238">
        <f t="shared" si="63"/>
        <v>0</v>
      </c>
      <c r="D169" s="746" t="e">
        <f t="shared" si="64"/>
        <v>#DIV/0!</v>
      </c>
      <c r="E169" s="543"/>
      <c r="F169" s="748" t="e">
        <f t="shared" si="65"/>
        <v>#DIV/0!</v>
      </c>
      <c r="G169" s="242" t="e">
        <f t="shared" si="66"/>
        <v>#DIV/0!</v>
      </c>
      <c r="H169" s="903"/>
    </row>
    <row r="170" spans="1:8" x14ac:dyDescent="0.25">
      <c r="A170" s="901"/>
      <c r="B170" s="13" t="str">
        <f t="shared" si="62"/>
        <v>Siliana</v>
      </c>
      <c r="C170" s="238">
        <f t="shared" si="63"/>
        <v>0</v>
      </c>
      <c r="D170" s="746" t="e">
        <f t="shared" si="64"/>
        <v>#DIV/0!</v>
      </c>
      <c r="E170" s="543"/>
      <c r="F170" s="748" t="e">
        <f t="shared" si="65"/>
        <v>#DIV/0!</v>
      </c>
      <c r="G170" s="242" t="e">
        <f t="shared" si="66"/>
        <v>#DIV/0!</v>
      </c>
      <c r="H170" s="903"/>
    </row>
    <row r="171" spans="1:8" x14ac:dyDescent="0.25">
      <c r="A171" s="901"/>
      <c r="B171" s="13" t="str">
        <f t="shared" si="62"/>
        <v>Sousse</v>
      </c>
      <c r="C171" s="238">
        <f t="shared" si="63"/>
        <v>0</v>
      </c>
      <c r="D171" s="746" t="e">
        <f t="shared" si="64"/>
        <v>#DIV/0!</v>
      </c>
      <c r="E171" s="543"/>
      <c r="F171" s="748" t="e">
        <f t="shared" si="65"/>
        <v>#DIV/0!</v>
      </c>
      <c r="G171" s="242" t="e">
        <f t="shared" si="66"/>
        <v>#DIV/0!</v>
      </c>
      <c r="H171" s="903"/>
    </row>
    <row r="172" spans="1:8" x14ac:dyDescent="0.25">
      <c r="A172" s="901"/>
      <c r="B172" s="13" t="str">
        <f t="shared" si="62"/>
        <v>Monastir</v>
      </c>
      <c r="C172" s="238">
        <f t="shared" si="63"/>
        <v>0</v>
      </c>
      <c r="D172" s="746" t="e">
        <f t="shared" si="64"/>
        <v>#DIV/0!</v>
      </c>
      <c r="E172" s="543"/>
      <c r="F172" s="748" t="e">
        <f t="shared" si="65"/>
        <v>#DIV/0!</v>
      </c>
      <c r="G172" s="242" t="e">
        <f t="shared" si="66"/>
        <v>#DIV/0!</v>
      </c>
      <c r="H172" s="903"/>
    </row>
    <row r="173" spans="1:8" x14ac:dyDescent="0.25">
      <c r="A173" s="901"/>
      <c r="B173" s="13" t="str">
        <f t="shared" si="62"/>
        <v>Mahdia</v>
      </c>
      <c r="C173" s="238">
        <f t="shared" si="63"/>
        <v>0</v>
      </c>
      <c r="D173" s="746" t="e">
        <f t="shared" si="64"/>
        <v>#DIV/0!</v>
      </c>
      <c r="E173" s="543"/>
      <c r="F173" s="748" t="e">
        <f t="shared" si="65"/>
        <v>#DIV/0!</v>
      </c>
      <c r="G173" s="242" t="e">
        <f t="shared" si="66"/>
        <v>#DIV/0!</v>
      </c>
      <c r="H173" s="903"/>
    </row>
    <row r="174" spans="1:8" x14ac:dyDescent="0.25">
      <c r="A174" s="901"/>
      <c r="B174" s="13" t="str">
        <f t="shared" si="62"/>
        <v>Sfax</v>
      </c>
      <c r="C174" s="238">
        <f t="shared" si="63"/>
        <v>0</v>
      </c>
      <c r="D174" s="746" t="e">
        <f t="shared" si="64"/>
        <v>#DIV/0!</v>
      </c>
      <c r="E174" s="543"/>
      <c r="F174" s="748" t="e">
        <f t="shared" si="65"/>
        <v>#DIV/0!</v>
      </c>
      <c r="G174" s="242" t="e">
        <f t="shared" si="66"/>
        <v>#DIV/0!</v>
      </c>
      <c r="H174" s="903"/>
    </row>
    <row r="175" spans="1:8" x14ac:dyDescent="0.25">
      <c r="A175" s="901"/>
      <c r="B175" s="13" t="str">
        <f t="shared" si="62"/>
        <v>Kairouan</v>
      </c>
      <c r="C175" s="238">
        <f t="shared" si="63"/>
        <v>0</v>
      </c>
      <c r="D175" s="746" t="e">
        <f t="shared" si="64"/>
        <v>#DIV/0!</v>
      </c>
      <c r="E175" s="543"/>
      <c r="F175" s="748" t="e">
        <f t="shared" si="65"/>
        <v>#DIV/0!</v>
      </c>
      <c r="G175" s="242" t="e">
        <f t="shared" si="66"/>
        <v>#DIV/0!</v>
      </c>
      <c r="H175" s="903"/>
    </row>
    <row r="176" spans="1:8" x14ac:dyDescent="0.25">
      <c r="A176" s="901"/>
      <c r="B176" s="13" t="str">
        <f t="shared" si="62"/>
        <v>Kasserine</v>
      </c>
      <c r="C176" s="238">
        <f t="shared" si="63"/>
        <v>0</v>
      </c>
      <c r="D176" s="746" t="e">
        <f t="shared" si="64"/>
        <v>#DIV/0!</v>
      </c>
      <c r="E176" s="543"/>
      <c r="F176" s="748" t="e">
        <f t="shared" si="65"/>
        <v>#DIV/0!</v>
      </c>
      <c r="G176" s="242" t="e">
        <f t="shared" si="66"/>
        <v>#DIV/0!</v>
      </c>
      <c r="H176" s="903"/>
    </row>
    <row r="177" spans="1:8" x14ac:dyDescent="0.25">
      <c r="A177" s="901"/>
      <c r="B177" s="13" t="str">
        <f t="shared" si="62"/>
        <v>Sidi Bouzid</v>
      </c>
      <c r="C177" s="238">
        <f t="shared" si="63"/>
        <v>0</v>
      </c>
      <c r="D177" s="746" t="e">
        <f t="shared" si="64"/>
        <v>#DIV/0!</v>
      </c>
      <c r="E177" s="543"/>
      <c r="F177" s="748" t="e">
        <f t="shared" si="65"/>
        <v>#DIV/0!</v>
      </c>
      <c r="G177" s="242" t="e">
        <f t="shared" si="66"/>
        <v>#DIV/0!</v>
      </c>
      <c r="H177" s="903"/>
    </row>
    <row r="178" spans="1:8" x14ac:dyDescent="0.25">
      <c r="A178" s="901"/>
      <c r="B178" s="13" t="str">
        <f t="shared" si="62"/>
        <v>Gafsa</v>
      </c>
      <c r="C178" s="238">
        <f t="shared" si="63"/>
        <v>0</v>
      </c>
      <c r="D178" s="746" t="e">
        <f t="shared" si="64"/>
        <v>#DIV/0!</v>
      </c>
      <c r="E178" s="543"/>
      <c r="F178" s="748" t="e">
        <f t="shared" si="65"/>
        <v>#DIV/0!</v>
      </c>
      <c r="G178" s="242" t="e">
        <f t="shared" si="66"/>
        <v>#DIV/0!</v>
      </c>
      <c r="H178" s="903"/>
    </row>
    <row r="179" spans="1:8" x14ac:dyDescent="0.25">
      <c r="A179" s="901"/>
      <c r="B179" s="13" t="str">
        <f t="shared" si="62"/>
        <v>Gabès</v>
      </c>
      <c r="C179" s="238">
        <f t="shared" si="63"/>
        <v>0</v>
      </c>
      <c r="D179" s="746" t="e">
        <f t="shared" si="64"/>
        <v>#DIV/0!</v>
      </c>
      <c r="E179" s="543"/>
      <c r="F179" s="748" t="e">
        <f t="shared" si="65"/>
        <v>#DIV/0!</v>
      </c>
      <c r="G179" s="242" t="e">
        <f t="shared" si="66"/>
        <v>#DIV/0!</v>
      </c>
      <c r="H179" s="903"/>
    </row>
    <row r="180" spans="1:8" x14ac:dyDescent="0.25">
      <c r="A180" s="901"/>
      <c r="B180" s="13" t="str">
        <f t="shared" si="62"/>
        <v>Médenine</v>
      </c>
      <c r="C180" s="238">
        <f t="shared" si="63"/>
        <v>0</v>
      </c>
      <c r="D180" s="746" t="e">
        <f t="shared" si="64"/>
        <v>#DIV/0!</v>
      </c>
      <c r="E180" s="543"/>
      <c r="F180" s="748" t="e">
        <f t="shared" si="65"/>
        <v>#DIV/0!</v>
      </c>
      <c r="G180" s="242" t="e">
        <f t="shared" si="66"/>
        <v>#DIV/0!</v>
      </c>
      <c r="H180" s="903"/>
    </row>
    <row r="181" spans="1:8" x14ac:dyDescent="0.25">
      <c r="A181" s="901"/>
      <c r="B181" s="13" t="str">
        <f t="shared" si="62"/>
        <v>Tataouine</v>
      </c>
      <c r="C181" s="238">
        <f t="shared" si="63"/>
        <v>0</v>
      </c>
      <c r="D181" s="746" t="e">
        <f t="shared" si="64"/>
        <v>#DIV/0!</v>
      </c>
      <c r="E181" s="543"/>
      <c r="F181" s="748" t="e">
        <f t="shared" si="65"/>
        <v>#DIV/0!</v>
      </c>
      <c r="G181" s="242" t="e">
        <f t="shared" si="66"/>
        <v>#DIV/0!</v>
      </c>
      <c r="H181" s="903"/>
    </row>
    <row r="182" spans="1:8" x14ac:dyDescent="0.25">
      <c r="A182" s="901"/>
      <c r="B182" s="13" t="str">
        <f t="shared" si="62"/>
        <v>Tozeur</v>
      </c>
      <c r="C182" s="238">
        <f t="shared" si="63"/>
        <v>0</v>
      </c>
      <c r="D182" s="746">
        <v>0</v>
      </c>
      <c r="E182" s="543"/>
      <c r="F182" s="748" t="e">
        <f t="shared" si="65"/>
        <v>#DIV/0!</v>
      </c>
      <c r="G182" s="242" t="e">
        <f t="shared" si="66"/>
        <v>#DIV/0!</v>
      </c>
      <c r="H182" s="903"/>
    </row>
    <row r="183" spans="1:8" x14ac:dyDescent="0.25">
      <c r="A183" s="901"/>
      <c r="B183" s="13" t="str">
        <f t="shared" si="62"/>
        <v>Kébili</v>
      </c>
      <c r="C183" s="238">
        <f t="shared" si="63"/>
        <v>0</v>
      </c>
      <c r="D183" s="746" t="e">
        <f t="shared" si="64"/>
        <v>#DIV/0!</v>
      </c>
      <c r="E183" s="543"/>
      <c r="F183" s="748" t="e">
        <f t="shared" si="65"/>
        <v>#DIV/0!</v>
      </c>
      <c r="G183" s="242" t="e">
        <f t="shared" si="66"/>
        <v>#DIV/0!</v>
      </c>
      <c r="H183" s="903"/>
    </row>
    <row r="184" spans="1:8" x14ac:dyDescent="0.25">
      <c r="A184" s="901"/>
      <c r="B184" s="15" t="s">
        <v>163</v>
      </c>
      <c r="C184" s="239">
        <f>SUM(C160:C183)</f>
        <v>0</v>
      </c>
      <c r="D184" s="241" t="e">
        <f>SUMPRODUCT(C160:C183,D160:D183)/C184</f>
        <v>#DIV/0!</v>
      </c>
      <c r="E184" s="228" t="e">
        <f>SUMPRODUCT(C160:C183,E160:E183)/C184</f>
        <v>#DIV/0!</v>
      </c>
      <c r="F184" s="228" t="e">
        <f>SUMPRODUCT(C160:C183,F160:F183)/C184</f>
        <v>#DIV/0!</v>
      </c>
      <c r="G184" s="549" t="e">
        <f>SUM(G160:G183)</f>
        <v>#DIV/0!</v>
      </c>
    </row>
    <row r="185" spans="1:8" x14ac:dyDescent="0.25">
      <c r="A185" s="902" t="s">
        <v>1024</v>
      </c>
      <c r="B185" s="13" t="str">
        <f>B110</f>
        <v>Tunis</v>
      </c>
      <c r="C185" s="239">
        <f>C110+C135+C160</f>
        <v>0</v>
      </c>
      <c r="D185" s="241" t="e">
        <f>(D110*C110+D135*C135+D160*C160)/C185</f>
        <v>#DIV/0!</v>
      </c>
      <c r="E185" s="543"/>
      <c r="F185" s="228" t="e">
        <f>(F110*C110+F135*C135+F160*C160)/C185</f>
        <v>#DIV/0!</v>
      </c>
      <c r="G185" s="214" t="e">
        <f>G110+G135+G160</f>
        <v>#DIV/0!</v>
      </c>
    </row>
    <row r="186" spans="1:8" x14ac:dyDescent="0.25">
      <c r="A186" s="902"/>
      <c r="B186" s="13" t="str">
        <f t="shared" ref="B186:B208" si="67">B111</f>
        <v>Ariana</v>
      </c>
      <c r="C186" s="239">
        <f t="shared" ref="C186:C208" si="68">C111+C136+C161</f>
        <v>0</v>
      </c>
      <c r="D186" s="241" t="e">
        <f t="shared" ref="D186:D208" si="69">(D111*C111+D136*C136+D161*C161)/C186</f>
        <v>#DIV/0!</v>
      </c>
      <c r="E186" s="543"/>
      <c r="F186" s="228" t="e">
        <f t="shared" ref="F186:F208" si="70">(F111*C111+F136*C136+F161*C161)/C186</f>
        <v>#DIV/0!</v>
      </c>
      <c r="G186" s="214" t="e">
        <f t="shared" ref="G186:G208" si="71">G111+G136+G161</f>
        <v>#DIV/0!</v>
      </c>
    </row>
    <row r="187" spans="1:8" x14ac:dyDescent="0.25">
      <c r="A187" s="902"/>
      <c r="B187" s="13" t="str">
        <f t="shared" si="67"/>
        <v>La Manouba</v>
      </c>
      <c r="C187" s="239">
        <f t="shared" si="68"/>
        <v>0</v>
      </c>
      <c r="D187" s="241" t="e">
        <f t="shared" si="69"/>
        <v>#DIV/0!</v>
      </c>
      <c r="E187" s="543"/>
      <c r="F187" s="228" t="e">
        <f t="shared" si="70"/>
        <v>#DIV/0!</v>
      </c>
      <c r="G187" s="214" t="e">
        <f t="shared" si="71"/>
        <v>#DIV/0!</v>
      </c>
    </row>
    <row r="188" spans="1:8" x14ac:dyDescent="0.25">
      <c r="A188" s="902"/>
      <c r="B188" s="13" t="str">
        <f t="shared" si="67"/>
        <v>Ben Arous</v>
      </c>
      <c r="C188" s="239">
        <f t="shared" si="68"/>
        <v>0</v>
      </c>
      <c r="D188" s="241" t="e">
        <f t="shared" si="69"/>
        <v>#DIV/0!</v>
      </c>
      <c r="E188" s="543"/>
      <c r="F188" s="228" t="e">
        <f t="shared" si="70"/>
        <v>#DIV/0!</v>
      </c>
      <c r="G188" s="214" t="e">
        <f t="shared" si="71"/>
        <v>#DIV/0!</v>
      </c>
    </row>
    <row r="189" spans="1:8" x14ac:dyDescent="0.25">
      <c r="A189" s="902"/>
      <c r="B189" s="13" t="str">
        <f t="shared" si="67"/>
        <v>Nabeul</v>
      </c>
      <c r="C189" s="239">
        <f t="shared" si="68"/>
        <v>0</v>
      </c>
      <c r="D189" s="241" t="e">
        <f t="shared" si="69"/>
        <v>#DIV/0!</v>
      </c>
      <c r="E189" s="543"/>
      <c r="F189" s="228" t="e">
        <f t="shared" si="70"/>
        <v>#DIV/0!</v>
      </c>
      <c r="G189" s="214" t="e">
        <f t="shared" si="71"/>
        <v>#DIV/0!</v>
      </c>
    </row>
    <row r="190" spans="1:8" x14ac:dyDescent="0.25">
      <c r="A190" s="902"/>
      <c r="B190" s="13" t="str">
        <f t="shared" si="67"/>
        <v>Bizerte</v>
      </c>
      <c r="C190" s="239">
        <f t="shared" si="68"/>
        <v>0</v>
      </c>
      <c r="D190" s="241" t="e">
        <f t="shared" si="69"/>
        <v>#DIV/0!</v>
      </c>
      <c r="E190" s="543"/>
      <c r="F190" s="228" t="e">
        <f t="shared" si="70"/>
        <v>#DIV/0!</v>
      </c>
      <c r="G190" s="214" t="e">
        <f t="shared" si="71"/>
        <v>#DIV/0!</v>
      </c>
    </row>
    <row r="191" spans="1:8" x14ac:dyDescent="0.25">
      <c r="A191" s="902"/>
      <c r="B191" s="13" t="str">
        <f t="shared" si="67"/>
        <v>Zaghouan</v>
      </c>
      <c r="C191" s="239">
        <f t="shared" si="68"/>
        <v>0</v>
      </c>
      <c r="D191" s="241" t="e">
        <f t="shared" si="69"/>
        <v>#DIV/0!</v>
      </c>
      <c r="E191" s="543"/>
      <c r="F191" s="228" t="e">
        <f t="shared" si="70"/>
        <v>#DIV/0!</v>
      </c>
      <c r="G191" s="214" t="e">
        <f t="shared" si="71"/>
        <v>#DIV/0!</v>
      </c>
    </row>
    <row r="192" spans="1:8" x14ac:dyDescent="0.25">
      <c r="A192" s="902"/>
      <c r="B192" s="13" t="str">
        <f t="shared" si="67"/>
        <v>Béja</v>
      </c>
      <c r="C192" s="239">
        <f t="shared" si="68"/>
        <v>0</v>
      </c>
      <c r="D192" s="241" t="e">
        <f t="shared" si="69"/>
        <v>#DIV/0!</v>
      </c>
      <c r="E192" s="543"/>
      <c r="F192" s="228" t="e">
        <f t="shared" si="70"/>
        <v>#DIV/0!</v>
      </c>
      <c r="G192" s="214" t="e">
        <f t="shared" si="71"/>
        <v>#DIV/0!</v>
      </c>
    </row>
    <row r="193" spans="1:7" x14ac:dyDescent="0.25">
      <c r="A193" s="902"/>
      <c r="B193" s="13" t="str">
        <f t="shared" si="67"/>
        <v>Jendouba</v>
      </c>
      <c r="C193" s="239">
        <f t="shared" si="68"/>
        <v>0</v>
      </c>
      <c r="D193" s="241" t="e">
        <f t="shared" si="69"/>
        <v>#DIV/0!</v>
      </c>
      <c r="E193" s="543"/>
      <c r="F193" s="228" t="e">
        <f t="shared" si="70"/>
        <v>#DIV/0!</v>
      </c>
      <c r="G193" s="214" t="e">
        <f t="shared" si="71"/>
        <v>#DIV/0!</v>
      </c>
    </row>
    <row r="194" spans="1:7" x14ac:dyDescent="0.25">
      <c r="A194" s="902"/>
      <c r="B194" s="13" t="str">
        <f t="shared" si="67"/>
        <v>Le Kef</v>
      </c>
      <c r="C194" s="239">
        <f t="shared" si="68"/>
        <v>0</v>
      </c>
      <c r="D194" s="241" t="e">
        <f t="shared" si="69"/>
        <v>#DIV/0!</v>
      </c>
      <c r="E194" s="543"/>
      <c r="F194" s="228" t="e">
        <f t="shared" si="70"/>
        <v>#DIV/0!</v>
      </c>
      <c r="G194" s="214" t="e">
        <f t="shared" si="71"/>
        <v>#DIV/0!</v>
      </c>
    </row>
    <row r="195" spans="1:7" x14ac:dyDescent="0.25">
      <c r="A195" s="902"/>
      <c r="B195" s="13" t="str">
        <f t="shared" si="67"/>
        <v>Siliana</v>
      </c>
      <c r="C195" s="239">
        <f t="shared" si="68"/>
        <v>0</v>
      </c>
      <c r="D195" s="241" t="e">
        <f t="shared" si="69"/>
        <v>#DIV/0!</v>
      </c>
      <c r="E195" s="543"/>
      <c r="F195" s="228" t="e">
        <f t="shared" si="70"/>
        <v>#DIV/0!</v>
      </c>
      <c r="G195" s="214" t="e">
        <f t="shared" si="71"/>
        <v>#DIV/0!</v>
      </c>
    </row>
    <row r="196" spans="1:7" x14ac:dyDescent="0.25">
      <c r="A196" s="902"/>
      <c r="B196" s="13" t="str">
        <f t="shared" si="67"/>
        <v>Sousse</v>
      </c>
      <c r="C196" s="239">
        <f t="shared" si="68"/>
        <v>0</v>
      </c>
      <c r="D196" s="241" t="e">
        <f t="shared" si="69"/>
        <v>#DIV/0!</v>
      </c>
      <c r="E196" s="543"/>
      <c r="F196" s="228" t="e">
        <f t="shared" si="70"/>
        <v>#DIV/0!</v>
      </c>
      <c r="G196" s="214" t="e">
        <f t="shared" si="71"/>
        <v>#DIV/0!</v>
      </c>
    </row>
    <row r="197" spans="1:7" x14ac:dyDescent="0.25">
      <c r="A197" s="902"/>
      <c r="B197" s="13" t="str">
        <f t="shared" si="67"/>
        <v>Monastir</v>
      </c>
      <c r="C197" s="239">
        <f t="shared" si="68"/>
        <v>0</v>
      </c>
      <c r="D197" s="241" t="e">
        <f t="shared" si="69"/>
        <v>#DIV/0!</v>
      </c>
      <c r="E197" s="543"/>
      <c r="F197" s="228" t="e">
        <f t="shared" si="70"/>
        <v>#DIV/0!</v>
      </c>
      <c r="G197" s="214" t="e">
        <f t="shared" si="71"/>
        <v>#DIV/0!</v>
      </c>
    </row>
    <row r="198" spans="1:7" x14ac:dyDescent="0.25">
      <c r="A198" s="902"/>
      <c r="B198" s="13" t="str">
        <f t="shared" si="67"/>
        <v>Mahdia</v>
      </c>
      <c r="C198" s="239">
        <f t="shared" si="68"/>
        <v>0</v>
      </c>
      <c r="D198" s="241" t="e">
        <f t="shared" si="69"/>
        <v>#DIV/0!</v>
      </c>
      <c r="E198" s="543"/>
      <c r="F198" s="228" t="e">
        <f t="shared" si="70"/>
        <v>#DIV/0!</v>
      </c>
      <c r="G198" s="214" t="e">
        <f t="shared" si="71"/>
        <v>#DIV/0!</v>
      </c>
    </row>
    <row r="199" spans="1:7" x14ac:dyDescent="0.25">
      <c r="A199" s="902"/>
      <c r="B199" s="13" t="str">
        <f t="shared" si="67"/>
        <v>Sfax</v>
      </c>
      <c r="C199" s="239">
        <f t="shared" si="68"/>
        <v>0</v>
      </c>
      <c r="D199" s="241" t="e">
        <f t="shared" si="69"/>
        <v>#DIV/0!</v>
      </c>
      <c r="E199" s="543"/>
      <c r="F199" s="228" t="e">
        <f t="shared" si="70"/>
        <v>#DIV/0!</v>
      </c>
      <c r="G199" s="214" t="e">
        <f t="shared" si="71"/>
        <v>#DIV/0!</v>
      </c>
    </row>
    <row r="200" spans="1:7" x14ac:dyDescent="0.25">
      <c r="A200" s="902"/>
      <c r="B200" s="13" t="str">
        <f t="shared" si="67"/>
        <v>Kairouan</v>
      </c>
      <c r="C200" s="239">
        <f t="shared" si="68"/>
        <v>0</v>
      </c>
      <c r="D200" s="241" t="e">
        <f t="shared" si="69"/>
        <v>#DIV/0!</v>
      </c>
      <c r="E200" s="543"/>
      <c r="F200" s="228" t="e">
        <f t="shared" si="70"/>
        <v>#DIV/0!</v>
      </c>
      <c r="G200" s="214" t="e">
        <f t="shared" si="71"/>
        <v>#DIV/0!</v>
      </c>
    </row>
    <row r="201" spans="1:7" x14ac:dyDescent="0.25">
      <c r="A201" s="902"/>
      <c r="B201" s="13" t="str">
        <f t="shared" si="67"/>
        <v>Kasserine</v>
      </c>
      <c r="C201" s="239">
        <f t="shared" si="68"/>
        <v>0</v>
      </c>
      <c r="D201" s="241" t="e">
        <f t="shared" si="69"/>
        <v>#DIV/0!</v>
      </c>
      <c r="E201" s="543"/>
      <c r="F201" s="228" t="e">
        <f t="shared" si="70"/>
        <v>#DIV/0!</v>
      </c>
      <c r="G201" s="214" t="e">
        <f t="shared" si="71"/>
        <v>#DIV/0!</v>
      </c>
    </row>
    <row r="202" spans="1:7" x14ac:dyDescent="0.25">
      <c r="A202" s="902"/>
      <c r="B202" s="13" t="str">
        <f t="shared" si="67"/>
        <v>Sidi Bouzid</v>
      </c>
      <c r="C202" s="239">
        <f t="shared" si="68"/>
        <v>0</v>
      </c>
      <c r="D202" s="241" t="e">
        <f t="shared" si="69"/>
        <v>#DIV/0!</v>
      </c>
      <c r="E202" s="543"/>
      <c r="F202" s="228" t="e">
        <f t="shared" si="70"/>
        <v>#DIV/0!</v>
      </c>
      <c r="G202" s="214" t="e">
        <f t="shared" si="71"/>
        <v>#DIV/0!</v>
      </c>
    </row>
    <row r="203" spans="1:7" x14ac:dyDescent="0.25">
      <c r="A203" s="902"/>
      <c r="B203" s="13" t="str">
        <f t="shared" si="67"/>
        <v>Gafsa</v>
      </c>
      <c r="C203" s="239">
        <f t="shared" si="68"/>
        <v>0</v>
      </c>
      <c r="D203" s="241" t="e">
        <f t="shared" si="69"/>
        <v>#DIV/0!</v>
      </c>
      <c r="E203" s="543"/>
      <c r="F203" s="228" t="e">
        <f t="shared" si="70"/>
        <v>#DIV/0!</v>
      </c>
      <c r="G203" s="214" t="e">
        <f t="shared" si="71"/>
        <v>#DIV/0!</v>
      </c>
    </row>
    <row r="204" spans="1:7" x14ac:dyDescent="0.25">
      <c r="A204" s="902"/>
      <c r="B204" s="13" t="str">
        <f t="shared" si="67"/>
        <v>Gabès</v>
      </c>
      <c r="C204" s="239">
        <f t="shared" si="68"/>
        <v>0</v>
      </c>
      <c r="D204" s="241" t="e">
        <f t="shared" si="69"/>
        <v>#DIV/0!</v>
      </c>
      <c r="E204" s="543"/>
      <c r="F204" s="228" t="e">
        <f t="shared" si="70"/>
        <v>#DIV/0!</v>
      </c>
      <c r="G204" s="214" t="e">
        <f t="shared" si="71"/>
        <v>#DIV/0!</v>
      </c>
    </row>
    <row r="205" spans="1:7" x14ac:dyDescent="0.25">
      <c r="A205" s="902"/>
      <c r="B205" s="13" t="str">
        <f t="shared" si="67"/>
        <v>Médenine</v>
      </c>
      <c r="C205" s="239">
        <f t="shared" si="68"/>
        <v>0</v>
      </c>
      <c r="D205" s="241" t="e">
        <f t="shared" si="69"/>
        <v>#DIV/0!</v>
      </c>
      <c r="E205" s="543"/>
      <c r="F205" s="228" t="e">
        <f t="shared" si="70"/>
        <v>#DIV/0!</v>
      </c>
      <c r="G205" s="214" t="e">
        <f t="shared" si="71"/>
        <v>#DIV/0!</v>
      </c>
    </row>
    <row r="206" spans="1:7" x14ac:dyDescent="0.25">
      <c r="A206" s="902"/>
      <c r="B206" s="13" t="str">
        <f t="shared" si="67"/>
        <v>Tataouine</v>
      </c>
      <c r="C206" s="239">
        <f t="shared" si="68"/>
        <v>0</v>
      </c>
      <c r="D206" s="241" t="e">
        <f t="shared" si="69"/>
        <v>#DIV/0!</v>
      </c>
      <c r="E206" s="543"/>
      <c r="F206" s="228" t="e">
        <f t="shared" si="70"/>
        <v>#DIV/0!</v>
      </c>
      <c r="G206" s="214" t="e">
        <f t="shared" si="71"/>
        <v>#DIV/0!</v>
      </c>
    </row>
    <row r="207" spans="1:7" x14ac:dyDescent="0.25">
      <c r="A207" s="902"/>
      <c r="B207" s="13" t="str">
        <f t="shared" si="67"/>
        <v>Tozeur</v>
      </c>
      <c r="C207" s="239">
        <f t="shared" si="68"/>
        <v>0</v>
      </c>
      <c r="D207" s="241" t="e">
        <f t="shared" si="69"/>
        <v>#DIV/0!</v>
      </c>
      <c r="E207" s="543"/>
      <c r="F207" s="228" t="e">
        <f t="shared" si="70"/>
        <v>#DIV/0!</v>
      </c>
      <c r="G207" s="214" t="e">
        <f t="shared" si="71"/>
        <v>#DIV/0!</v>
      </c>
    </row>
    <row r="208" spans="1:7" x14ac:dyDescent="0.25">
      <c r="A208" s="902"/>
      <c r="B208" s="13" t="str">
        <f t="shared" si="67"/>
        <v>Kébili</v>
      </c>
      <c r="C208" s="239">
        <f t="shared" si="68"/>
        <v>0</v>
      </c>
      <c r="D208" s="241" t="e">
        <f t="shared" si="69"/>
        <v>#DIV/0!</v>
      </c>
      <c r="E208" s="543"/>
      <c r="F208" s="228" t="e">
        <f t="shared" si="70"/>
        <v>#DIV/0!</v>
      </c>
      <c r="G208" s="214" t="e">
        <f t="shared" si="71"/>
        <v>#DIV/0!</v>
      </c>
    </row>
    <row r="209" spans="1:10" x14ac:dyDescent="0.25">
      <c r="A209" s="902"/>
      <c r="B209" s="353" t="str">
        <f t="shared" ref="B209" si="72">B134</f>
        <v>Total Tunisia</v>
      </c>
      <c r="C209" s="239">
        <f t="shared" ref="C209" si="73">C134+C159+C184</f>
        <v>0</v>
      </c>
      <c r="D209" s="241" t="e">
        <f t="shared" ref="D209" si="74">(D134*C134+D159*C159+D184*C184)/C209</f>
        <v>#DIV/0!</v>
      </c>
      <c r="E209" s="228" t="e">
        <f>SUMPRODUCT(C185:C208,E185:E208)/C209</f>
        <v>#DIV/0!</v>
      </c>
      <c r="F209" s="228" t="e">
        <f t="shared" ref="F209" si="75">(F134*C134+F159*C159+F184*C184)/C209</f>
        <v>#DIV/0!</v>
      </c>
      <c r="G209" s="214" t="e">
        <f t="shared" ref="G209" si="76">G134+G159+G184</f>
        <v>#DIV/0!</v>
      </c>
      <c r="J209" s="92" t="e">
        <f>G209/L1</f>
        <v>#DIV/0!</v>
      </c>
    </row>
    <row r="210" spans="1:10" x14ac:dyDescent="0.25">
      <c r="C210" s="138" t="b">
        <f>SUM(C185:C208)-C209&lt;0.1</f>
        <v>1</v>
      </c>
      <c r="D210" s="138"/>
      <c r="E210" s="138"/>
      <c r="F210" s="139"/>
      <c r="G210" s="139"/>
      <c r="H210" s="139"/>
      <c r="I210" s="138" t="e">
        <f>SUM(G185:G208)-G209&lt;0.1</f>
        <v>#DIV/0!</v>
      </c>
      <c r="J210" s="30" t="e">
        <f>J209/B214</f>
        <v>#DIV/0!</v>
      </c>
    </row>
    <row r="213" spans="1:10" x14ac:dyDescent="0.25">
      <c r="A213" t="s">
        <v>372</v>
      </c>
      <c r="B213" s="24">
        <f>O1</f>
        <v>134280440000</v>
      </c>
    </row>
    <row r="214" spans="1:10" x14ac:dyDescent="0.25">
      <c r="A214" t="s">
        <v>373</v>
      </c>
      <c r="B214" s="24">
        <f>O2</f>
        <v>46690000000</v>
      </c>
    </row>
    <row r="215" spans="1:10" ht="41.45" customHeight="1" thickBot="1" x14ac:dyDescent="0.35">
      <c r="A215" s="907" t="s">
        <v>1044</v>
      </c>
      <c r="B215" s="907"/>
      <c r="C215" s="907"/>
      <c r="D215" s="907"/>
      <c r="E215" s="907"/>
      <c r="F215" s="907"/>
    </row>
    <row r="216" spans="1:10" x14ac:dyDescent="0.25">
      <c r="A216" s="908"/>
      <c r="B216" s="910" t="s">
        <v>374</v>
      </c>
      <c r="C216" s="911"/>
      <c r="D216" s="911"/>
      <c r="E216" s="912"/>
      <c r="F216" s="913" t="s">
        <v>367</v>
      </c>
    </row>
    <row r="217" spans="1:10" ht="105" x14ac:dyDescent="0.25">
      <c r="A217" s="909"/>
      <c r="B217" s="372" t="s">
        <v>1045</v>
      </c>
      <c r="C217" s="372" t="s">
        <v>1046</v>
      </c>
      <c r="D217" s="372" t="s">
        <v>1047</v>
      </c>
      <c r="E217" s="372" t="s">
        <v>1048</v>
      </c>
      <c r="F217" s="914"/>
    </row>
    <row r="218" spans="1:10" x14ac:dyDescent="0.25">
      <c r="A218" s="143" t="str">
        <f>B185</f>
        <v>Tunis</v>
      </c>
      <c r="B218" s="97">
        <f>H82</f>
        <v>0</v>
      </c>
      <c r="C218" s="97" t="e">
        <f>G185</f>
        <v>#DIV/0!</v>
      </c>
      <c r="D218" s="48" t="e">
        <f t="shared" ref="D218:D242" si="77">SUM(B218:C218)</f>
        <v>#DIV/0!</v>
      </c>
      <c r="E218" s="48" t="e">
        <f>D218/$L$1</f>
        <v>#DIV/0!</v>
      </c>
      <c r="F218" s="150" t="e">
        <f t="shared" ref="F218:F242" si="78">E218/$B$214</f>
        <v>#DIV/0!</v>
      </c>
    </row>
    <row r="219" spans="1:10" x14ac:dyDescent="0.25">
      <c r="A219" s="143" t="str">
        <f t="shared" ref="A219:A241" si="79">B186</f>
        <v>Ariana</v>
      </c>
      <c r="B219" s="97">
        <f t="shared" ref="B219:B241" si="80">H83</f>
        <v>0</v>
      </c>
      <c r="C219" s="97" t="e">
        <f t="shared" ref="C219:C241" si="81">G186</f>
        <v>#DIV/0!</v>
      </c>
      <c r="D219" s="48" t="e">
        <f t="shared" ref="D219:D241" si="82">SUM(B219:C219)</f>
        <v>#DIV/0!</v>
      </c>
      <c r="E219" s="48" t="e">
        <f t="shared" ref="E219:E241" si="83">D219/$L$1</f>
        <v>#DIV/0!</v>
      </c>
      <c r="F219" s="150" t="e">
        <f t="shared" ref="F219:F241" si="84">E219/$B$214</f>
        <v>#DIV/0!</v>
      </c>
    </row>
    <row r="220" spans="1:10" x14ac:dyDescent="0.25">
      <c r="A220" s="143" t="str">
        <f t="shared" si="79"/>
        <v>La Manouba</v>
      </c>
      <c r="B220" s="97">
        <f t="shared" si="80"/>
        <v>0</v>
      </c>
      <c r="C220" s="97" t="e">
        <f t="shared" si="81"/>
        <v>#DIV/0!</v>
      </c>
      <c r="D220" s="48" t="e">
        <f t="shared" si="82"/>
        <v>#DIV/0!</v>
      </c>
      <c r="E220" s="48" t="e">
        <f t="shared" si="83"/>
        <v>#DIV/0!</v>
      </c>
      <c r="F220" s="150" t="e">
        <f t="shared" si="84"/>
        <v>#DIV/0!</v>
      </c>
    </row>
    <row r="221" spans="1:10" x14ac:dyDescent="0.25">
      <c r="A221" s="143" t="str">
        <f t="shared" si="79"/>
        <v>Ben Arous</v>
      </c>
      <c r="B221" s="97">
        <f t="shared" si="80"/>
        <v>0</v>
      </c>
      <c r="C221" s="97" t="e">
        <f t="shared" si="81"/>
        <v>#DIV/0!</v>
      </c>
      <c r="D221" s="48" t="e">
        <f t="shared" si="82"/>
        <v>#DIV/0!</v>
      </c>
      <c r="E221" s="48" t="e">
        <f t="shared" si="83"/>
        <v>#DIV/0!</v>
      </c>
      <c r="F221" s="150" t="e">
        <f t="shared" si="84"/>
        <v>#DIV/0!</v>
      </c>
    </row>
    <row r="222" spans="1:10" x14ac:dyDescent="0.25">
      <c r="A222" s="143" t="str">
        <f t="shared" si="79"/>
        <v>Nabeul</v>
      </c>
      <c r="B222" s="97">
        <f t="shared" si="80"/>
        <v>0</v>
      </c>
      <c r="C222" s="97" t="e">
        <f t="shared" si="81"/>
        <v>#DIV/0!</v>
      </c>
      <c r="D222" s="48" t="e">
        <f t="shared" si="82"/>
        <v>#DIV/0!</v>
      </c>
      <c r="E222" s="48" t="e">
        <f t="shared" si="83"/>
        <v>#DIV/0!</v>
      </c>
      <c r="F222" s="150" t="e">
        <f t="shared" si="84"/>
        <v>#DIV/0!</v>
      </c>
    </row>
    <row r="223" spans="1:10" x14ac:dyDescent="0.25">
      <c r="A223" s="143" t="str">
        <f t="shared" si="79"/>
        <v>Bizerte</v>
      </c>
      <c r="B223" s="97">
        <f t="shared" si="80"/>
        <v>0</v>
      </c>
      <c r="C223" s="97" t="e">
        <f t="shared" si="81"/>
        <v>#DIV/0!</v>
      </c>
      <c r="D223" s="48" t="e">
        <f t="shared" si="82"/>
        <v>#DIV/0!</v>
      </c>
      <c r="E223" s="48" t="e">
        <f t="shared" si="83"/>
        <v>#DIV/0!</v>
      </c>
      <c r="F223" s="150" t="e">
        <f t="shared" si="84"/>
        <v>#DIV/0!</v>
      </c>
    </row>
    <row r="224" spans="1:10" x14ac:dyDescent="0.25">
      <c r="A224" s="143" t="str">
        <f t="shared" si="79"/>
        <v>Zaghouan</v>
      </c>
      <c r="B224" s="97">
        <f t="shared" si="80"/>
        <v>0</v>
      </c>
      <c r="C224" s="97" t="e">
        <f t="shared" si="81"/>
        <v>#DIV/0!</v>
      </c>
      <c r="D224" s="48" t="e">
        <f t="shared" si="82"/>
        <v>#DIV/0!</v>
      </c>
      <c r="E224" s="48" t="e">
        <f t="shared" si="83"/>
        <v>#DIV/0!</v>
      </c>
      <c r="F224" s="150" t="e">
        <f t="shared" si="84"/>
        <v>#DIV/0!</v>
      </c>
    </row>
    <row r="225" spans="1:6" x14ac:dyDescent="0.25">
      <c r="A225" s="143" t="str">
        <f t="shared" si="79"/>
        <v>Béja</v>
      </c>
      <c r="B225" s="97">
        <f t="shared" si="80"/>
        <v>0</v>
      </c>
      <c r="C225" s="97" t="e">
        <f t="shared" si="81"/>
        <v>#DIV/0!</v>
      </c>
      <c r="D225" s="48" t="e">
        <f t="shared" si="82"/>
        <v>#DIV/0!</v>
      </c>
      <c r="E225" s="48" t="e">
        <f t="shared" si="83"/>
        <v>#DIV/0!</v>
      </c>
      <c r="F225" s="150" t="e">
        <f t="shared" si="84"/>
        <v>#DIV/0!</v>
      </c>
    </row>
    <row r="226" spans="1:6" x14ac:dyDescent="0.25">
      <c r="A226" s="143" t="str">
        <f t="shared" si="79"/>
        <v>Jendouba</v>
      </c>
      <c r="B226" s="97">
        <f t="shared" si="80"/>
        <v>0</v>
      </c>
      <c r="C226" s="97" t="e">
        <f t="shared" si="81"/>
        <v>#DIV/0!</v>
      </c>
      <c r="D226" s="48" t="e">
        <f t="shared" si="82"/>
        <v>#DIV/0!</v>
      </c>
      <c r="E226" s="48" t="e">
        <f t="shared" si="83"/>
        <v>#DIV/0!</v>
      </c>
      <c r="F226" s="150" t="e">
        <f t="shared" si="84"/>
        <v>#DIV/0!</v>
      </c>
    </row>
    <row r="227" spans="1:6" x14ac:dyDescent="0.25">
      <c r="A227" s="143" t="str">
        <f t="shared" si="79"/>
        <v>Le Kef</v>
      </c>
      <c r="B227" s="97">
        <f t="shared" si="80"/>
        <v>0</v>
      </c>
      <c r="C227" s="97" t="e">
        <f t="shared" si="81"/>
        <v>#DIV/0!</v>
      </c>
      <c r="D227" s="48" t="e">
        <f t="shared" si="82"/>
        <v>#DIV/0!</v>
      </c>
      <c r="E227" s="48" t="e">
        <f t="shared" si="83"/>
        <v>#DIV/0!</v>
      </c>
      <c r="F227" s="150" t="e">
        <f t="shared" si="84"/>
        <v>#DIV/0!</v>
      </c>
    </row>
    <row r="228" spans="1:6" x14ac:dyDescent="0.25">
      <c r="A228" s="143" t="str">
        <f t="shared" si="79"/>
        <v>Siliana</v>
      </c>
      <c r="B228" s="97">
        <f t="shared" si="80"/>
        <v>0</v>
      </c>
      <c r="C228" s="97" t="e">
        <f t="shared" si="81"/>
        <v>#DIV/0!</v>
      </c>
      <c r="D228" s="48" t="e">
        <f t="shared" si="82"/>
        <v>#DIV/0!</v>
      </c>
      <c r="E228" s="48" t="e">
        <f t="shared" si="83"/>
        <v>#DIV/0!</v>
      </c>
      <c r="F228" s="150" t="e">
        <f t="shared" si="84"/>
        <v>#DIV/0!</v>
      </c>
    </row>
    <row r="229" spans="1:6" x14ac:dyDescent="0.25">
      <c r="A229" s="143" t="str">
        <f t="shared" si="79"/>
        <v>Sousse</v>
      </c>
      <c r="B229" s="97">
        <f t="shared" si="80"/>
        <v>0</v>
      </c>
      <c r="C229" s="97" t="e">
        <f t="shared" si="81"/>
        <v>#DIV/0!</v>
      </c>
      <c r="D229" s="48" t="e">
        <f t="shared" si="82"/>
        <v>#DIV/0!</v>
      </c>
      <c r="E229" s="48" t="e">
        <f t="shared" si="83"/>
        <v>#DIV/0!</v>
      </c>
      <c r="F229" s="150" t="e">
        <f t="shared" si="84"/>
        <v>#DIV/0!</v>
      </c>
    </row>
    <row r="230" spans="1:6" x14ac:dyDescent="0.25">
      <c r="A230" s="143" t="str">
        <f t="shared" si="79"/>
        <v>Monastir</v>
      </c>
      <c r="B230" s="97">
        <f t="shared" si="80"/>
        <v>0</v>
      </c>
      <c r="C230" s="97" t="e">
        <f t="shared" si="81"/>
        <v>#DIV/0!</v>
      </c>
      <c r="D230" s="48" t="e">
        <f t="shared" si="82"/>
        <v>#DIV/0!</v>
      </c>
      <c r="E230" s="48" t="e">
        <f t="shared" si="83"/>
        <v>#DIV/0!</v>
      </c>
      <c r="F230" s="150" t="e">
        <f t="shared" si="84"/>
        <v>#DIV/0!</v>
      </c>
    </row>
    <row r="231" spans="1:6" x14ac:dyDescent="0.25">
      <c r="A231" s="143" t="str">
        <f t="shared" si="79"/>
        <v>Mahdia</v>
      </c>
      <c r="B231" s="97">
        <f t="shared" si="80"/>
        <v>0</v>
      </c>
      <c r="C231" s="97" t="e">
        <f t="shared" si="81"/>
        <v>#DIV/0!</v>
      </c>
      <c r="D231" s="48" t="e">
        <f t="shared" si="82"/>
        <v>#DIV/0!</v>
      </c>
      <c r="E231" s="48" t="e">
        <f t="shared" si="83"/>
        <v>#DIV/0!</v>
      </c>
      <c r="F231" s="150" t="e">
        <f t="shared" si="84"/>
        <v>#DIV/0!</v>
      </c>
    </row>
    <row r="232" spans="1:6" x14ac:dyDescent="0.25">
      <c r="A232" s="143" t="str">
        <f t="shared" si="79"/>
        <v>Sfax</v>
      </c>
      <c r="B232" s="97">
        <f t="shared" si="80"/>
        <v>0</v>
      </c>
      <c r="C232" s="97" t="e">
        <f t="shared" si="81"/>
        <v>#DIV/0!</v>
      </c>
      <c r="D232" s="48" t="e">
        <f t="shared" si="82"/>
        <v>#DIV/0!</v>
      </c>
      <c r="E232" s="48" t="e">
        <f t="shared" si="83"/>
        <v>#DIV/0!</v>
      </c>
      <c r="F232" s="150" t="e">
        <f t="shared" si="84"/>
        <v>#DIV/0!</v>
      </c>
    </row>
    <row r="233" spans="1:6" x14ac:dyDescent="0.25">
      <c r="A233" s="143" t="str">
        <f t="shared" si="79"/>
        <v>Kairouan</v>
      </c>
      <c r="B233" s="97">
        <f t="shared" si="80"/>
        <v>0</v>
      </c>
      <c r="C233" s="97" t="e">
        <f t="shared" si="81"/>
        <v>#DIV/0!</v>
      </c>
      <c r="D233" s="48" t="e">
        <f t="shared" si="82"/>
        <v>#DIV/0!</v>
      </c>
      <c r="E233" s="48" t="e">
        <f t="shared" si="83"/>
        <v>#DIV/0!</v>
      </c>
      <c r="F233" s="150" t="e">
        <f t="shared" si="84"/>
        <v>#DIV/0!</v>
      </c>
    </row>
    <row r="234" spans="1:6" x14ac:dyDescent="0.25">
      <c r="A234" s="143" t="str">
        <f t="shared" si="79"/>
        <v>Kasserine</v>
      </c>
      <c r="B234" s="97">
        <f t="shared" si="80"/>
        <v>0</v>
      </c>
      <c r="C234" s="97" t="e">
        <f t="shared" si="81"/>
        <v>#DIV/0!</v>
      </c>
      <c r="D234" s="48" t="e">
        <f t="shared" si="82"/>
        <v>#DIV/0!</v>
      </c>
      <c r="E234" s="48" t="e">
        <f t="shared" si="83"/>
        <v>#DIV/0!</v>
      </c>
      <c r="F234" s="150" t="e">
        <f t="shared" si="84"/>
        <v>#DIV/0!</v>
      </c>
    </row>
    <row r="235" spans="1:6" x14ac:dyDescent="0.25">
      <c r="A235" s="143" t="str">
        <f t="shared" si="79"/>
        <v>Sidi Bouzid</v>
      </c>
      <c r="B235" s="97">
        <f t="shared" si="80"/>
        <v>0</v>
      </c>
      <c r="C235" s="97" t="e">
        <f t="shared" si="81"/>
        <v>#DIV/0!</v>
      </c>
      <c r="D235" s="48" t="e">
        <f t="shared" si="82"/>
        <v>#DIV/0!</v>
      </c>
      <c r="E235" s="48" t="e">
        <f t="shared" si="83"/>
        <v>#DIV/0!</v>
      </c>
      <c r="F235" s="150" t="e">
        <f t="shared" si="84"/>
        <v>#DIV/0!</v>
      </c>
    </row>
    <row r="236" spans="1:6" x14ac:dyDescent="0.25">
      <c r="A236" s="143" t="str">
        <f t="shared" si="79"/>
        <v>Gafsa</v>
      </c>
      <c r="B236" s="97">
        <f t="shared" si="80"/>
        <v>0</v>
      </c>
      <c r="C236" s="97" t="e">
        <f t="shared" si="81"/>
        <v>#DIV/0!</v>
      </c>
      <c r="D236" s="48" t="e">
        <f t="shared" si="82"/>
        <v>#DIV/0!</v>
      </c>
      <c r="E236" s="48" t="e">
        <f t="shared" si="83"/>
        <v>#DIV/0!</v>
      </c>
      <c r="F236" s="150" t="e">
        <f t="shared" si="84"/>
        <v>#DIV/0!</v>
      </c>
    </row>
    <row r="237" spans="1:6" x14ac:dyDescent="0.25">
      <c r="A237" s="143" t="str">
        <f t="shared" si="79"/>
        <v>Gabès</v>
      </c>
      <c r="B237" s="97">
        <f t="shared" si="80"/>
        <v>0</v>
      </c>
      <c r="C237" s="97" t="e">
        <f t="shared" si="81"/>
        <v>#DIV/0!</v>
      </c>
      <c r="D237" s="48" t="e">
        <f t="shared" si="82"/>
        <v>#DIV/0!</v>
      </c>
      <c r="E237" s="48" t="e">
        <f t="shared" si="83"/>
        <v>#DIV/0!</v>
      </c>
      <c r="F237" s="150" t="e">
        <f t="shared" si="84"/>
        <v>#DIV/0!</v>
      </c>
    </row>
    <row r="238" spans="1:6" x14ac:dyDescent="0.25">
      <c r="A238" s="143" t="str">
        <f t="shared" si="79"/>
        <v>Médenine</v>
      </c>
      <c r="B238" s="97">
        <f t="shared" si="80"/>
        <v>0</v>
      </c>
      <c r="C238" s="97" t="e">
        <f t="shared" si="81"/>
        <v>#DIV/0!</v>
      </c>
      <c r="D238" s="48" t="e">
        <f t="shared" si="82"/>
        <v>#DIV/0!</v>
      </c>
      <c r="E238" s="48" t="e">
        <f t="shared" si="83"/>
        <v>#DIV/0!</v>
      </c>
      <c r="F238" s="150" t="e">
        <f t="shared" si="84"/>
        <v>#DIV/0!</v>
      </c>
    </row>
    <row r="239" spans="1:6" x14ac:dyDescent="0.25">
      <c r="A239" s="143" t="str">
        <f t="shared" si="79"/>
        <v>Tataouine</v>
      </c>
      <c r="B239" s="97">
        <f t="shared" si="80"/>
        <v>0</v>
      </c>
      <c r="C239" s="97" t="e">
        <f t="shared" si="81"/>
        <v>#DIV/0!</v>
      </c>
      <c r="D239" s="48" t="e">
        <f t="shared" si="82"/>
        <v>#DIV/0!</v>
      </c>
      <c r="E239" s="48" t="e">
        <f t="shared" si="83"/>
        <v>#DIV/0!</v>
      </c>
      <c r="F239" s="150" t="e">
        <f t="shared" si="84"/>
        <v>#DIV/0!</v>
      </c>
    </row>
    <row r="240" spans="1:6" x14ac:dyDescent="0.25">
      <c r="A240" s="143" t="str">
        <f t="shared" si="79"/>
        <v>Tozeur</v>
      </c>
      <c r="B240" s="97">
        <f t="shared" si="80"/>
        <v>0</v>
      </c>
      <c r="C240" s="97" t="e">
        <f t="shared" si="81"/>
        <v>#DIV/0!</v>
      </c>
      <c r="D240" s="48" t="e">
        <f t="shared" si="82"/>
        <v>#DIV/0!</v>
      </c>
      <c r="E240" s="48" t="e">
        <f t="shared" si="83"/>
        <v>#DIV/0!</v>
      </c>
      <c r="F240" s="150" t="e">
        <f t="shared" si="84"/>
        <v>#DIV/0!</v>
      </c>
    </row>
    <row r="241" spans="1:7" x14ac:dyDescent="0.25">
      <c r="A241" s="143" t="str">
        <f t="shared" si="79"/>
        <v>Kébili</v>
      </c>
      <c r="B241" s="97">
        <f t="shared" si="80"/>
        <v>0</v>
      </c>
      <c r="C241" s="97" t="e">
        <f t="shared" si="81"/>
        <v>#DIV/0!</v>
      </c>
      <c r="D241" s="48" t="e">
        <f t="shared" si="82"/>
        <v>#DIV/0!</v>
      </c>
      <c r="E241" s="48" t="e">
        <f t="shared" si="83"/>
        <v>#DIV/0!</v>
      </c>
      <c r="F241" s="150" t="e">
        <f t="shared" si="84"/>
        <v>#DIV/0!</v>
      </c>
    </row>
    <row r="242" spans="1:7" x14ac:dyDescent="0.25">
      <c r="A242" s="144" t="s">
        <v>163</v>
      </c>
      <c r="B242" s="97">
        <f t="shared" ref="B242" si="85">H106</f>
        <v>0</v>
      </c>
      <c r="C242" s="97" t="e">
        <f t="shared" ref="C242" si="86">G209</f>
        <v>#DIV/0!</v>
      </c>
      <c r="D242" s="48" t="e">
        <f t="shared" si="77"/>
        <v>#DIV/0!</v>
      </c>
      <c r="E242" s="48" t="e">
        <f t="shared" ref="E242" si="87">D242/$L$1</f>
        <v>#DIV/0!</v>
      </c>
      <c r="F242" s="150" t="e">
        <f t="shared" si="78"/>
        <v>#DIV/0!</v>
      </c>
    </row>
    <row r="243" spans="1:7" ht="15.75" thickBot="1" x14ac:dyDescent="0.3">
      <c r="A243" s="153" t="s">
        <v>367</v>
      </c>
      <c r="B243" s="151">
        <f>B242/$B$213</f>
        <v>0</v>
      </c>
      <c r="C243" s="151" t="e">
        <f>C242/$B$213</f>
        <v>#DIV/0!</v>
      </c>
      <c r="D243" s="151" t="e">
        <f>D242/$B$213</f>
        <v>#DIV/0!</v>
      </c>
      <c r="E243" s="151" t="e">
        <f>E242/$B$214</f>
        <v>#DIV/0!</v>
      </c>
      <c r="F243" s="152"/>
    </row>
    <row r="244" spans="1:7" x14ac:dyDescent="0.25">
      <c r="B244" s="116" t="b">
        <f>SUM(B218:B241)=B242</f>
        <v>1</v>
      </c>
      <c r="C244" s="116" t="e">
        <f>SUM(C218:C241)-C242&lt;1</f>
        <v>#DIV/0!</v>
      </c>
      <c r="D244" s="116" t="e">
        <f>SUM(D218:D241)=D242</f>
        <v>#DIV/0!</v>
      </c>
      <c r="E244" s="116" t="e">
        <f>SUM(E218:E241)=E242</f>
        <v>#DIV/0!</v>
      </c>
    </row>
    <row r="245" spans="1:7" x14ac:dyDescent="0.25">
      <c r="B245" s="154"/>
      <c r="C245" s="154"/>
      <c r="D245" s="154"/>
      <c r="E245" s="154"/>
      <c r="F245" s="154"/>
      <c r="G245" s="154"/>
    </row>
    <row r="246" spans="1:7" ht="15.75" thickBot="1" x14ac:dyDescent="0.3">
      <c r="B246" s="154"/>
      <c r="C246" s="154"/>
      <c r="D246" s="154"/>
      <c r="E246" s="154"/>
      <c r="F246" s="154"/>
      <c r="G246" s="154"/>
    </row>
    <row r="247" spans="1:7" x14ac:dyDescent="0.25">
      <c r="A247" s="915"/>
      <c r="B247" s="917" t="s">
        <v>374</v>
      </c>
      <c r="C247" s="918"/>
      <c r="D247" s="918"/>
      <c r="E247" s="918"/>
      <c r="F247" s="919" t="s">
        <v>367</v>
      </c>
    </row>
    <row r="248" spans="1:7" ht="105" x14ac:dyDescent="0.25">
      <c r="A248" s="916"/>
      <c r="B248" s="155" t="s">
        <v>1049</v>
      </c>
      <c r="C248" s="155" t="s">
        <v>1050</v>
      </c>
      <c r="D248" s="155" t="s">
        <v>1051</v>
      </c>
      <c r="E248" s="155" t="s">
        <v>1052</v>
      </c>
      <c r="F248" s="920"/>
    </row>
    <row r="249" spans="1:7" x14ac:dyDescent="0.25">
      <c r="A249" s="156" t="str">
        <f>A218</f>
        <v>Tunis</v>
      </c>
      <c r="B249" s="159">
        <f t="shared" ref="B249:D249" si="88">B218/$L$1</f>
        <v>0</v>
      </c>
      <c r="C249" s="159" t="e">
        <f t="shared" si="88"/>
        <v>#DIV/0!</v>
      </c>
      <c r="D249" s="159" t="e">
        <f t="shared" si="88"/>
        <v>#DIV/0!</v>
      </c>
      <c r="E249" s="160" t="e">
        <f>E218</f>
        <v>#DIV/0!</v>
      </c>
      <c r="F249" s="555" t="e">
        <f t="shared" ref="F249:F273" si="89">E249/$B$214</f>
        <v>#DIV/0!</v>
      </c>
    </row>
    <row r="250" spans="1:7" x14ac:dyDescent="0.25">
      <c r="A250" s="156" t="str">
        <f t="shared" ref="A250:A272" si="90">A219</f>
        <v>Ariana</v>
      </c>
      <c r="B250" s="159">
        <f t="shared" ref="B250:D250" si="91">B219/$L$1</f>
        <v>0</v>
      </c>
      <c r="C250" s="159" t="e">
        <f t="shared" si="91"/>
        <v>#DIV/0!</v>
      </c>
      <c r="D250" s="159" t="e">
        <f t="shared" si="91"/>
        <v>#DIV/0!</v>
      </c>
      <c r="E250" s="160" t="e">
        <f t="shared" ref="E250:E272" si="92">E219</f>
        <v>#DIV/0!</v>
      </c>
      <c r="F250" s="555" t="e">
        <f t="shared" ref="F250:F272" si="93">E250/$B$214</f>
        <v>#DIV/0!</v>
      </c>
    </row>
    <row r="251" spans="1:7" x14ac:dyDescent="0.25">
      <c r="A251" s="156" t="str">
        <f t="shared" si="90"/>
        <v>La Manouba</v>
      </c>
      <c r="B251" s="159">
        <f t="shared" ref="B251:D251" si="94">B220/$L$1</f>
        <v>0</v>
      </c>
      <c r="C251" s="159" t="e">
        <f t="shared" si="94"/>
        <v>#DIV/0!</v>
      </c>
      <c r="D251" s="159" t="e">
        <f t="shared" si="94"/>
        <v>#DIV/0!</v>
      </c>
      <c r="E251" s="160" t="e">
        <f t="shared" si="92"/>
        <v>#DIV/0!</v>
      </c>
      <c r="F251" s="555" t="e">
        <f t="shared" si="93"/>
        <v>#DIV/0!</v>
      </c>
    </row>
    <row r="252" spans="1:7" x14ac:dyDescent="0.25">
      <c r="A252" s="156" t="str">
        <f t="shared" si="90"/>
        <v>Ben Arous</v>
      </c>
      <c r="B252" s="159">
        <f t="shared" ref="B252:D252" si="95">B221/$L$1</f>
        <v>0</v>
      </c>
      <c r="C252" s="159" t="e">
        <f t="shared" si="95"/>
        <v>#DIV/0!</v>
      </c>
      <c r="D252" s="159" t="e">
        <f t="shared" si="95"/>
        <v>#DIV/0!</v>
      </c>
      <c r="E252" s="160" t="e">
        <f t="shared" si="92"/>
        <v>#DIV/0!</v>
      </c>
      <c r="F252" s="555" t="e">
        <f t="shared" si="93"/>
        <v>#DIV/0!</v>
      </c>
    </row>
    <row r="253" spans="1:7" x14ac:dyDescent="0.25">
      <c r="A253" s="156" t="str">
        <f t="shared" si="90"/>
        <v>Nabeul</v>
      </c>
      <c r="B253" s="159">
        <f t="shared" ref="B253:D253" si="96">B222/$L$1</f>
        <v>0</v>
      </c>
      <c r="C253" s="159" t="e">
        <f t="shared" si="96"/>
        <v>#DIV/0!</v>
      </c>
      <c r="D253" s="159" t="e">
        <f t="shared" si="96"/>
        <v>#DIV/0!</v>
      </c>
      <c r="E253" s="160" t="e">
        <f t="shared" si="92"/>
        <v>#DIV/0!</v>
      </c>
      <c r="F253" s="555" t="e">
        <f t="shared" si="93"/>
        <v>#DIV/0!</v>
      </c>
    </row>
    <row r="254" spans="1:7" x14ac:dyDescent="0.25">
      <c r="A254" s="156" t="str">
        <f t="shared" si="90"/>
        <v>Bizerte</v>
      </c>
      <c r="B254" s="159">
        <f t="shared" ref="B254:D254" si="97">B223/$L$1</f>
        <v>0</v>
      </c>
      <c r="C254" s="159" t="e">
        <f t="shared" si="97"/>
        <v>#DIV/0!</v>
      </c>
      <c r="D254" s="159" t="e">
        <f t="shared" si="97"/>
        <v>#DIV/0!</v>
      </c>
      <c r="E254" s="160" t="e">
        <f t="shared" si="92"/>
        <v>#DIV/0!</v>
      </c>
      <c r="F254" s="555" t="e">
        <f t="shared" si="93"/>
        <v>#DIV/0!</v>
      </c>
    </row>
    <row r="255" spans="1:7" x14ac:dyDescent="0.25">
      <c r="A255" s="156" t="str">
        <f t="shared" si="90"/>
        <v>Zaghouan</v>
      </c>
      <c r="B255" s="159">
        <f t="shared" ref="B255:D255" si="98">B224/$L$1</f>
        <v>0</v>
      </c>
      <c r="C255" s="159" t="e">
        <f t="shared" si="98"/>
        <v>#DIV/0!</v>
      </c>
      <c r="D255" s="159" t="e">
        <f t="shared" si="98"/>
        <v>#DIV/0!</v>
      </c>
      <c r="E255" s="160" t="e">
        <f t="shared" si="92"/>
        <v>#DIV/0!</v>
      </c>
      <c r="F255" s="555" t="e">
        <f t="shared" si="93"/>
        <v>#DIV/0!</v>
      </c>
    </row>
    <row r="256" spans="1:7" x14ac:dyDescent="0.25">
      <c r="A256" s="156" t="str">
        <f t="shared" si="90"/>
        <v>Béja</v>
      </c>
      <c r="B256" s="159">
        <f t="shared" ref="B256:D256" si="99">B225/$L$1</f>
        <v>0</v>
      </c>
      <c r="C256" s="159" t="e">
        <f t="shared" si="99"/>
        <v>#DIV/0!</v>
      </c>
      <c r="D256" s="159" t="e">
        <f t="shared" si="99"/>
        <v>#DIV/0!</v>
      </c>
      <c r="E256" s="160" t="e">
        <f t="shared" si="92"/>
        <v>#DIV/0!</v>
      </c>
      <c r="F256" s="555" t="e">
        <f t="shared" si="93"/>
        <v>#DIV/0!</v>
      </c>
    </row>
    <row r="257" spans="1:6" x14ac:dyDescent="0.25">
      <c r="A257" s="156" t="str">
        <f t="shared" si="90"/>
        <v>Jendouba</v>
      </c>
      <c r="B257" s="159">
        <f t="shared" ref="B257:D257" si="100">B226/$L$1</f>
        <v>0</v>
      </c>
      <c r="C257" s="159" t="e">
        <f t="shared" si="100"/>
        <v>#DIV/0!</v>
      </c>
      <c r="D257" s="159" t="e">
        <f t="shared" si="100"/>
        <v>#DIV/0!</v>
      </c>
      <c r="E257" s="160" t="e">
        <f t="shared" si="92"/>
        <v>#DIV/0!</v>
      </c>
      <c r="F257" s="555" t="e">
        <f t="shared" si="93"/>
        <v>#DIV/0!</v>
      </c>
    </row>
    <row r="258" spans="1:6" x14ac:dyDescent="0.25">
      <c r="A258" s="156" t="str">
        <f t="shared" si="90"/>
        <v>Le Kef</v>
      </c>
      <c r="B258" s="159">
        <f t="shared" ref="B258:D258" si="101">B227/$L$1</f>
        <v>0</v>
      </c>
      <c r="C258" s="159" t="e">
        <f t="shared" si="101"/>
        <v>#DIV/0!</v>
      </c>
      <c r="D258" s="159" t="e">
        <f t="shared" si="101"/>
        <v>#DIV/0!</v>
      </c>
      <c r="E258" s="160" t="e">
        <f t="shared" si="92"/>
        <v>#DIV/0!</v>
      </c>
      <c r="F258" s="555" t="e">
        <f t="shared" si="93"/>
        <v>#DIV/0!</v>
      </c>
    </row>
    <row r="259" spans="1:6" x14ac:dyDescent="0.25">
      <c r="A259" s="156" t="str">
        <f t="shared" si="90"/>
        <v>Siliana</v>
      </c>
      <c r="B259" s="159">
        <f t="shared" ref="B259:D259" si="102">B228/$L$1</f>
        <v>0</v>
      </c>
      <c r="C259" s="159" t="e">
        <f t="shared" si="102"/>
        <v>#DIV/0!</v>
      </c>
      <c r="D259" s="159" t="e">
        <f t="shared" si="102"/>
        <v>#DIV/0!</v>
      </c>
      <c r="E259" s="160" t="e">
        <f t="shared" si="92"/>
        <v>#DIV/0!</v>
      </c>
      <c r="F259" s="555" t="e">
        <f t="shared" si="93"/>
        <v>#DIV/0!</v>
      </c>
    </row>
    <row r="260" spans="1:6" x14ac:dyDescent="0.25">
      <c r="A260" s="156" t="str">
        <f t="shared" si="90"/>
        <v>Sousse</v>
      </c>
      <c r="B260" s="159">
        <f t="shared" ref="B260:D260" si="103">B229/$L$1</f>
        <v>0</v>
      </c>
      <c r="C260" s="159" t="e">
        <f t="shared" si="103"/>
        <v>#DIV/0!</v>
      </c>
      <c r="D260" s="159" t="e">
        <f t="shared" si="103"/>
        <v>#DIV/0!</v>
      </c>
      <c r="E260" s="160" t="e">
        <f t="shared" si="92"/>
        <v>#DIV/0!</v>
      </c>
      <c r="F260" s="555" t="e">
        <f t="shared" si="93"/>
        <v>#DIV/0!</v>
      </c>
    </row>
    <row r="261" spans="1:6" x14ac:dyDescent="0.25">
      <c r="A261" s="156" t="str">
        <f t="shared" si="90"/>
        <v>Monastir</v>
      </c>
      <c r="B261" s="159">
        <f t="shared" ref="B261:D261" si="104">B230/$L$1</f>
        <v>0</v>
      </c>
      <c r="C261" s="159" t="e">
        <f t="shared" si="104"/>
        <v>#DIV/0!</v>
      </c>
      <c r="D261" s="159" t="e">
        <f t="shared" si="104"/>
        <v>#DIV/0!</v>
      </c>
      <c r="E261" s="160" t="e">
        <f t="shared" si="92"/>
        <v>#DIV/0!</v>
      </c>
      <c r="F261" s="555" t="e">
        <f t="shared" si="93"/>
        <v>#DIV/0!</v>
      </c>
    </row>
    <row r="262" spans="1:6" x14ac:dyDescent="0.25">
      <c r="A262" s="156" t="str">
        <f t="shared" si="90"/>
        <v>Mahdia</v>
      </c>
      <c r="B262" s="159">
        <f t="shared" ref="B262:D262" si="105">B231/$L$1</f>
        <v>0</v>
      </c>
      <c r="C262" s="159" t="e">
        <f t="shared" si="105"/>
        <v>#DIV/0!</v>
      </c>
      <c r="D262" s="159" t="e">
        <f t="shared" si="105"/>
        <v>#DIV/0!</v>
      </c>
      <c r="E262" s="160" t="e">
        <f t="shared" si="92"/>
        <v>#DIV/0!</v>
      </c>
      <c r="F262" s="555" t="e">
        <f t="shared" si="93"/>
        <v>#DIV/0!</v>
      </c>
    </row>
    <row r="263" spans="1:6" x14ac:dyDescent="0.25">
      <c r="A263" s="156" t="str">
        <f t="shared" si="90"/>
        <v>Sfax</v>
      </c>
      <c r="B263" s="159">
        <f t="shared" ref="B263:D263" si="106">B232/$L$1</f>
        <v>0</v>
      </c>
      <c r="C263" s="159" t="e">
        <f t="shared" si="106"/>
        <v>#DIV/0!</v>
      </c>
      <c r="D263" s="159" t="e">
        <f t="shared" si="106"/>
        <v>#DIV/0!</v>
      </c>
      <c r="E263" s="160" t="e">
        <f t="shared" si="92"/>
        <v>#DIV/0!</v>
      </c>
      <c r="F263" s="555" t="e">
        <f t="shared" si="93"/>
        <v>#DIV/0!</v>
      </c>
    </row>
    <row r="264" spans="1:6" x14ac:dyDescent="0.25">
      <c r="A264" s="156" t="str">
        <f t="shared" si="90"/>
        <v>Kairouan</v>
      </c>
      <c r="B264" s="159">
        <f t="shared" ref="B264:D264" si="107">B233/$L$1</f>
        <v>0</v>
      </c>
      <c r="C264" s="159" t="e">
        <f t="shared" si="107"/>
        <v>#DIV/0!</v>
      </c>
      <c r="D264" s="159" t="e">
        <f t="shared" si="107"/>
        <v>#DIV/0!</v>
      </c>
      <c r="E264" s="160" t="e">
        <f t="shared" si="92"/>
        <v>#DIV/0!</v>
      </c>
      <c r="F264" s="555" t="e">
        <f t="shared" si="93"/>
        <v>#DIV/0!</v>
      </c>
    </row>
    <row r="265" spans="1:6" x14ac:dyDescent="0.25">
      <c r="A265" s="156" t="str">
        <f t="shared" si="90"/>
        <v>Kasserine</v>
      </c>
      <c r="B265" s="159">
        <f t="shared" ref="B265:D265" si="108">B234/$L$1</f>
        <v>0</v>
      </c>
      <c r="C265" s="159" t="e">
        <f t="shared" si="108"/>
        <v>#DIV/0!</v>
      </c>
      <c r="D265" s="159" t="e">
        <f t="shared" si="108"/>
        <v>#DIV/0!</v>
      </c>
      <c r="E265" s="160" t="e">
        <f t="shared" si="92"/>
        <v>#DIV/0!</v>
      </c>
      <c r="F265" s="555" t="e">
        <f t="shared" si="93"/>
        <v>#DIV/0!</v>
      </c>
    </row>
    <row r="266" spans="1:6" x14ac:dyDescent="0.25">
      <c r="A266" s="156" t="str">
        <f t="shared" si="90"/>
        <v>Sidi Bouzid</v>
      </c>
      <c r="B266" s="159">
        <f t="shared" ref="B266:D266" si="109">B235/$L$1</f>
        <v>0</v>
      </c>
      <c r="C266" s="159" t="e">
        <f t="shared" si="109"/>
        <v>#DIV/0!</v>
      </c>
      <c r="D266" s="159" t="e">
        <f t="shared" si="109"/>
        <v>#DIV/0!</v>
      </c>
      <c r="E266" s="160" t="e">
        <f t="shared" si="92"/>
        <v>#DIV/0!</v>
      </c>
      <c r="F266" s="555" t="e">
        <f t="shared" si="93"/>
        <v>#DIV/0!</v>
      </c>
    </row>
    <row r="267" spans="1:6" x14ac:dyDescent="0.25">
      <c r="A267" s="156" t="str">
        <f t="shared" si="90"/>
        <v>Gafsa</v>
      </c>
      <c r="B267" s="159">
        <f t="shared" ref="B267:D267" si="110">B236/$L$1</f>
        <v>0</v>
      </c>
      <c r="C267" s="159" t="e">
        <f t="shared" si="110"/>
        <v>#DIV/0!</v>
      </c>
      <c r="D267" s="159" t="e">
        <f t="shared" si="110"/>
        <v>#DIV/0!</v>
      </c>
      <c r="E267" s="160" t="e">
        <f t="shared" si="92"/>
        <v>#DIV/0!</v>
      </c>
      <c r="F267" s="555" t="e">
        <f t="shared" si="93"/>
        <v>#DIV/0!</v>
      </c>
    </row>
    <row r="268" spans="1:6" x14ac:dyDescent="0.25">
      <c r="A268" s="156" t="str">
        <f t="shared" si="90"/>
        <v>Gabès</v>
      </c>
      <c r="B268" s="159">
        <f t="shared" ref="B268:D268" si="111">B237/$L$1</f>
        <v>0</v>
      </c>
      <c r="C268" s="159" t="e">
        <f t="shared" si="111"/>
        <v>#DIV/0!</v>
      </c>
      <c r="D268" s="159" t="e">
        <f t="shared" si="111"/>
        <v>#DIV/0!</v>
      </c>
      <c r="E268" s="160" t="e">
        <f t="shared" si="92"/>
        <v>#DIV/0!</v>
      </c>
      <c r="F268" s="555" t="e">
        <f t="shared" si="93"/>
        <v>#DIV/0!</v>
      </c>
    </row>
    <row r="269" spans="1:6" x14ac:dyDescent="0.25">
      <c r="A269" s="156" t="str">
        <f t="shared" si="90"/>
        <v>Médenine</v>
      </c>
      <c r="B269" s="159">
        <f t="shared" ref="B269:D269" si="112">B238/$L$1</f>
        <v>0</v>
      </c>
      <c r="C269" s="159" t="e">
        <f t="shared" si="112"/>
        <v>#DIV/0!</v>
      </c>
      <c r="D269" s="159" t="e">
        <f t="shared" si="112"/>
        <v>#DIV/0!</v>
      </c>
      <c r="E269" s="160" t="e">
        <f t="shared" si="92"/>
        <v>#DIV/0!</v>
      </c>
      <c r="F269" s="555" t="e">
        <f t="shared" si="93"/>
        <v>#DIV/0!</v>
      </c>
    </row>
    <row r="270" spans="1:6" x14ac:dyDescent="0.25">
      <c r="A270" s="156" t="str">
        <f t="shared" si="90"/>
        <v>Tataouine</v>
      </c>
      <c r="B270" s="159">
        <f t="shared" ref="B270:D270" si="113">B239/$L$1</f>
        <v>0</v>
      </c>
      <c r="C270" s="159" t="e">
        <f t="shared" si="113"/>
        <v>#DIV/0!</v>
      </c>
      <c r="D270" s="159" t="e">
        <f t="shared" si="113"/>
        <v>#DIV/0!</v>
      </c>
      <c r="E270" s="160" t="e">
        <f t="shared" si="92"/>
        <v>#DIV/0!</v>
      </c>
      <c r="F270" s="555" t="e">
        <f t="shared" si="93"/>
        <v>#DIV/0!</v>
      </c>
    </row>
    <row r="271" spans="1:6" x14ac:dyDescent="0.25">
      <c r="A271" s="156" t="str">
        <f t="shared" si="90"/>
        <v>Tozeur</v>
      </c>
      <c r="B271" s="159">
        <f t="shared" ref="B271:D271" si="114">B240/$L$1</f>
        <v>0</v>
      </c>
      <c r="C271" s="159" t="e">
        <f t="shared" si="114"/>
        <v>#DIV/0!</v>
      </c>
      <c r="D271" s="159" t="e">
        <f t="shared" si="114"/>
        <v>#DIV/0!</v>
      </c>
      <c r="E271" s="160" t="e">
        <f t="shared" si="92"/>
        <v>#DIV/0!</v>
      </c>
      <c r="F271" s="555" t="e">
        <f t="shared" si="93"/>
        <v>#DIV/0!</v>
      </c>
    </row>
    <row r="272" spans="1:6" x14ac:dyDescent="0.25">
      <c r="A272" s="156" t="str">
        <f t="shared" si="90"/>
        <v>Kébili</v>
      </c>
      <c r="B272" s="159">
        <f t="shared" ref="B272:D272" si="115">B241/$L$1</f>
        <v>0</v>
      </c>
      <c r="C272" s="159" t="e">
        <f t="shared" si="115"/>
        <v>#DIV/0!</v>
      </c>
      <c r="D272" s="159" t="e">
        <f t="shared" si="115"/>
        <v>#DIV/0!</v>
      </c>
      <c r="E272" s="160" t="e">
        <f t="shared" si="92"/>
        <v>#DIV/0!</v>
      </c>
      <c r="F272" s="555" t="e">
        <f t="shared" si="93"/>
        <v>#DIV/0!</v>
      </c>
    </row>
    <row r="273" spans="1:12" x14ac:dyDescent="0.25">
      <c r="A273" s="156" t="str">
        <f t="shared" ref="A273" si="116">A242</f>
        <v>Total Tunisia</v>
      </c>
      <c r="B273" s="160">
        <f t="shared" ref="B273:D273" si="117">B242/$L$1</f>
        <v>0</v>
      </c>
      <c r="C273" s="160" t="e">
        <f t="shared" si="117"/>
        <v>#DIV/0!</v>
      </c>
      <c r="D273" s="160" t="e">
        <f t="shared" si="117"/>
        <v>#DIV/0!</v>
      </c>
      <c r="E273" s="160" t="e">
        <f t="shared" ref="E273" si="118">E242</f>
        <v>#DIV/0!</v>
      </c>
      <c r="F273" s="555" t="e">
        <f t="shared" si="89"/>
        <v>#DIV/0!</v>
      </c>
    </row>
    <row r="274" spans="1:12" x14ac:dyDescent="0.25">
      <c r="A274" s="157" t="s">
        <v>163</v>
      </c>
      <c r="B274" s="160">
        <f>B273</f>
        <v>0</v>
      </c>
      <c r="C274" s="160" t="e">
        <f t="shared" ref="C274:F274" si="119">C273</f>
        <v>#DIV/0!</v>
      </c>
      <c r="D274" s="160" t="e">
        <f t="shared" si="119"/>
        <v>#DIV/0!</v>
      </c>
      <c r="E274" s="160" t="e">
        <f t="shared" si="119"/>
        <v>#DIV/0!</v>
      </c>
      <c r="F274" s="556" t="e">
        <f t="shared" si="119"/>
        <v>#DIV/0!</v>
      </c>
    </row>
    <row r="275" spans="1:12" ht="15.75" thickBot="1" x14ac:dyDescent="0.3">
      <c r="A275" s="158" t="s">
        <v>367</v>
      </c>
      <c r="B275" s="554">
        <f>B274/$B$214</f>
        <v>0</v>
      </c>
      <c r="C275" s="554" t="e">
        <f>C274/$B$214</f>
        <v>#DIV/0!</v>
      </c>
      <c r="D275" s="554" t="e">
        <f>D274/$B$214</f>
        <v>#DIV/0!</v>
      </c>
      <c r="E275" s="554" t="e">
        <f>E274/$B$214</f>
        <v>#DIV/0!</v>
      </c>
      <c r="F275" s="161"/>
    </row>
    <row r="276" spans="1:12" x14ac:dyDescent="0.25">
      <c r="B276" s="154"/>
      <c r="C276" s="154"/>
      <c r="D276" s="154"/>
      <c r="E276" s="154"/>
      <c r="F276" s="154"/>
      <c r="G276" s="154"/>
    </row>
    <row r="277" spans="1:12" x14ac:dyDescent="0.25">
      <c r="B277" s="154"/>
      <c r="C277" s="154"/>
      <c r="D277" s="154"/>
      <c r="E277" s="154"/>
      <c r="F277" s="154"/>
      <c r="G277" s="154"/>
    </row>
    <row r="280" spans="1:12" ht="18.75" x14ac:dyDescent="0.3">
      <c r="A280" s="866" t="s">
        <v>1053</v>
      </c>
      <c r="B280" s="866"/>
      <c r="C280" s="866"/>
      <c r="D280" s="866"/>
      <c r="E280" s="866"/>
      <c r="F280" s="866"/>
      <c r="G280" s="866"/>
      <c r="H280" s="866"/>
      <c r="I280" s="866"/>
      <c r="J280" t="s">
        <v>1004</v>
      </c>
      <c r="L280" s="93">
        <v>9.6999999999999993</v>
      </c>
    </row>
    <row r="281" spans="1:12" x14ac:dyDescent="0.25">
      <c r="A281" s="3" t="s">
        <v>260</v>
      </c>
      <c r="B281" s="8" t="s">
        <v>480</v>
      </c>
      <c r="C281" s="8"/>
      <c r="D281" s="8"/>
      <c r="E281" s="8"/>
      <c r="F281" s="8"/>
      <c r="G281" s="4"/>
      <c r="H281" s="7" t="s">
        <v>265</v>
      </c>
      <c r="I281" s="7"/>
    </row>
    <row r="282" spans="1:12" x14ac:dyDescent="0.25">
      <c r="A282" s="3"/>
      <c r="B282" s="10" t="s">
        <v>263</v>
      </c>
      <c r="C282" s="10"/>
      <c r="D282" s="10"/>
      <c r="E282" s="10"/>
      <c r="F282" s="10"/>
      <c r="G282" s="10"/>
      <c r="H282" s="10"/>
      <c r="I282" s="10"/>
    </row>
    <row r="284" spans="1:12" x14ac:dyDescent="0.25">
      <c r="A284" s="1" t="s">
        <v>1054</v>
      </c>
    </row>
    <row r="285" spans="1:12" ht="75" x14ac:dyDescent="0.25">
      <c r="A285" s="15" t="s">
        <v>1008</v>
      </c>
      <c r="B285" s="15" t="s">
        <v>101</v>
      </c>
      <c r="C285" s="347" t="s">
        <v>1055</v>
      </c>
      <c r="D285" s="372" t="s">
        <v>1056</v>
      </c>
      <c r="E285" s="347" t="s">
        <v>1057</v>
      </c>
      <c r="F285" s="347" t="s">
        <v>1058</v>
      </c>
      <c r="G285" s="347" t="s">
        <v>1059</v>
      </c>
      <c r="H285" s="347" t="s">
        <v>1060</v>
      </c>
      <c r="K285" s="44" t="s">
        <v>259</v>
      </c>
    </row>
    <row r="286" spans="1:12" x14ac:dyDescent="0.25">
      <c r="A286" s="921" t="s">
        <v>1061</v>
      </c>
      <c r="B286" s="13" t="str">
        <f>A249</f>
        <v>Tunis</v>
      </c>
      <c r="C286" s="557">
        <v>34.58</v>
      </c>
      <c r="D286" s="539">
        <f>C286*0.02</f>
        <v>0.69159999999999999</v>
      </c>
      <c r="E286" s="490">
        <v>0.01</v>
      </c>
      <c r="F286" s="216">
        <f t="shared" ref="F286" si="120">E286*D286</f>
        <v>6.9160000000000003E-3</v>
      </c>
      <c r="G286" s="553">
        <f>AVERAGE(50000,120000)</f>
        <v>85000</v>
      </c>
      <c r="H286" s="242">
        <f>F286*G286</f>
        <v>587.86</v>
      </c>
    </row>
    <row r="287" spans="1:12" x14ac:dyDescent="0.25">
      <c r="A287" s="921"/>
      <c r="B287" s="13" t="str">
        <f t="shared" ref="B287:B309" si="121">A250</f>
        <v>Ariana</v>
      </c>
      <c r="C287" s="557">
        <v>39.15</v>
      </c>
      <c r="D287" s="539">
        <f t="shared" ref="D287:D309" si="122">C287*0.02</f>
        <v>0.78300000000000003</v>
      </c>
      <c r="E287" s="490">
        <v>0.01</v>
      </c>
      <c r="F287" s="216">
        <f t="shared" ref="F287:F309" si="123">E287*D287</f>
        <v>7.8300000000000002E-3</v>
      </c>
      <c r="G287" s="553">
        <f t="shared" ref="G287:G310" si="124">AVERAGE(50000,120000)</f>
        <v>85000</v>
      </c>
      <c r="H287" s="242">
        <f t="shared" ref="H287:H309" si="125">F287*G287</f>
        <v>665.55000000000007</v>
      </c>
    </row>
    <row r="288" spans="1:12" x14ac:dyDescent="0.25">
      <c r="A288" s="921"/>
      <c r="B288" s="13" t="str">
        <f t="shared" si="121"/>
        <v>La Manouba</v>
      </c>
      <c r="C288" s="557">
        <v>242.27</v>
      </c>
      <c r="D288" s="539">
        <f t="shared" si="122"/>
        <v>4.8454000000000006</v>
      </c>
      <c r="E288" s="490">
        <v>0.01</v>
      </c>
      <c r="F288" s="216">
        <f t="shared" si="123"/>
        <v>4.8454000000000004E-2</v>
      </c>
      <c r="G288" s="553">
        <f t="shared" si="124"/>
        <v>85000</v>
      </c>
      <c r="H288" s="242">
        <f t="shared" si="125"/>
        <v>4118.59</v>
      </c>
    </row>
    <row r="289" spans="1:8" x14ac:dyDescent="0.25">
      <c r="A289" s="921"/>
      <c r="B289" s="13" t="str">
        <f t="shared" si="121"/>
        <v>Ben Arous</v>
      </c>
      <c r="C289" s="557">
        <v>55.4</v>
      </c>
      <c r="D289" s="539">
        <f t="shared" si="122"/>
        <v>1.1080000000000001</v>
      </c>
      <c r="E289" s="490">
        <v>0.01</v>
      </c>
      <c r="F289" s="216">
        <f t="shared" si="123"/>
        <v>1.1080000000000001E-2</v>
      </c>
      <c r="G289" s="553">
        <f t="shared" si="124"/>
        <v>85000</v>
      </c>
      <c r="H289" s="242">
        <f t="shared" si="125"/>
        <v>941.80000000000007</v>
      </c>
    </row>
    <row r="290" spans="1:8" x14ac:dyDescent="0.25">
      <c r="A290" s="921"/>
      <c r="B290" s="13" t="str">
        <f t="shared" si="121"/>
        <v>Nabeul</v>
      </c>
      <c r="C290" s="557">
        <v>38.82</v>
      </c>
      <c r="D290" s="539">
        <f t="shared" si="122"/>
        <v>0.77639999999999998</v>
      </c>
      <c r="E290" s="490">
        <v>0.01</v>
      </c>
      <c r="F290" s="216">
        <f t="shared" si="123"/>
        <v>7.7640000000000001E-3</v>
      </c>
      <c r="G290" s="553">
        <f t="shared" si="124"/>
        <v>85000</v>
      </c>
      <c r="H290" s="242">
        <f t="shared" si="125"/>
        <v>659.94</v>
      </c>
    </row>
    <row r="291" spans="1:8" x14ac:dyDescent="0.25">
      <c r="A291" s="921"/>
      <c r="B291" s="13" t="str">
        <f t="shared" si="121"/>
        <v>Bizerte</v>
      </c>
      <c r="C291" s="557">
        <v>39.9</v>
      </c>
      <c r="D291" s="539">
        <f t="shared" si="122"/>
        <v>0.79800000000000004</v>
      </c>
      <c r="E291" s="490">
        <v>0.01</v>
      </c>
      <c r="F291" s="216">
        <f t="shared" si="123"/>
        <v>7.980000000000001E-3</v>
      </c>
      <c r="G291" s="553">
        <f t="shared" si="124"/>
        <v>85000</v>
      </c>
      <c r="H291" s="242">
        <f t="shared" si="125"/>
        <v>678.30000000000007</v>
      </c>
    </row>
    <row r="292" spans="1:8" x14ac:dyDescent="0.25">
      <c r="A292" s="921"/>
      <c r="B292" s="13" t="str">
        <f t="shared" si="121"/>
        <v>Zaghouan</v>
      </c>
      <c r="C292" s="557">
        <v>82.94</v>
      </c>
      <c r="D292" s="539">
        <f t="shared" si="122"/>
        <v>1.6588000000000001</v>
      </c>
      <c r="E292" s="490">
        <v>0.01</v>
      </c>
      <c r="F292" s="216">
        <f t="shared" si="123"/>
        <v>1.6588000000000002E-2</v>
      </c>
      <c r="G292" s="553">
        <f t="shared" si="124"/>
        <v>85000</v>
      </c>
      <c r="H292" s="242">
        <f t="shared" si="125"/>
        <v>1409.9800000000002</v>
      </c>
    </row>
    <row r="293" spans="1:8" x14ac:dyDescent="0.25">
      <c r="A293" s="921"/>
      <c r="B293" s="13" t="str">
        <f t="shared" si="121"/>
        <v>Béja</v>
      </c>
      <c r="C293" s="557">
        <v>1</v>
      </c>
      <c r="D293" s="539">
        <f t="shared" si="122"/>
        <v>0.02</v>
      </c>
      <c r="E293" s="490">
        <v>0.01</v>
      </c>
      <c r="F293" s="216">
        <f t="shared" si="123"/>
        <v>2.0000000000000001E-4</v>
      </c>
      <c r="G293" s="553">
        <f t="shared" si="124"/>
        <v>85000</v>
      </c>
      <c r="H293" s="242">
        <f t="shared" si="125"/>
        <v>17</v>
      </c>
    </row>
    <row r="294" spans="1:8" x14ac:dyDescent="0.25">
      <c r="A294" s="921"/>
      <c r="B294" s="13" t="str">
        <f t="shared" si="121"/>
        <v>Jendouba</v>
      </c>
      <c r="C294" s="557">
        <v>12.3</v>
      </c>
      <c r="D294" s="539">
        <f t="shared" si="122"/>
        <v>0.24600000000000002</v>
      </c>
      <c r="E294" s="490"/>
      <c r="F294" s="216">
        <f t="shared" si="123"/>
        <v>0</v>
      </c>
      <c r="G294" s="553">
        <f t="shared" si="124"/>
        <v>85000</v>
      </c>
      <c r="H294" s="242">
        <f t="shared" si="125"/>
        <v>0</v>
      </c>
    </row>
    <row r="295" spans="1:8" x14ac:dyDescent="0.25">
      <c r="A295" s="921"/>
      <c r="B295" s="13" t="str">
        <f t="shared" si="121"/>
        <v>Le Kef</v>
      </c>
      <c r="C295" s="557">
        <v>0</v>
      </c>
      <c r="D295" s="539">
        <f t="shared" si="122"/>
        <v>0</v>
      </c>
      <c r="E295" s="490">
        <v>0.01</v>
      </c>
      <c r="F295" s="216">
        <f t="shared" si="123"/>
        <v>0</v>
      </c>
      <c r="G295" s="553">
        <f t="shared" si="124"/>
        <v>85000</v>
      </c>
      <c r="H295" s="242">
        <f t="shared" si="125"/>
        <v>0</v>
      </c>
    </row>
    <row r="296" spans="1:8" x14ac:dyDescent="0.25">
      <c r="A296" s="921"/>
      <c r="B296" s="13" t="str">
        <f t="shared" si="121"/>
        <v>Siliana</v>
      </c>
      <c r="C296" s="557">
        <v>18</v>
      </c>
      <c r="D296" s="539">
        <f t="shared" si="122"/>
        <v>0.36</v>
      </c>
      <c r="E296" s="490">
        <v>0.01</v>
      </c>
      <c r="F296" s="216">
        <f t="shared" si="123"/>
        <v>3.5999999999999999E-3</v>
      </c>
      <c r="G296" s="553">
        <f t="shared" si="124"/>
        <v>85000</v>
      </c>
      <c r="H296" s="242">
        <f t="shared" si="125"/>
        <v>306</v>
      </c>
    </row>
    <row r="297" spans="1:8" x14ac:dyDescent="0.25">
      <c r="A297" s="921"/>
      <c r="B297" s="13" t="str">
        <f t="shared" si="121"/>
        <v>Sousse</v>
      </c>
      <c r="C297" s="557">
        <v>0</v>
      </c>
      <c r="D297" s="539">
        <f t="shared" si="122"/>
        <v>0</v>
      </c>
      <c r="E297" s="490">
        <v>0.01</v>
      </c>
      <c r="F297" s="216">
        <f t="shared" si="123"/>
        <v>0</v>
      </c>
      <c r="G297" s="553">
        <f t="shared" si="124"/>
        <v>85000</v>
      </c>
      <c r="H297" s="242">
        <f t="shared" si="125"/>
        <v>0</v>
      </c>
    </row>
    <row r="298" spans="1:8" x14ac:dyDescent="0.25">
      <c r="A298" s="921"/>
      <c r="B298" s="13" t="str">
        <f t="shared" si="121"/>
        <v>Monastir</v>
      </c>
      <c r="C298" s="557">
        <v>0</v>
      </c>
      <c r="D298" s="539">
        <f t="shared" si="122"/>
        <v>0</v>
      </c>
      <c r="E298" s="490">
        <v>0.01</v>
      </c>
      <c r="F298" s="216">
        <f t="shared" si="123"/>
        <v>0</v>
      </c>
      <c r="G298" s="553">
        <f t="shared" si="124"/>
        <v>85000</v>
      </c>
      <c r="H298" s="242">
        <f t="shared" si="125"/>
        <v>0</v>
      </c>
    </row>
    <row r="299" spans="1:8" x14ac:dyDescent="0.25">
      <c r="A299" s="921"/>
      <c r="B299" s="13" t="str">
        <f t="shared" si="121"/>
        <v>Mahdia</v>
      </c>
      <c r="C299" s="557">
        <v>0</v>
      </c>
      <c r="D299" s="539">
        <f t="shared" si="122"/>
        <v>0</v>
      </c>
      <c r="E299" s="490">
        <v>0.01</v>
      </c>
      <c r="F299" s="216">
        <f t="shared" si="123"/>
        <v>0</v>
      </c>
      <c r="G299" s="553">
        <f t="shared" si="124"/>
        <v>85000</v>
      </c>
      <c r="H299" s="242">
        <f t="shared" si="125"/>
        <v>0</v>
      </c>
    </row>
    <row r="300" spans="1:8" x14ac:dyDescent="0.25">
      <c r="A300" s="921"/>
      <c r="B300" s="13" t="str">
        <f t="shared" si="121"/>
        <v>Sfax</v>
      </c>
      <c r="C300" s="557">
        <v>0</v>
      </c>
      <c r="D300" s="539">
        <f t="shared" si="122"/>
        <v>0</v>
      </c>
      <c r="E300" s="490">
        <v>0.01</v>
      </c>
      <c r="F300" s="216">
        <f t="shared" si="123"/>
        <v>0</v>
      </c>
      <c r="G300" s="553">
        <f t="shared" si="124"/>
        <v>85000</v>
      </c>
      <c r="H300" s="242">
        <f t="shared" si="125"/>
        <v>0</v>
      </c>
    </row>
    <row r="301" spans="1:8" x14ac:dyDescent="0.25">
      <c r="A301" s="921"/>
      <c r="B301" s="13" t="str">
        <f t="shared" si="121"/>
        <v>Kairouan</v>
      </c>
      <c r="C301" s="557">
        <v>0</v>
      </c>
      <c r="D301" s="539">
        <f t="shared" si="122"/>
        <v>0</v>
      </c>
      <c r="E301" s="490">
        <v>0.01</v>
      </c>
      <c r="F301" s="216">
        <f t="shared" si="123"/>
        <v>0</v>
      </c>
      <c r="G301" s="553">
        <f t="shared" si="124"/>
        <v>85000</v>
      </c>
      <c r="H301" s="242">
        <f t="shared" si="125"/>
        <v>0</v>
      </c>
    </row>
    <row r="302" spans="1:8" x14ac:dyDescent="0.25">
      <c r="A302" s="921"/>
      <c r="B302" s="13" t="str">
        <f t="shared" si="121"/>
        <v>Kasserine</v>
      </c>
      <c r="C302" s="557">
        <v>0</v>
      </c>
      <c r="D302" s="539">
        <f t="shared" si="122"/>
        <v>0</v>
      </c>
      <c r="E302" s="490"/>
      <c r="F302" s="216">
        <f t="shared" si="123"/>
        <v>0</v>
      </c>
      <c r="G302" s="553">
        <f t="shared" si="124"/>
        <v>85000</v>
      </c>
      <c r="H302" s="242">
        <f t="shared" si="125"/>
        <v>0</v>
      </c>
    </row>
    <row r="303" spans="1:8" x14ac:dyDescent="0.25">
      <c r="A303" s="921"/>
      <c r="B303" s="13" t="str">
        <f t="shared" si="121"/>
        <v>Sidi Bouzid</v>
      </c>
      <c r="C303" s="557">
        <v>0</v>
      </c>
      <c r="D303" s="539">
        <f t="shared" si="122"/>
        <v>0</v>
      </c>
      <c r="E303" s="490">
        <v>0.01</v>
      </c>
      <c r="F303" s="216">
        <f t="shared" si="123"/>
        <v>0</v>
      </c>
      <c r="G303" s="553">
        <f t="shared" si="124"/>
        <v>85000</v>
      </c>
      <c r="H303" s="242">
        <f t="shared" si="125"/>
        <v>0</v>
      </c>
    </row>
    <row r="304" spans="1:8" x14ac:dyDescent="0.25">
      <c r="A304" s="921"/>
      <c r="B304" s="13" t="str">
        <f t="shared" si="121"/>
        <v>Gafsa</v>
      </c>
      <c r="C304" s="557">
        <v>0</v>
      </c>
      <c r="D304" s="539">
        <f t="shared" si="122"/>
        <v>0</v>
      </c>
      <c r="E304" s="490">
        <v>0.01</v>
      </c>
      <c r="F304" s="216">
        <f t="shared" si="123"/>
        <v>0</v>
      </c>
      <c r="G304" s="553">
        <f t="shared" si="124"/>
        <v>85000</v>
      </c>
      <c r="H304" s="242">
        <f t="shared" si="125"/>
        <v>0</v>
      </c>
    </row>
    <row r="305" spans="1:12" x14ac:dyDescent="0.25">
      <c r="A305" s="921"/>
      <c r="B305" s="13" t="str">
        <f t="shared" si="121"/>
        <v>Gabès</v>
      </c>
      <c r="C305" s="557">
        <v>0</v>
      </c>
      <c r="D305" s="539">
        <f t="shared" si="122"/>
        <v>0</v>
      </c>
      <c r="E305" s="490">
        <v>0.01</v>
      </c>
      <c r="F305" s="216">
        <f t="shared" si="123"/>
        <v>0</v>
      </c>
      <c r="G305" s="553">
        <f t="shared" si="124"/>
        <v>85000</v>
      </c>
      <c r="H305" s="242">
        <f t="shared" si="125"/>
        <v>0</v>
      </c>
    </row>
    <row r="306" spans="1:12" x14ac:dyDescent="0.25">
      <c r="A306" s="921"/>
      <c r="B306" s="13" t="str">
        <f t="shared" si="121"/>
        <v>Médenine</v>
      </c>
      <c r="C306" s="557">
        <v>0</v>
      </c>
      <c r="D306" s="539">
        <f t="shared" si="122"/>
        <v>0</v>
      </c>
      <c r="E306" s="490"/>
      <c r="F306" s="216">
        <f t="shared" si="123"/>
        <v>0</v>
      </c>
      <c r="G306" s="553">
        <f t="shared" si="124"/>
        <v>85000</v>
      </c>
      <c r="H306" s="242">
        <f t="shared" si="125"/>
        <v>0</v>
      </c>
    </row>
    <row r="307" spans="1:12" x14ac:dyDescent="0.25">
      <c r="A307" s="921"/>
      <c r="B307" s="13" t="str">
        <f t="shared" si="121"/>
        <v>Tataouine</v>
      </c>
      <c r="C307" s="557">
        <v>0</v>
      </c>
      <c r="D307" s="539">
        <f t="shared" si="122"/>
        <v>0</v>
      </c>
      <c r="E307" s="490"/>
      <c r="F307" s="216">
        <f t="shared" si="123"/>
        <v>0</v>
      </c>
      <c r="G307" s="553">
        <f t="shared" si="124"/>
        <v>85000</v>
      </c>
      <c r="H307" s="242">
        <f t="shared" si="125"/>
        <v>0</v>
      </c>
    </row>
    <row r="308" spans="1:12" x14ac:dyDescent="0.25">
      <c r="A308" s="921"/>
      <c r="B308" s="13" t="str">
        <f t="shared" si="121"/>
        <v>Tozeur</v>
      </c>
      <c r="C308" s="557">
        <v>0</v>
      </c>
      <c r="D308" s="539">
        <f t="shared" si="122"/>
        <v>0</v>
      </c>
      <c r="E308" s="490">
        <v>0.01</v>
      </c>
      <c r="F308" s="216">
        <f t="shared" si="123"/>
        <v>0</v>
      </c>
      <c r="G308" s="553">
        <f t="shared" si="124"/>
        <v>85000</v>
      </c>
      <c r="H308" s="242">
        <f t="shared" si="125"/>
        <v>0</v>
      </c>
    </row>
    <row r="309" spans="1:12" x14ac:dyDescent="0.25">
      <c r="A309" s="921"/>
      <c r="B309" s="13" t="str">
        <f t="shared" si="121"/>
        <v>Kébili</v>
      </c>
      <c r="C309" s="557">
        <v>0</v>
      </c>
      <c r="D309" s="539">
        <f t="shared" si="122"/>
        <v>0</v>
      </c>
      <c r="E309" s="490"/>
      <c r="F309" s="216">
        <f t="shared" si="123"/>
        <v>0</v>
      </c>
      <c r="G309" s="553">
        <f t="shared" si="124"/>
        <v>85000</v>
      </c>
      <c r="H309" s="242">
        <f t="shared" si="125"/>
        <v>0</v>
      </c>
    </row>
    <row r="310" spans="1:12" x14ac:dyDescent="0.25">
      <c r="A310" s="921"/>
      <c r="B310" s="15" t="s">
        <v>163</v>
      </c>
      <c r="C310" s="87">
        <f>SUM(C286:C309)</f>
        <v>564.3599999999999</v>
      </c>
      <c r="D310" s="47">
        <f>SUM(D286:D309)</f>
        <v>11.2872</v>
      </c>
      <c r="E310" s="542">
        <f>SUMPRODUCT(D286:D309,E286:E309)/D310</f>
        <v>9.78205400807995E-3</v>
      </c>
      <c r="F310" s="47">
        <f>SUM(F286:F309)</f>
        <v>0.11041200000000002</v>
      </c>
      <c r="G310" s="564">
        <f t="shared" si="124"/>
        <v>85000</v>
      </c>
      <c r="H310" s="214">
        <f>SUM(H286:H309)</f>
        <v>9385.02</v>
      </c>
      <c r="I310" s="387">
        <f>H310/B213</f>
        <v>6.9891191896600884E-8</v>
      </c>
      <c r="K310" s="24">
        <f>H310/L2</f>
        <v>3263.2197496522949</v>
      </c>
      <c r="L310" s="76"/>
    </row>
    <row r="315" spans="1:12" x14ac:dyDescent="0.25">
      <c r="A315" s="3" t="s">
        <v>1062</v>
      </c>
    </row>
    <row r="317" spans="1:12" ht="105" x14ac:dyDescent="0.25">
      <c r="A317" s="364" t="s">
        <v>1008</v>
      </c>
      <c r="B317" s="364" t="s">
        <v>101</v>
      </c>
      <c r="C317" s="347" t="s">
        <v>1032</v>
      </c>
      <c r="D317" s="348" t="s">
        <v>1063</v>
      </c>
      <c r="E317" s="347" t="s">
        <v>1064</v>
      </c>
      <c r="F317" s="347" t="s">
        <v>1065</v>
      </c>
    </row>
    <row r="318" spans="1:12" x14ac:dyDescent="0.25">
      <c r="A318" s="921" t="s">
        <v>1061</v>
      </c>
      <c r="B318" s="13" t="str">
        <f>B286</f>
        <v>Tunis</v>
      </c>
      <c r="C318" s="237">
        <f>C286</f>
        <v>34.58</v>
      </c>
      <c r="D318" s="117"/>
      <c r="E318" s="117"/>
      <c r="F318" s="14">
        <f>E318*D318</f>
        <v>0</v>
      </c>
    </row>
    <row r="319" spans="1:12" x14ac:dyDescent="0.25">
      <c r="A319" s="921"/>
      <c r="B319" s="13" t="str">
        <f t="shared" ref="B319:C319" si="126">B287</f>
        <v>Ariana</v>
      </c>
      <c r="C319" s="237">
        <f t="shared" si="126"/>
        <v>39.15</v>
      </c>
      <c r="D319" s="117"/>
      <c r="E319" s="117"/>
      <c r="F319" s="14">
        <f t="shared" ref="F319:F341" si="127">E319*D319</f>
        <v>0</v>
      </c>
    </row>
    <row r="320" spans="1:12" x14ac:dyDescent="0.25">
      <c r="A320" s="921"/>
      <c r="B320" s="13" t="str">
        <f t="shared" ref="B320:C320" si="128">B288</f>
        <v>La Manouba</v>
      </c>
      <c r="C320" s="237">
        <f t="shared" si="128"/>
        <v>242.27</v>
      </c>
      <c r="D320" s="117"/>
      <c r="E320" s="117"/>
      <c r="F320" s="14">
        <f t="shared" si="127"/>
        <v>0</v>
      </c>
    </row>
    <row r="321" spans="1:6" x14ac:dyDescent="0.25">
      <c r="A321" s="921"/>
      <c r="B321" s="13" t="str">
        <f t="shared" ref="B321:C321" si="129">B289</f>
        <v>Ben Arous</v>
      </c>
      <c r="C321" s="237">
        <f t="shared" si="129"/>
        <v>55.4</v>
      </c>
      <c r="D321" s="117"/>
      <c r="E321" s="117"/>
      <c r="F321" s="14">
        <f t="shared" si="127"/>
        <v>0</v>
      </c>
    </row>
    <row r="322" spans="1:6" x14ac:dyDescent="0.25">
      <c r="A322" s="921"/>
      <c r="B322" s="13" t="str">
        <f t="shared" ref="B322:C322" si="130">B290</f>
        <v>Nabeul</v>
      </c>
      <c r="C322" s="237">
        <f t="shared" si="130"/>
        <v>38.82</v>
      </c>
      <c r="D322" s="117"/>
      <c r="E322" s="117"/>
      <c r="F322" s="14">
        <f t="shared" si="127"/>
        <v>0</v>
      </c>
    </row>
    <row r="323" spans="1:6" x14ac:dyDescent="0.25">
      <c r="A323" s="921"/>
      <c r="B323" s="13" t="str">
        <f t="shared" ref="B323:C323" si="131">B291</f>
        <v>Bizerte</v>
      </c>
      <c r="C323" s="237">
        <f t="shared" si="131"/>
        <v>39.9</v>
      </c>
      <c r="D323" s="117"/>
      <c r="E323" s="117"/>
      <c r="F323" s="14">
        <f t="shared" si="127"/>
        <v>0</v>
      </c>
    </row>
    <row r="324" spans="1:6" x14ac:dyDescent="0.25">
      <c r="A324" s="921"/>
      <c r="B324" s="13" t="str">
        <f t="shared" ref="B324:C324" si="132">B292</f>
        <v>Zaghouan</v>
      </c>
      <c r="C324" s="237">
        <f t="shared" si="132"/>
        <v>82.94</v>
      </c>
      <c r="D324" s="117"/>
      <c r="E324" s="117"/>
      <c r="F324" s="14">
        <f t="shared" si="127"/>
        <v>0</v>
      </c>
    </row>
    <row r="325" spans="1:6" x14ac:dyDescent="0.25">
      <c r="A325" s="921"/>
      <c r="B325" s="13" t="str">
        <f t="shared" ref="B325:C325" si="133">B293</f>
        <v>Béja</v>
      </c>
      <c r="C325" s="237">
        <f t="shared" si="133"/>
        <v>1</v>
      </c>
      <c r="D325" s="117"/>
      <c r="E325" s="117"/>
      <c r="F325" s="14">
        <f t="shared" si="127"/>
        <v>0</v>
      </c>
    </row>
    <row r="326" spans="1:6" x14ac:dyDescent="0.25">
      <c r="A326" s="921"/>
      <c r="B326" s="13" t="str">
        <f t="shared" ref="B326:C326" si="134">B294</f>
        <v>Jendouba</v>
      </c>
      <c r="C326" s="237">
        <f t="shared" si="134"/>
        <v>12.3</v>
      </c>
      <c r="D326" s="117"/>
      <c r="E326" s="117"/>
      <c r="F326" s="14">
        <f t="shared" si="127"/>
        <v>0</v>
      </c>
    </row>
    <row r="327" spans="1:6" x14ac:dyDescent="0.25">
      <c r="A327" s="921"/>
      <c r="B327" s="13" t="str">
        <f t="shared" ref="B327:C327" si="135">B295</f>
        <v>Le Kef</v>
      </c>
      <c r="C327" s="237">
        <f t="shared" si="135"/>
        <v>0</v>
      </c>
      <c r="D327" s="117"/>
      <c r="E327" s="117"/>
      <c r="F327" s="14">
        <f t="shared" si="127"/>
        <v>0</v>
      </c>
    </row>
    <row r="328" spans="1:6" x14ac:dyDescent="0.25">
      <c r="A328" s="921"/>
      <c r="B328" s="13" t="str">
        <f t="shared" ref="B328:C328" si="136">B296</f>
        <v>Siliana</v>
      </c>
      <c r="C328" s="237">
        <f t="shared" si="136"/>
        <v>18</v>
      </c>
      <c r="D328" s="117"/>
      <c r="E328" s="117"/>
      <c r="F328" s="14">
        <f t="shared" si="127"/>
        <v>0</v>
      </c>
    </row>
    <row r="329" spans="1:6" x14ac:dyDescent="0.25">
      <c r="A329" s="921"/>
      <c r="B329" s="13" t="str">
        <f t="shared" ref="B329:C329" si="137">B297</f>
        <v>Sousse</v>
      </c>
      <c r="C329" s="237">
        <f t="shared" si="137"/>
        <v>0</v>
      </c>
      <c r="D329" s="117"/>
      <c r="E329" s="117"/>
      <c r="F329" s="14">
        <f t="shared" si="127"/>
        <v>0</v>
      </c>
    </row>
    <row r="330" spans="1:6" x14ac:dyDescent="0.25">
      <c r="A330" s="921"/>
      <c r="B330" s="13" t="str">
        <f t="shared" ref="B330:C330" si="138">B298</f>
        <v>Monastir</v>
      </c>
      <c r="C330" s="237">
        <f t="shared" si="138"/>
        <v>0</v>
      </c>
      <c r="D330" s="117"/>
      <c r="E330" s="117"/>
      <c r="F330" s="14">
        <f t="shared" si="127"/>
        <v>0</v>
      </c>
    </row>
    <row r="331" spans="1:6" x14ac:dyDescent="0.25">
      <c r="A331" s="921"/>
      <c r="B331" s="13" t="str">
        <f t="shared" ref="B331:C331" si="139">B299</f>
        <v>Mahdia</v>
      </c>
      <c r="C331" s="237">
        <f t="shared" si="139"/>
        <v>0</v>
      </c>
      <c r="D331" s="117"/>
      <c r="E331" s="117"/>
      <c r="F331" s="14">
        <f t="shared" si="127"/>
        <v>0</v>
      </c>
    </row>
    <row r="332" spans="1:6" x14ac:dyDescent="0.25">
      <c r="A332" s="921"/>
      <c r="B332" s="13" t="str">
        <f t="shared" ref="B332:C332" si="140">B300</f>
        <v>Sfax</v>
      </c>
      <c r="C332" s="237">
        <f t="shared" si="140"/>
        <v>0</v>
      </c>
      <c r="D332" s="117"/>
      <c r="E332" s="117"/>
      <c r="F332" s="14">
        <f t="shared" si="127"/>
        <v>0</v>
      </c>
    </row>
    <row r="333" spans="1:6" x14ac:dyDescent="0.25">
      <c r="A333" s="921"/>
      <c r="B333" s="13" t="str">
        <f t="shared" ref="B333:C333" si="141">B301</f>
        <v>Kairouan</v>
      </c>
      <c r="C333" s="237">
        <f t="shared" si="141"/>
        <v>0</v>
      </c>
      <c r="D333" s="117"/>
      <c r="E333" s="117"/>
      <c r="F333" s="14">
        <f t="shared" si="127"/>
        <v>0</v>
      </c>
    </row>
    <row r="334" spans="1:6" x14ac:dyDescent="0.25">
      <c r="A334" s="921"/>
      <c r="B334" s="13" t="str">
        <f t="shared" ref="B334:C334" si="142">B302</f>
        <v>Kasserine</v>
      </c>
      <c r="C334" s="237">
        <f t="shared" si="142"/>
        <v>0</v>
      </c>
      <c r="D334" s="117"/>
      <c r="E334" s="117"/>
      <c r="F334" s="14">
        <f t="shared" si="127"/>
        <v>0</v>
      </c>
    </row>
    <row r="335" spans="1:6" x14ac:dyDescent="0.25">
      <c r="A335" s="921"/>
      <c r="B335" s="13" t="str">
        <f t="shared" ref="B335:C335" si="143">B303</f>
        <v>Sidi Bouzid</v>
      </c>
      <c r="C335" s="237">
        <f t="shared" si="143"/>
        <v>0</v>
      </c>
      <c r="D335" s="117"/>
      <c r="E335" s="117"/>
      <c r="F335" s="14">
        <f t="shared" si="127"/>
        <v>0</v>
      </c>
    </row>
    <row r="336" spans="1:6" x14ac:dyDescent="0.25">
      <c r="A336" s="921"/>
      <c r="B336" s="13" t="str">
        <f t="shared" ref="B336:C336" si="144">B304</f>
        <v>Gafsa</v>
      </c>
      <c r="C336" s="237">
        <f t="shared" si="144"/>
        <v>0</v>
      </c>
      <c r="D336" s="117"/>
      <c r="E336" s="117"/>
      <c r="F336" s="14">
        <f t="shared" si="127"/>
        <v>0</v>
      </c>
    </row>
    <row r="337" spans="1:12" x14ac:dyDescent="0.25">
      <c r="A337" s="921"/>
      <c r="B337" s="13" t="str">
        <f t="shared" ref="B337:C337" si="145">B305</f>
        <v>Gabès</v>
      </c>
      <c r="C337" s="237">
        <f t="shared" si="145"/>
        <v>0</v>
      </c>
      <c r="D337" s="117"/>
      <c r="E337" s="117"/>
      <c r="F337" s="14">
        <f t="shared" si="127"/>
        <v>0</v>
      </c>
    </row>
    <row r="338" spans="1:12" x14ac:dyDescent="0.25">
      <c r="A338" s="921"/>
      <c r="B338" s="13" t="str">
        <f t="shared" ref="B338:C338" si="146">B306</f>
        <v>Médenine</v>
      </c>
      <c r="C338" s="237">
        <f t="shared" si="146"/>
        <v>0</v>
      </c>
      <c r="D338" s="117"/>
      <c r="E338" s="117"/>
      <c r="F338" s="14">
        <f t="shared" si="127"/>
        <v>0</v>
      </c>
    </row>
    <row r="339" spans="1:12" x14ac:dyDescent="0.25">
      <c r="A339" s="921"/>
      <c r="B339" s="13" t="str">
        <f t="shared" ref="B339:C339" si="147">B307</f>
        <v>Tataouine</v>
      </c>
      <c r="C339" s="237">
        <f t="shared" si="147"/>
        <v>0</v>
      </c>
      <c r="D339" s="117"/>
      <c r="E339" s="117"/>
      <c r="F339" s="14">
        <f t="shared" si="127"/>
        <v>0</v>
      </c>
    </row>
    <row r="340" spans="1:12" x14ac:dyDescent="0.25">
      <c r="A340" s="921"/>
      <c r="B340" s="13" t="str">
        <f t="shared" ref="B340:C340" si="148">B308</f>
        <v>Tozeur</v>
      </c>
      <c r="C340" s="237">
        <f t="shared" si="148"/>
        <v>0</v>
      </c>
      <c r="D340" s="117"/>
      <c r="E340" s="117"/>
      <c r="F340" s="14">
        <f t="shared" si="127"/>
        <v>0</v>
      </c>
    </row>
    <row r="341" spans="1:12" x14ac:dyDescent="0.25">
      <c r="A341" s="921"/>
      <c r="B341" s="13" t="str">
        <f t="shared" ref="B341:C341" si="149">B309</f>
        <v>Kébili</v>
      </c>
      <c r="C341" s="237">
        <f t="shared" si="149"/>
        <v>0</v>
      </c>
      <c r="D341" s="117"/>
      <c r="E341" s="117"/>
      <c r="F341" s="14">
        <f t="shared" si="127"/>
        <v>0</v>
      </c>
    </row>
    <row r="342" spans="1:12" x14ac:dyDescent="0.25">
      <c r="A342" s="921"/>
      <c r="B342" s="15" t="s">
        <v>163</v>
      </c>
      <c r="C342" s="357">
        <f t="shared" ref="C342" si="150">C310</f>
        <v>564.3599999999999</v>
      </c>
      <c r="D342" s="47">
        <f>SUMPRODUCT(C318:C341,D318:D341)/C342</f>
        <v>0</v>
      </c>
      <c r="E342" s="47">
        <f>SUMPRODUCT(C318:C341,E318:E341)/C342</f>
        <v>0</v>
      </c>
      <c r="F342" s="47">
        <f>SUM(F318:F341)</f>
        <v>0</v>
      </c>
    </row>
    <row r="343" spans="1:12" x14ac:dyDescent="0.25">
      <c r="J343" t="s">
        <v>1004</v>
      </c>
      <c r="L343" s="93">
        <f>L2</f>
        <v>2.8759999999999999</v>
      </c>
    </row>
    <row r="344" spans="1:12" x14ac:dyDescent="0.25">
      <c r="A344" t="s">
        <v>372</v>
      </c>
      <c r="C344" s="41">
        <f>B213</f>
        <v>134280440000</v>
      </c>
      <c r="D344" s="41"/>
      <c r="E344" s="41"/>
    </row>
    <row r="345" spans="1:12" x14ac:dyDescent="0.25">
      <c r="A345" t="s">
        <v>373</v>
      </c>
      <c r="C345" s="41">
        <f>B214</f>
        <v>46690000000</v>
      </c>
      <c r="D345" s="41"/>
      <c r="E345" s="41"/>
    </row>
    <row r="346" spans="1:12" ht="18.75" x14ac:dyDescent="0.3">
      <c r="A346" s="12" t="s">
        <v>1066</v>
      </c>
    </row>
    <row r="347" spans="1:12" x14ac:dyDescent="0.25">
      <c r="A347" s="756"/>
      <c r="B347" s="822" t="s">
        <v>374</v>
      </c>
      <c r="C347" s="884"/>
      <c r="D347" s="884"/>
      <c r="E347" s="823"/>
      <c r="F347" s="16" t="s">
        <v>367</v>
      </c>
    </row>
    <row r="348" spans="1:12" ht="105" x14ac:dyDescent="0.25">
      <c r="A348" s="756"/>
      <c r="B348" s="16" t="s">
        <v>1067</v>
      </c>
      <c r="C348" s="16" t="s">
        <v>1068</v>
      </c>
      <c r="D348" s="16" t="s">
        <v>1069</v>
      </c>
      <c r="E348" s="16" t="s">
        <v>1070</v>
      </c>
      <c r="F348" s="16"/>
    </row>
    <row r="349" spans="1:12" x14ac:dyDescent="0.25">
      <c r="A349" s="13" t="str">
        <f>B286</f>
        <v>Tunis</v>
      </c>
      <c r="B349" s="97">
        <f>H286</f>
        <v>587.86</v>
      </c>
      <c r="C349" s="97">
        <f>F318</f>
        <v>0</v>
      </c>
      <c r="D349" s="97">
        <f t="shared" ref="D349:D373" si="151">SUM(B349:C349)</f>
        <v>587.86</v>
      </c>
      <c r="E349" s="48">
        <f>D349/$L$343</f>
        <v>204.40194714881781</v>
      </c>
      <c r="F349" s="42">
        <f t="shared" ref="F349:F373" si="152">E349/$C$345</f>
        <v>4.3778527982184157E-9</v>
      </c>
    </row>
    <row r="350" spans="1:12" x14ac:dyDescent="0.25">
      <c r="A350" s="13" t="str">
        <f>B287</f>
        <v>Ariana</v>
      </c>
      <c r="B350" s="97">
        <f t="shared" ref="B350:B356" si="153">H287</f>
        <v>665.55000000000007</v>
      </c>
      <c r="C350" s="97">
        <f t="shared" ref="C350:C356" si="154">F319</f>
        <v>0</v>
      </c>
      <c r="D350" s="97">
        <f t="shared" ref="D350:D356" si="155">SUM(B350:C350)</f>
        <v>665.55000000000007</v>
      </c>
      <c r="E350" s="48">
        <f t="shared" ref="E350:E372" si="156">D350/$L$343</f>
        <v>231.41515994436722</v>
      </c>
      <c r="F350" s="42">
        <f t="shared" ref="F350:F356" si="157">E350/$C$345</f>
        <v>4.9564180754844122E-9</v>
      </c>
    </row>
    <row r="351" spans="1:12" x14ac:dyDescent="0.25">
      <c r="A351" s="13"/>
      <c r="B351" s="97">
        <f t="shared" si="153"/>
        <v>4118.59</v>
      </c>
      <c r="C351" s="97">
        <f t="shared" si="154"/>
        <v>0</v>
      </c>
      <c r="D351" s="97">
        <f t="shared" si="155"/>
        <v>4118.59</v>
      </c>
      <c r="E351" s="48">
        <f t="shared" si="156"/>
        <v>1432.0549374130737</v>
      </c>
      <c r="F351" s="42">
        <f t="shared" si="157"/>
        <v>3.0671555738125374E-8</v>
      </c>
    </row>
    <row r="352" spans="1:12" x14ac:dyDescent="0.25">
      <c r="A352" s="13"/>
      <c r="B352" s="97">
        <f t="shared" si="153"/>
        <v>941.80000000000007</v>
      </c>
      <c r="C352" s="97">
        <f t="shared" si="154"/>
        <v>0</v>
      </c>
      <c r="D352" s="97">
        <f t="shared" si="155"/>
        <v>941.80000000000007</v>
      </c>
      <c r="E352" s="48">
        <f t="shared" si="156"/>
        <v>327.46870653685676</v>
      </c>
      <c r="F352" s="42">
        <f t="shared" si="157"/>
        <v>7.013679728782539E-9</v>
      </c>
    </row>
    <row r="353" spans="1:6" x14ac:dyDescent="0.25">
      <c r="A353" s="13"/>
      <c r="B353" s="97">
        <f t="shared" si="153"/>
        <v>659.94</v>
      </c>
      <c r="C353" s="97">
        <f t="shared" si="154"/>
        <v>0</v>
      </c>
      <c r="D353" s="97">
        <f t="shared" si="155"/>
        <v>659.94</v>
      </c>
      <c r="E353" s="48">
        <f t="shared" si="156"/>
        <v>229.46453407510435</v>
      </c>
      <c r="F353" s="42">
        <f t="shared" si="157"/>
        <v>4.91463983883282E-9</v>
      </c>
    </row>
    <row r="354" spans="1:6" x14ac:dyDescent="0.25">
      <c r="A354" s="13"/>
      <c r="B354" s="97">
        <f t="shared" si="153"/>
        <v>678.30000000000007</v>
      </c>
      <c r="C354" s="97">
        <f t="shared" si="154"/>
        <v>0</v>
      </c>
      <c r="D354" s="97">
        <f t="shared" si="155"/>
        <v>678.30000000000007</v>
      </c>
      <c r="E354" s="48">
        <f t="shared" si="156"/>
        <v>235.84840055632827</v>
      </c>
      <c r="F354" s="42">
        <f t="shared" si="157"/>
        <v>5.0513686133289411E-9</v>
      </c>
    </row>
    <row r="355" spans="1:6" x14ac:dyDescent="0.25">
      <c r="A355" s="13"/>
      <c r="B355" s="97">
        <f t="shared" si="153"/>
        <v>1409.9800000000002</v>
      </c>
      <c r="C355" s="97">
        <f t="shared" si="154"/>
        <v>0</v>
      </c>
      <c r="D355" s="97">
        <f t="shared" si="155"/>
        <v>1409.9800000000002</v>
      </c>
      <c r="E355" s="48">
        <f t="shared" si="156"/>
        <v>490.25730180806687</v>
      </c>
      <c r="F355" s="42">
        <f t="shared" si="157"/>
        <v>1.0500263478433646E-8</v>
      </c>
    </row>
    <row r="356" spans="1:6" x14ac:dyDescent="0.25">
      <c r="A356" s="13"/>
      <c r="B356" s="97">
        <f t="shared" si="153"/>
        <v>17</v>
      </c>
      <c r="C356" s="97">
        <f t="shared" si="154"/>
        <v>0</v>
      </c>
      <c r="D356" s="97">
        <f t="shared" si="155"/>
        <v>17</v>
      </c>
      <c r="E356" s="48">
        <f t="shared" si="156"/>
        <v>5.9109874826147433</v>
      </c>
      <c r="F356" s="42">
        <f t="shared" si="157"/>
        <v>1.2660071712603862E-10</v>
      </c>
    </row>
    <row r="357" spans="1:6" x14ac:dyDescent="0.25">
      <c r="A357" s="13"/>
      <c r="B357" s="97">
        <f t="shared" ref="B357:B372" si="158">H294</f>
        <v>0</v>
      </c>
      <c r="C357" s="97">
        <f t="shared" ref="C357:C372" si="159">F326</f>
        <v>0</v>
      </c>
      <c r="D357" s="97">
        <f t="shared" ref="D357:D372" si="160">SUM(B357:C357)</f>
        <v>0</v>
      </c>
      <c r="E357" s="48">
        <f t="shared" si="156"/>
        <v>0</v>
      </c>
      <c r="F357" s="42">
        <f t="shared" ref="F357:F372" si="161">E357/$C$345</f>
        <v>0</v>
      </c>
    </row>
    <row r="358" spans="1:6" x14ac:dyDescent="0.25">
      <c r="A358" s="13"/>
      <c r="B358" s="97">
        <f t="shared" si="158"/>
        <v>0</v>
      </c>
      <c r="C358" s="97">
        <f t="shared" si="159"/>
        <v>0</v>
      </c>
      <c r="D358" s="97">
        <f t="shared" si="160"/>
        <v>0</v>
      </c>
      <c r="E358" s="48">
        <f t="shared" si="156"/>
        <v>0</v>
      </c>
      <c r="F358" s="42">
        <f t="shared" si="161"/>
        <v>0</v>
      </c>
    </row>
    <row r="359" spans="1:6" x14ac:dyDescent="0.25">
      <c r="A359" s="13"/>
      <c r="B359" s="97">
        <f t="shared" si="158"/>
        <v>306</v>
      </c>
      <c r="C359" s="97">
        <f t="shared" si="159"/>
        <v>0</v>
      </c>
      <c r="D359" s="97">
        <f t="shared" si="160"/>
        <v>306</v>
      </c>
      <c r="E359" s="48">
        <f t="shared" si="156"/>
        <v>106.39777468706538</v>
      </c>
      <c r="F359" s="42">
        <f t="shared" si="161"/>
        <v>2.2788129082686951E-9</v>
      </c>
    </row>
    <row r="360" spans="1:6" x14ac:dyDescent="0.25">
      <c r="A360" s="13"/>
      <c r="B360" s="97">
        <f t="shared" si="158"/>
        <v>0</v>
      </c>
      <c r="C360" s="97">
        <f t="shared" si="159"/>
        <v>0</v>
      </c>
      <c r="D360" s="97">
        <f t="shared" si="160"/>
        <v>0</v>
      </c>
      <c r="E360" s="48">
        <f t="shared" si="156"/>
        <v>0</v>
      </c>
      <c r="F360" s="42">
        <f t="shared" si="161"/>
        <v>0</v>
      </c>
    </row>
    <row r="361" spans="1:6" x14ac:dyDescent="0.25">
      <c r="A361" s="13"/>
      <c r="B361" s="97">
        <f t="shared" si="158"/>
        <v>0</v>
      </c>
      <c r="C361" s="97">
        <f t="shared" si="159"/>
        <v>0</v>
      </c>
      <c r="D361" s="97">
        <f t="shared" si="160"/>
        <v>0</v>
      </c>
      <c r="E361" s="48">
        <f t="shared" si="156"/>
        <v>0</v>
      </c>
      <c r="F361" s="42">
        <f t="shared" si="161"/>
        <v>0</v>
      </c>
    </row>
    <row r="362" spans="1:6" x14ac:dyDescent="0.25">
      <c r="A362" s="13" t="str">
        <f t="shared" ref="A362:A373" si="162">B299</f>
        <v>Mahdia</v>
      </c>
      <c r="B362" s="97">
        <f t="shared" si="158"/>
        <v>0</v>
      </c>
      <c r="C362" s="97">
        <f t="shared" si="159"/>
        <v>0</v>
      </c>
      <c r="D362" s="97">
        <f t="shared" si="160"/>
        <v>0</v>
      </c>
      <c r="E362" s="48">
        <f t="shared" si="156"/>
        <v>0</v>
      </c>
      <c r="F362" s="42">
        <f t="shared" si="161"/>
        <v>0</v>
      </c>
    </row>
    <row r="363" spans="1:6" x14ac:dyDescent="0.25">
      <c r="A363" s="13" t="str">
        <f t="shared" si="162"/>
        <v>Sfax</v>
      </c>
      <c r="B363" s="97">
        <f t="shared" si="158"/>
        <v>0</v>
      </c>
      <c r="C363" s="97">
        <f t="shared" si="159"/>
        <v>0</v>
      </c>
      <c r="D363" s="97">
        <f t="shared" si="160"/>
        <v>0</v>
      </c>
      <c r="E363" s="48">
        <f t="shared" si="156"/>
        <v>0</v>
      </c>
      <c r="F363" s="42">
        <f t="shared" si="161"/>
        <v>0</v>
      </c>
    </row>
    <row r="364" spans="1:6" x14ac:dyDescent="0.25">
      <c r="A364" s="13" t="str">
        <f t="shared" si="162"/>
        <v>Kairouan</v>
      </c>
      <c r="B364" s="97">
        <f t="shared" si="158"/>
        <v>0</v>
      </c>
      <c r="C364" s="97">
        <f t="shared" si="159"/>
        <v>0</v>
      </c>
      <c r="D364" s="97">
        <f t="shared" si="160"/>
        <v>0</v>
      </c>
      <c r="E364" s="48">
        <f t="shared" si="156"/>
        <v>0</v>
      </c>
      <c r="F364" s="42">
        <f t="shared" si="161"/>
        <v>0</v>
      </c>
    </row>
    <row r="365" spans="1:6" x14ac:dyDescent="0.25">
      <c r="A365" s="13" t="str">
        <f t="shared" si="162"/>
        <v>Kasserine</v>
      </c>
      <c r="B365" s="97">
        <f t="shared" si="158"/>
        <v>0</v>
      </c>
      <c r="C365" s="97">
        <f t="shared" si="159"/>
        <v>0</v>
      </c>
      <c r="D365" s="97">
        <f t="shared" si="160"/>
        <v>0</v>
      </c>
      <c r="E365" s="48">
        <f t="shared" si="156"/>
        <v>0</v>
      </c>
      <c r="F365" s="42">
        <f t="shared" si="161"/>
        <v>0</v>
      </c>
    </row>
    <row r="366" spans="1:6" x14ac:dyDescent="0.25">
      <c r="A366" s="13" t="str">
        <f t="shared" si="162"/>
        <v>Sidi Bouzid</v>
      </c>
      <c r="B366" s="97">
        <f t="shared" si="158"/>
        <v>0</v>
      </c>
      <c r="C366" s="97">
        <f t="shared" si="159"/>
        <v>0</v>
      </c>
      <c r="D366" s="97">
        <f t="shared" si="160"/>
        <v>0</v>
      </c>
      <c r="E366" s="48">
        <f t="shared" si="156"/>
        <v>0</v>
      </c>
      <c r="F366" s="42">
        <f t="shared" si="161"/>
        <v>0</v>
      </c>
    </row>
    <row r="367" spans="1:6" x14ac:dyDescent="0.25">
      <c r="A367" s="13" t="str">
        <f t="shared" si="162"/>
        <v>Gafsa</v>
      </c>
      <c r="B367" s="97">
        <f t="shared" si="158"/>
        <v>0</v>
      </c>
      <c r="C367" s="97">
        <f t="shared" si="159"/>
        <v>0</v>
      </c>
      <c r="D367" s="97">
        <f t="shared" si="160"/>
        <v>0</v>
      </c>
      <c r="E367" s="48">
        <f t="shared" si="156"/>
        <v>0</v>
      </c>
      <c r="F367" s="42">
        <f t="shared" si="161"/>
        <v>0</v>
      </c>
    </row>
    <row r="368" spans="1:6" x14ac:dyDescent="0.25">
      <c r="A368" s="13" t="str">
        <f t="shared" si="162"/>
        <v>Gabès</v>
      </c>
      <c r="B368" s="97">
        <f t="shared" si="158"/>
        <v>0</v>
      </c>
      <c r="C368" s="97">
        <f t="shared" si="159"/>
        <v>0</v>
      </c>
      <c r="D368" s="97">
        <f t="shared" si="160"/>
        <v>0</v>
      </c>
      <c r="E368" s="48">
        <f t="shared" si="156"/>
        <v>0</v>
      </c>
      <c r="F368" s="42">
        <f t="shared" si="161"/>
        <v>0</v>
      </c>
    </row>
    <row r="369" spans="1:12" x14ac:dyDescent="0.25">
      <c r="A369" s="13" t="str">
        <f t="shared" si="162"/>
        <v>Médenine</v>
      </c>
      <c r="B369" s="97">
        <f t="shared" si="158"/>
        <v>0</v>
      </c>
      <c r="C369" s="97">
        <f t="shared" si="159"/>
        <v>0</v>
      </c>
      <c r="D369" s="97">
        <f t="shared" si="160"/>
        <v>0</v>
      </c>
      <c r="E369" s="48">
        <f t="shared" si="156"/>
        <v>0</v>
      </c>
      <c r="F369" s="42">
        <f t="shared" si="161"/>
        <v>0</v>
      </c>
    </row>
    <row r="370" spans="1:12" x14ac:dyDescent="0.25">
      <c r="A370" s="13" t="str">
        <f t="shared" si="162"/>
        <v>Tataouine</v>
      </c>
      <c r="B370" s="97">
        <f t="shared" si="158"/>
        <v>0</v>
      </c>
      <c r="C370" s="97">
        <f t="shared" si="159"/>
        <v>0</v>
      </c>
      <c r="D370" s="97">
        <f t="shared" si="160"/>
        <v>0</v>
      </c>
      <c r="E370" s="48">
        <f t="shared" si="156"/>
        <v>0</v>
      </c>
      <c r="F370" s="42">
        <f t="shared" si="161"/>
        <v>0</v>
      </c>
    </row>
    <row r="371" spans="1:12" x14ac:dyDescent="0.25">
      <c r="A371" s="13" t="str">
        <f t="shared" si="162"/>
        <v>Tozeur</v>
      </c>
      <c r="B371" s="97">
        <f t="shared" si="158"/>
        <v>0</v>
      </c>
      <c r="C371" s="97">
        <f t="shared" si="159"/>
        <v>0</v>
      </c>
      <c r="D371" s="97">
        <f t="shared" si="160"/>
        <v>0</v>
      </c>
      <c r="E371" s="48">
        <f t="shared" si="156"/>
        <v>0</v>
      </c>
      <c r="F371" s="42">
        <f t="shared" si="161"/>
        <v>0</v>
      </c>
    </row>
    <row r="372" spans="1:12" x14ac:dyDescent="0.25">
      <c r="A372" s="13" t="str">
        <f t="shared" si="162"/>
        <v>Kébili</v>
      </c>
      <c r="B372" s="97">
        <f t="shared" si="158"/>
        <v>0</v>
      </c>
      <c r="C372" s="97">
        <f t="shared" si="159"/>
        <v>0</v>
      </c>
      <c r="D372" s="97">
        <f t="shared" si="160"/>
        <v>0</v>
      </c>
      <c r="E372" s="48">
        <f t="shared" si="156"/>
        <v>0</v>
      </c>
      <c r="F372" s="42">
        <f t="shared" si="161"/>
        <v>0</v>
      </c>
    </row>
    <row r="373" spans="1:12" x14ac:dyDescent="0.25">
      <c r="A373" s="353" t="str">
        <f t="shared" si="162"/>
        <v>Total Tunisia</v>
      </c>
      <c r="B373" s="97">
        <f t="shared" ref="B373" si="163">H310</f>
        <v>9385.02</v>
      </c>
      <c r="C373" s="97">
        <f t="shared" ref="C373" si="164">F342</f>
        <v>0</v>
      </c>
      <c r="D373" s="97">
        <f t="shared" si="151"/>
        <v>9385.02</v>
      </c>
      <c r="E373" s="48">
        <f t="shared" ref="E373" si="165">D373/$L$343</f>
        <v>3263.2197496522949</v>
      </c>
      <c r="F373" s="42">
        <f t="shared" si="152"/>
        <v>6.989119189660087E-8</v>
      </c>
    </row>
    <row r="374" spans="1:12" x14ac:dyDescent="0.25">
      <c r="B374" s="116" t="b">
        <f>SUM(B349:B372)=B373</f>
        <v>1</v>
      </c>
      <c r="C374" s="116" t="b">
        <f>SUM(C349:C372)=C373</f>
        <v>1</v>
      </c>
      <c r="D374" s="116" t="b">
        <f>SUM(D349:D372)=D373</f>
        <v>1</v>
      </c>
      <c r="E374" s="116" t="b">
        <f>SUM(E349:E372)=E373</f>
        <v>0</v>
      </c>
    </row>
    <row r="377" spans="1:12" x14ac:dyDescent="0.25">
      <c r="A377" t="s">
        <v>372</v>
      </c>
      <c r="B377" s="24">
        <f>B213</f>
        <v>134280440000</v>
      </c>
      <c r="J377" t="s">
        <v>1004</v>
      </c>
      <c r="L377" s="81">
        <f>L1</f>
        <v>2.8759999999999999</v>
      </c>
    </row>
    <row r="378" spans="1:12" x14ac:dyDescent="0.25">
      <c r="A378" t="s">
        <v>373</v>
      </c>
      <c r="B378" s="24">
        <f>B214</f>
        <v>46690000000</v>
      </c>
    </row>
    <row r="379" spans="1:12" ht="18.75" x14ac:dyDescent="0.3">
      <c r="A379" s="12" t="s">
        <v>1071</v>
      </c>
    </row>
    <row r="380" spans="1:12" x14ac:dyDescent="0.25">
      <c r="A380" s="756"/>
      <c r="B380" s="904" t="s">
        <v>374</v>
      </c>
      <c r="C380" s="905"/>
      <c r="D380" s="905"/>
      <c r="E380" s="906"/>
      <c r="F380" s="764" t="s">
        <v>367</v>
      </c>
    </row>
    <row r="381" spans="1:12" ht="135" x14ac:dyDescent="0.25">
      <c r="A381" s="756"/>
      <c r="B381" s="347" t="s">
        <v>1072</v>
      </c>
      <c r="C381" s="347" t="s">
        <v>1073</v>
      </c>
      <c r="D381" s="347" t="s">
        <v>1074</v>
      </c>
      <c r="E381" s="347" t="s">
        <v>1075</v>
      </c>
      <c r="F381" s="766"/>
    </row>
    <row r="382" spans="1:12" x14ac:dyDescent="0.25">
      <c r="A382" s="13" t="str">
        <f>A349</f>
        <v>Tunis</v>
      </c>
      <c r="B382" s="373">
        <f>B218+B349</f>
        <v>587.86</v>
      </c>
      <c r="C382" s="373" t="e">
        <f t="shared" ref="C382:C406" si="166">C218+C349</f>
        <v>#DIV/0!</v>
      </c>
      <c r="D382" s="374" t="e">
        <f t="shared" ref="D382:D407" si="167">SUM(B382:C382)</f>
        <v>#DIV/0!</v>
      </c>
      <c r="E382" s="374" t="e">
        <f>D382/$L$377</f>
        <v>#DIV/0!</v>
      </c>
      <c r="F382" s="558" t="e">
        <f t="shared" ref="F382:F407" si="168">E382/$B$378</f>
        <v>#DIV/0!</v>
      </c>
    </row>
    <row r="383" spans="1:12" x14ac:dyDescent="0.25">
      <c r="A383" s="13" t="str">
        <f t="shared" ref="A383:A405" si="169">A350</f>
        <v>Ariana</v>
      </c>
      <c r="B383" s="373">
        <f t="shared" ref="B383:B406" si="170">B219+B350</f>
        <v>665.55000000000007</v>
      </c>
      <c r="C383" s="373" t="e">
        <f t="shared" si="166"/>
        <v>#DIV/0!</v>
      </c>
      <c r="D383" s="374" t="e">
        <f t="shared" ref="D383:D406" si="171">SUM(B383:C383)</f>
        <v>#DIV/0!</v>
      </c>
      <c r="E383" s="374" t="e">
        <f t="shared" ref="E383:E406" si="172">D383/$L$377</f>
        <v>#DIV/0!</v>
      </c>
      <c r="F383" s="558" t="e">
        <f t="shared" ref="F383:F406" si="173">E383/$B$378</f>
        <v>#DIV/0!</v>
      </c>
    </row>
    <row r="384" spans="1:12" x14ac:dyDescent="0.25">
      <c r="A384" s="13">
        <f t="shared" si="169"/>
        <v>0</v>
      </c>
      <c r="B384" s="373">
        <f t="shared" si="170"/>
        <v>4118.59</v>
      </c>
      <c r="C384" s="373" t="e">
        <f t="shared" si="166"/>
        <v>#DIV/0!</v>
      </c>
      <c r="D384" s="374" t="e">
        <f t="shared" si="171"/>
        <v>#DIV/0!</v>
      </c>
      <c r="E384" s="374" t="e">
        <f t="shared" si="172"/>
        <v>#DIV/0!</v>
      </c>
      <c r="F384" s="558" t="e">
        <f t="shared" si="173"/>
        <v>#DIV/0!</v>
      </c>
    </row>
    <row r="385" spans="1:6" x14ac:dyDescent="0.25">
      <c r="A385" s="13">
        <f t="shared" si="169"/>
        <v>0</v>
      </c>
      <c r="B385" s="373">
        <f t="shared" si="170"/>
        <v>941.80000000000007</v>
      </c>
      <c r="C385" s="373" t="e">
        <f t="shared" si="166"/>
        <v>#DIV/0!</v>
      </c>
      <c r="D385" s="374" t="e">
        <f t="shared" si="171"/>
        <v>#DIV/0!</v>
      </c>
      <c r="E385" s="374" t="e">
        <f t="shared" si="172"/>
        <v>#DIV/0!</v>
      </c>
      <c r="F385" s="558" t="e">
        <f t="shared" si="173"/>
        <v>#DIV/0!</v>
      </c>
    </row>
    <row r="386" spans="1:6" x14ac:dyDescent="0.25">
      <c r="A386" s="13">
        <f t="shared" si="169"/>
        <v>0</v>
      </c>
      <c r="B386" s="373">
        <f t="shared" si="170"/>
        <v>659.94</v>
      </c>
      <c r="C386" s="373" t="e">
        <f t="shared" si="166"/>
        <v>#DIV/0!</v>
      </c>
      <c r="D386" s="374" t="e">
        <f t="shared" si="171"/>
        <v>#DIV/0!</v>
      </c>
      <c r="E386" s="374" t="e">
        <f t="shared" si="172"/>
        <v>#DIV/0!</v>
      </c>
      <c r="F386" s="558" t="e">
        <f t="shared" si="173"/>
        <v>#DIV/0!</v>
      </c>
    </row>
    <row r="387" spans="1:6" x14ac:dyDescent="0.25">
      <c r="A387" s="13">
        <f t="shared" si="169"/>
        <v>0</v>
      </c>
      <c r="B387" s="373">
        <f t="shared" si="170"/>
        <v>678.30000000000007</v>
      </c>
      <c r="C387" s="373" t="e">
        <f t="shared" si="166"/>
        <v>#DIV/0!</v>
      </c>
      <c r="D387" s="374" t="e">
        <f t="shared" si="171"/>
        <v>#DIV/0!</v>
      </c>
      <c r="E387" s="374" t="e">
        <f t="shared" si="172"/>
        <v>#DIV/0!</v>
      </c>
      <c r="F387" s="558" t="e">
        <f t="shared" si="173"/>
        <v>#DIV/0!</v>
      </c>
    </row>
    <row r="388" spans="1:6" x14ac:dyDescent="0.25">
      <c r="A388" s="13">
        <f t="shared" si="169"/>
        <v>0</v>
      </c>
      <c r="B388" s="373">
        <f t="shared" si="170"/>
        <v>1409.9800000000002</v>
      </c>
      <c r="C388" s="373" t="e">
        <f t="shared" si="166"/>
        <v>#DIV/0!</v>
      </c>
      <c r="D388" s="374" t="e">
        <f t="shared" si="171"/>
        <v>#DIV/0!</v>
      </c>
      <c r="E388" s="374" t="e">
        <f t="shared" si="172"/>
        <v>#DIV/0!</v>
      </c>
      <c r="F388" s="558" t="e">
        <f t="shared" si="173"/>
        <v>#DIV/0!</v>
      </c>
    </row>
    <row r="389" spans="1:6" x14ac:dyDescent="0.25">
      <c r="A389" s="13">
        <f t="shared" si="169"/>
        <v>0</v>
      </c>
      <c r="B389" s="373">
        <f t="shared" si="170"/>
        <v>17</v>
      </c>
      <c r="C389" s="373" t="e">
        <f t="shared" si="166"/>
        <v>#DIV/0!</v>
      </c>
      <c r="D389" s="374" t="e">
        <f t="shared" si="171"/>
        <v>#DIV/0!</v>
      </c>
      <c r="E389" s="374" t="e">
        <f t="shared" si="172"/>
        <v>#DIV/0!</v>
      </c>
      <c r="F389" s="558" t="e">
        <f t="shared" si="173"/>
        <v>#DIV/0!</v>
      </c>
    </row>
    <row r="390" spans="1:6" x14ac:dyDescent="0.25">
      <c r="A390" s="13">
        <f t="shared" si="169"/>
        <v>0</v>
      </c>
      <c r="B390" s="373">
        <f t="shared" si="170"/>
        <v>0</v>
      </c>
      <c r="C390" s="373" t="e">
        <f t="shared" si="166"/>
        <v>#DIV/0!</v>
      </c>
      <c r="D390" s="374" t="e">
        <f t="shared" si="171"/>
        <v>#DIV/0!</v>
      </c>
      <c r="E390" s="374" t="e">
        <f t="shared" si="172"/>
        <v>#DIV/0!</v>
      </c>
      <c r="F390" s="558" t="e">
        <f t="shared" si="173"/>
        <v>#DIV/0!</v>
      </c>
    </row>
    <row r="391" spans="1:6" x14ac:dyDescent="0.25">
      <c r="A391" s="13">
        <f t="shared" si="169"/>
        <v>0</v>
      </c>
      <c r="B391" s="373">
        <f t="shared" si="170"/>
        <v>0</v>
      </c>
      <c r="C391" s="373" t="e">
        <f t="shared" si="166"/>
        <v>#DIV/0!</v>
      </c>
      <c r="D391" s="374" t="e">
        <f t="shared" si="171"/>
        <v>#DIV/0!</v>
      </c>
      <c r="E391" s="374" t="e">
        <f t="shared" si="172"/>
        <v>#DIV/0!</v>
      </c>
      <c r="F391" s="558" t="e">
        <f t="shared" si="173"/>
        <v>#DIV/0!</v>
      </c>
    </row>
    <row r="392" spans="1:6" x14ac:dyDescent="0.25">
      <c r="A392" s="13">
        <f t="shared" si="169"/>
        <v>0</v>
      </c>
      <c r="B392" s="373">
        <f t="shared" si="170"/>
        <v>306</v>
      </c>
      <c r="C392" s="373" t="e">
        <f t="shared" si="166"/>
        <v>#DIV/0!</v>
      </c>
      <c r="D392" s="374" t="e">
        <f t="shared" si="171"/>
        <v>#DIV/0!</v>
      </c>
      <c r="E392" s="374" t="e">
        <f t="shared" si="172"/>
        <v>#DIV/0!</v>
      </c>
      <c r="F392" s="558" t="e">
        <f t="shared" si="173"/>
        <v>#DIV/0!</v>
      </c>
    </row>
    <row r="393" spans="1:6" x14ac:dyDescent="0.25">
      <c r="A393" s="13">
        <f t="shared" si="169"/>
        <v>0</v>
      </c>
      <c r="B393" s="373">
        <f t="shared" si="170"/>
        <v>0</v>
      </c>
      <c r="C393" s="373" t="e">
        <f t="shared" si="166"/>
        <v>#DIV/0!</v>
      </c>
      <c r="D393" s="374" t="e">
        <f t="shared" si="171"/>
        <v>#DIV/0!</v>
      </c>
      <c r="E393" s="374" t="e">
        <f t="shared" si="172"/>
        <v>#DIV/0!</v>
      </c>
      <c r="F393" s="558" t="e">
        <f t="shared" si="173"/>
        <v>#DIV/0!</v>
      </c>
    </row>
    <row r="394" spans="1:6" x14ac:dyDescent="0.25">
      <c r="A394" s="13">
        <f t="shared" si="169"/>
        <v>0</v>
      </c>
      <c r="B394" s="373">
        <f t="shared" si="170"/>
        <v>0</v>
      </c>
      <c r="C394" s="373" t="e">
        <f t="shared" si="166"/>
        <v>#DIV/0!</v>
      </c>
      <c r="D394" s="374" t="e">
        <f t="shared" si="171"/>
        <v>#DIV/0!</v>
      </c>
      <c r="E394" s="374" t="e">
        <f t="shared" si="172"/>
        <v>#DIV/0!</v>
      </c>
      <c r="F394" s="558" t="e">
        <f t="shared" si="173"/>
        <v>#DIV/0!</v>
      </c>
    </row>
    <row r="395" spans="1:6" x14ac:dyDescent="0.25">
      <c r="A395" s="13" t="str">
        <f t="shared" si="169"/>
        <v>Mahdia</v>
      </c>
      <c r="B395" s="373">
        <f t="shared" si="170"/>
        <v>0</v>
      </c>
      <c r="C395" s="373" t="e">
        <f t="shared" si="166"/>
        <v>#DIV/0!</v>
      </c>
      <c r="D395" s="374" t="e">
        <f t="shared" si="171"/>
        <v>#DIV/0!</v>
      </c>
      <c r="E395" s="374" t="e">
        <f t="shared" si="172"/>
        <v>#DIV/0!</v>
      </c>
      <c r="F395" s="558" t="e">
        <f t="shared" si="173"/>
        <v>#DIV/0!</v>
      </c>
    </row>
    <row r="396" spans="1:6" x14ac:dyDescent="0.25">
      <c r="A396" s="13" t="str">
        <f t="shared" si="169"/>
        <v>Sfax</v>
      </c>
      <c r="B396" s="373">
        <f t="shared" si="170"/>
        <v>0</v>
      </c>
      <c r="C396" s="373" t="e">
        <f t="shared" si="166"/>
        <v>#DIV/0!</v>
      </c>
      <c r="D396" s="374" t="e">
        <f t="shared" si="171"/>
        <v>#DIV/0!</v>
      </c>
      <c r="E396" s="374" t="e">
        <f t="shared" si="172"/>
        <v>#DIV/0!</v>
      </c>
      <c r="F396" s="558" t="e">
        <f t="shared" si="173"/>
        <v>#DIV/0!</v>
      </c>
    </row>
    <row r="397" spans="1:6" x14ac:dyDescent="0.25">
      <c r="A397" s="13" t="str">
        <f t="shared" si="169"/>
        <v>Kairouan</v>
      </c>
      <c r="B397" s="373">
        <f t="shared" si="170"/>
        <v>0</v>
      </c>
      <c r="C397" s="373" t="e">
        <f t="shared" si="166"/>
        <v>#DIV/0!</v>
      </c>
      <c r="D397" s="374" t="e">
        <f t="shared" si="171"/>
        <v>#DIV/0!</v>
      </c>
      <c r="E397" s="374" t="e">
        <f t="shared" si="172"/>
        <v>#DIV/0!</v>
      </c>
      <c r="F397" s="558" t="e">
        <f t="shared" si="173"/>
        <v>#DIV/0!</v>
      </c>
    </row>
    <row r="398" spans="1:6" x14ac:dyDescent="0.25">
      <c r="A398" s="13" t="str">
        <f t="shared" si="169"/>
        <v>Kasserine</v>
      </c>
      <c r="B398" s="373">
        <f t="shared" si="170"/>
        <v>0</v>
      </c>
      <c r="C398" s="373" t="e">
        <f t="shared" si="166"/>
        <v>#DIV/0!</v>
      </c>
      <c r="D398" s="374" t="e">
        <f t="shared" si="171"/>
        <v>#DIV/0!</v>
      </c>
      <c r="E398" s="374" t="e">
        <f t="shared" si="172"/>
        <v>#DIV/0!</v>
      </c>
      <c r="F398" s="558" t="e">
        <f t="shared" si="173"/>
        <v>#DIV/0!</v>
      </c>
    </row>
    <row r="399" spans="1:6" x14ac:dyDescent="0.25">
      <c r="A399" s="13" t="str">
        <f t="shared" si="169"/>
        <v>Sidi Bouzid</v>
      </c>
      <c r="B399" s="373">
        <f t="shared" si="170"/>
        <v>0</v>
      </c>
      <c r="C399" s="373" t="e">
        <f t="shared" si="166"/>
        <v>#DIV/0!</v>
      </c>
      <c r="D399" s="374" t="e">
        <f t="shared" si="171"/>
        <v>#DIV/0!</v>
      </c>
      <c r="E399" s="374" t="e">
        <f t="shared" si="172"/>
        <v>#DIV/0!</v>
      </c>
      <c r="F399" s="558" t="e">
        <f t="shared" si="173"/>
        <v>#DIV/0!</v>
      </c>
    </row>
    <row r="400" spans="1:6" x14ac:dyDescent="0.25">
      <c r="A400" s="13" t="str">
        <f t="shared" si="169"/>
        <v>Gafsa</v>
      </c>
      <c r="B400" s="373">
        <f t="shared" si="170"/>
        <v>0</v>
      </c>
      <c r="C400" s="373" t="e">
        <f t="shared" si="166"/>
        <v>#DIV/0!</v>
      </c>
      <c r="D400" s="374" t="e">
        <f t="shared" si="171"/>
        <v>#DIV/0!</v>
      </c>
      <c r="E400" s="374" t="e">
        <f t="shared" si="172"/>
        <v>#DIV/0!</v>
      </c>
      <c r="F400" s="558" t="e">
        <f t="shared" si="173"/>
        <v>#DIV/0!</v>
      </c>
    </row>
    <row r="401" spans="1:6" x14ac:dyDescent="0.25">
      <c r="A401" s="13" t="str">
        <f t="shared" si="169"/>
        <v>Gabès</v>
      </c>
      <c r="B401" s="373">
        <f t="shared" si="170"/>
        <v>0</v>
      </c>
      <c r="C401" s="373" t="e">
        <f t="shared" si="166"/>
        <v>#DIV/0!</v>
      </c>
      <c r="D401" s="374" t="e">
        <f t="shared" si="171"/>
        <v>#DIV/0!</v>
      </c>
      <c r="E401" s="374" t="e">
        <f t="shared" si="172"/>
        <v>#DIV/0!</v>
      </c>
      <c r="F401" s="558" t="e">
        <f t="shared" si="173"/>
        <v>#DIV/0!</v>
      </c>
    </row>
    <row r="402" spans="1:6" x14ac:dyDescent="0.25">
      <c r="A402" s="13" t="str">
        <f t="shared" si="169"/>
        <v>Médenine</v>
      </c>
      <c r="B402" s="373">
        <f t="shared" si="170"/>
        <v>0</v>
      </c>
      <c r="C402" s="373" t="e">
        <f t="shared" si="166"/>
        <v>#DIV/0!</v>
      </c>
      <c r="D402" s="374" t="e">
        <f t="shared" si="171"/>
        <v>#DIV/0!</v>
      </c>
      <c r="E402" s="374" t="e">
        <f t="shared" si="172"/>
        <v>#DIV/0!</v>
      </c>
      <c r="F402" s="558" t="e">
        <f t="shared" si="173"/>
        <v>#DIV/0!</v>
      </c>
    </row>
    <row r="403" spans="1:6" x14ac:dyDescent="0.25">
      <c r="A403" s="13" t="str">
        <f t="shared" si="169"/>
        <v>Tataouine</v>
      </c>
      <c r="B403" s="373">
        <f t="shared" si="170"/>
        <v>0</v>
      </c>
      <c r="C403" s="373" t="e">
        <f t="shared" si="166"/>
        <v>#DIV/0!</v>
      </c>
      <c r="D403" s="374" t="e">
        <f t="shared" si="171"/>
        <v>#DIV/0!</v>
      </c>
      <c r="E403" s="374" t="e">
        <f t="shared" si="172"/>
        <v>#DIV/0!</v>
      </c>
      <c r="F403" s="558" t="e">
        <f t="shared" si="173"/>
        <v>#DIV/0!</v>
      </c>
    </row>
    <row r="404" spans="1:6" x14ac:dyDescent="0.25">
      <c r="A404" s="13" t="str">
        <f t="shared" si="169"/>
        <v>Tozeur</v>
      </c>
      <c r="B404" s="373">
        <f t="shared" si="170"/>
        <v>0</v>
      </c>
      <c r="C404" s="373" t="e">
        <f t="shared" si="166"/>
        <v>#DIV/0!</v>
      </c>
      <c r="D404" s="374" t="e">
        <f t="shared" si="171"/>
        <v>#DIV/0!</v>
      </c>
      <c r="E404" s="374" t="e">
        <f t="shared" si="172"/>
        <v>#DIV/0!</v>
      </c>
      <c r="F404" s="558" t="e">
        <f t="shared" si="173"/>
        <v>#DIV/0!</v>
      </c>
    </row>
    <row r="405" spans="1:6" x14ac:dyDescent="0.25">
      <c r="A405" s="13" t="str">
        <f t="shared" si="169"/>
        <v>Kébili</v>
      </c>
      <c r="B405" s="373">
        <f t="shared" si="170"/>
        <v>0</v>
      </c>
      <c r="C405" s="373" t="e">
        <f t="shared" si="166"/>
        <v>#DIV/0!</v>
      </c>
      <c r="D405" s="374" t="e">
        <f t="shared" si="171"/>
        <v>#DIV/0!</v>
      </c>
      <c r="E405" s="374" t="e">
        <f t="shared" si="172"/>
        <v>#DIV/0!</v>
      </c>
      <c r="F405" s="558" t="e">
        <f t="shared" si="173"/>
        <v>#DIV/0!</v>
      </c>
    </row>
    <row r="406" spans="1:6" x14ac:dyDescent="0.25">
      <c r="A406" s="13" t="str">
        <f t="shared" ref="A406" si="174">A373</f>
        <v>Total Tunisia</v>
      </c>
      <c r="B406" s="373">
        <f t="shared" si="170"/>
        <v>9385.02</v>
      </c>
      <c r="C406" s="373" t="e">
        <f t="shared" si="166"/>
        <v>#DIV/0!</v>
      </c>
      <c r="D406" s="374" t="e">
        <f t="shared" si="171"/>
        <v>#DIV/0!</v>
      </c>
      <c r="E406" s="374" t="e">
        <f t="shared" si="172"/>
        <v>#DIV/0!</v>
      </c>
      <c r="F406" s="558" t="e">
        <f t="shared" si="173"/>
        <v>#DIV/0!</v>
      </c>
    </row>
    <row r="407" spans="1:6" x14ac:dyDescent="0.25">
      <c r="A407" s="15" t="s">
        <v>163</v>
      </c>
      <c r="B407" s="373">
        <f>B242+B373</f>
        <v>9385.02</v>
      </c>
      <c r="C407" s="373" t="e">
        <f t="shared" ref="C407" si="175">C242+C373</f>
        <v>#DIV/0!</v>
      </c>
      <c r="D407" s="374" t="e">
        <f t="shared" si="167"/>
        <v>#DIV/0!</v>
      </c>
      <c r="E407" s="374" t="e">
        <f t="shared" ref="E407" si="176">D407/$L$377</f>
        <v>#DIV/0!</v>
      </c>
      <c r="F407" s="558" t="e">
        <f t="shared" si="168"/>
        <v>#DIV/0!</v>
      </c>
    </row>
    <row r="408" spans="1:6" x14ac:dyDescent="0.25">
      <c r="B408" s="6" t="b">
        <f>B406=B407</f>
        <v>1</v>
      </c>
      <c r="C408" s="6" t="e">
        <f t="shared" ref="C408:E408" si="177">C406=C407</f>
        <v>#DIV/0!</v>
      </c>
      <c r="D408" s="6" t="e">
        <f t="shared" si="177"/>
        <v>#DIV/0!</v>
      </c>
      <c r="E408" s="6" t="e">
        <f t="shared" si="177"/>
        <v>#DIV/0!</v>
      </c>
    </row>
    <row r="409" spans="1:6" x14ac:dyDescent="0.25">
      <c r="B409" s="92">
        <f>B406-B407</f>
        <v>0</v>
      </c>
    </row>
  </sheetData>
  <mergeCells count="28">
    <mergeCell ref="A380:A381"/>
    <mergeCell ref="B380:E380"/>
    <mergeCell ref="F380:F381"/>
    <mergeCell ref="A185:A209"/>
    <mergeCell ref="A215:F215"/>
    <mergeCell ref="A216:A217"/>
    <mergeCell ref="B216:E216"/>
    <mergeCell ref="F216:F217"/>
    <mergeCell ref="A247:A248"/>
    <mergeCell ref="B247:E247"/>
    <mergeCell ref="F247:F248"/>
    <mergeCell ref="A280:I280"/>
    <mergeCell ref="A286:A310"/>
    <mergeCell ref="A318:A342"/>
    <mergeCell ref="A347:A348"/>
    <mergeCell ref="B347:E347"/>
    <mergeCell ref="A110:A134"/>
    <mergeCell ref="H110:H133"/>
    <mergeCell ref="A135:A159"/>
    <mergeCell ref="H135:H158"/>
    <mergeCell ref="A160:A184"/>
    <mergeCell ref="H160:H183"/>
    <mergeCell ref="A107:G108"/>
    <mergeCell ref="A1:I1"/>
    <mergeCell ref="A7:A31"/>
    <mergeCell ref="A32:A56"/>
    <mergeCell ref="A57:A81"/>
    <mergeCell ref="A82:A106"/>
  </mergeCells>
  <hyperlinks>
    <hyperlink ref="Q105" r:id="rId1" xr:uid="{EC42D506-CC34-4AAB-8693-5543C986B3B4}"/>
  </hyperlinks>
  <pageMargins left="0.7" right="0.7" top="0.75" bottom="0.75" header="0.3" footer="0.3"/>
  <pageSetup orientation="portrait" r:id="rId2"/>
  <legacyDrawing r:id="rId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F47B0-5C28-410D-B5BF-1CFF672742E2}">
  <dimension ref="A1:J22"/>
  <sheetViews>
    <sheetView topLeftCell="A6" workbookViewId="0">
      <selection activeCell="H18" sqref="H18"/>
    </sheetView>
  </sheetViews>
  <sheetFormatPr defaultRowHeight="15" x14ac:dyDescent="0.25"/>
  <cols>
    <col min="1" max="1" width="35.42578125" customWidth="1"/>
    <col min="2" max="2" width="20.140625" customWidth="1"/>
    <col min="3" max="3" width="14.85546875" customWidth="1"/>
    <col min="4" max="4" width="15.42578125" customWidth="1"/>
    <col min="5" max="5" width="19.5703125" customWidth="1"/>
    <col min="6" max="6" width="21.140625" customWidth="1"/>
    <col min="7" max="7" width="22.85546875" customWidth="1"/>
    <col min="8" max="8" width="17.42578125" customWidth="1"/>
    <col min="9" max="9" width="17.85546875" customWidth="1"/>
    <col min="10" max="10" width="13.5703125" customWidth="1"/>
  </cols>
  <sheetData>
    <row r="1" spans="1:10" ht="21" x14ac:dyDescent="0.35">
      <c r="A1" s="88" t="s">
        <v>1076</v>
      </c>
    </row>
    <row r="2" spans="1:10" ht="21" x14ac:dyDescent="0.35">
      <c r="A2" s="88"/>
    </row>
    <row r="3" spans="1:10" ht="21" x14ac:dyDescent="0.35">
      <c r="A3" s="88"/>
      <c r="D3" s="1" t="s">
        <v>400</v>
      </c>
      <c r="E3" s="1"/>
      <c r="F3" s="580">
        <f>'Prices,exch.rates,harvest index'!M2</f>
        <v>2.8759999999999999</v>
      </c>
      <c r="G3" s="1" t="s">
        <v>257</v>
      </c>
      <c r="H3" s="1"/>
    </row>
    <row r="4" spans="1:10" ht="21" x14ac:dyDescent="0.35">
      <c r="A4" s="88"/>
    </row>
    <row r="5" spans="1:10" x14ac:dyDescent="0.25">
      <c r="A5" s="834" t="s">
        <v>1077</v>
      </c>
      <c r="B5" s="822" t="s">
        <v>1122</v>
      </c>
      <c r="C5" s="884"/>
      <c r="D5" s="884"/>
      <c r="E5" s="884"/>
      <c r="F5" s="884"/>
      <c r="G5" s="884"/>
      <c r="H5" s="823"/>
      <c r="I5" s="15"/>
    </row>
    <row r="6" spans="1:10" ht="66" customHeight="1" x14ac:dyDescent="0.25">
      <c r="A6" s="835"/>
      <c r="B6" s="85" t="s">
        <v>1078</v>
      </c>
      <c r="C6" s="85" t="s">
        <v>1079</v>
      </c>
      <c r="D6" s="85" t="s">
        <v>1119</v>
      </c>
      <c r="E6" s="85" t="s">
        <v>1081</v>
      </c>
      <c r="F6" s="85" t="s">
        <v>1082</v>
      </c>
      <c r="G6" s="85" t="s">
        <v>1083</v>
      </c>
      <c r="H6" s="85" t="s">
        <v>1084</v>
      </c>
      <c r="I6" s="87" t="s">
        <v>120</v>
      </c>
      <c r="J6" s="399" t="s">
        <v>1115</v>
      </c>
    </row>
    <row r="7" spans="1:10" s="1" customFormat="1" x14ac:dyDescent="0.25">
      <c r="A7" s="13" t="s">
        <v>1085</v>
      </c>
      <c r="B7" s="48" t="e">
        <f>B8+B9</f>
        <v>#DIV/0!</v>
      </c>
      <c r="C7" s="48">
        <f>IFERROR(C8+C9,0)</f>
        <v>0</v>
      </c>
      <c r="D7" s="48">
        <f>IFERROR(D8+D9,0)</f>
        <v>0</v>
      </c>
      <c r="E7" s="48" t="e">
        <f t="shared" ref="E7:H7" si="0">E8+E9</f>
        <v>#DIV/0!</v>
      </c>
      <c r="F7" s="48" t="e">
        <f t="shared" si="0"/>
        <v>#DIV/0!</v>
      </c>
      <c r="G7" s="48" t="e">
        <f t="shared" si="0"/>
        <v>#DIV/0!</v>
      </c>
      <c r="H7" s="48">
        <f t="shared" si="0"/>
        <v>0</v>
      </c>
      <c r="I7" s="48" t="e">
        <f>SUM(B7:H7)</f>
        <v>#DIV/0!</v>
      </c>
    </row>
    <row r="8" spans="1:10" s="1" customFormat="1" x14ac:dyDescent="0.25">
      <c r="A8" s="132" t="s">
        <v>1086</v>
      </c>
      <c r="B8" s="97" t="e">
        <f>'Summary-all-crops'!C12+'Summary-all-crops'!D12</f>
        <v>#DIV/0!</v>
      </c>
      <c r="C8" s="97">
        <f>IFERROR(Forest!B180+Forest!C180,0)</f>
        <v>0</v>
      </c>
      <c r="D8" s="97" t="e">
        <f>'Summary-all rangelands'!C9+'Summary-all rangelands'!D9</f>
        <v>#DIV/0!</v>
      </c>
      <c r="E8" s="97" t="e">
        <f>Water!G124</f>
        <v>#DIV/0!</v>
      </c>
      <c r="F8" s="97" t="e">
        <f>'Soil-loss-abundoned lands1'!B107+'Soil-loss-abundoned lands1'!C107+'Production-loss-abandoned lands'!E14</f>
        <v>#DIV/0!</v>
      </c>
      <c r="G8" s="97" t="e">
        <f>'Emergency-&amp;-extreme-weather-All'!E407</f>
        <v>#DIV/0!</v>
      </c>
      <c r="H8" s="97">
        <f>30%*'Cost of Health-problems'!I15</f>
        <v>0</v>
      </c>
      <c r="I8" s="48" t="e">
        <f>SUM(B8:H8)</f>
        <v>#DIV/0!</v>
      </c>
    </row>
    <row r="9" spans="1:10" s="1" customFormat="1" x14ac:dyDescent="0.25">
      <c r="A9" s="132" t="s">
        <v>1087</v>
      </c>
      <c r="B9" s="97" t="e">
        <f>'Summary-all-crops'!E12</f>
        <v>#DIV/0!</v>
      </c>
      <c r="C9" s="97">
        <f>IFERROR(Forest!D180,0)</f>
        <v>0</v>
      </c>
      <c r="D9" s="97">
        <f>'Summary-all rangelands'!E9</f>
        <v>0</v>
      </c>
      <c r="E9" s="97">
        <v>0</v>
      </c>
      <c r="F9" s="97" t="e">
        <f>'Soil-loss-abundoned lands1'!D107</f>
        <v>#DIV/0!</v>
      </c>
      <c r="G9" s="97">
        <v>0</v>
      </c>
      <c r="H9" s="97">
        <f>20%*'Cost of Health-problems'!I15</f>
        <v>0</v>
      </c>
      <c r="I9" s="48" t="e">
        <f>SUM(B9:H9)</f>
        <v>#DIV/0!</v>
      </c>
    </row>
    <row r="10" spans="1:10" s="1" customFormat="1" x14ac:dyDescent="0.25">
      <c r="A10" s="13" t="s">
        <v>1088</v>
      </c>
      <c r="B10" s="48" t="e">
        <f>'Summary-all-crops'!F12</f>
        <v>#DIV/0!</v>
      </c>
      <c r="C10" s="48">
        <f>IFERROR(Forest!E180,0)</f>
        <v>0</v>
      </c>
      <c r="D10" s="48" t="e">
        <f>'Summary-all rangelands'!F9</f>
        <v>#DIV/0!</v>
      </c>
      <c r="E10" s="48">
        <f>Water!H124</f>
        <v>0</v>
      </c>
      <c r="F10" s="48">
        <f>'Soil-loss-abundoned lands1'!E107</f>
        <v>0</v>
      </c>
      <c r="G10" s="48">
        <v>0</v>
      </c>
      <c r="H10" s="48">
        <f>50%*'Cost of Health-problems'!I15</f>
        <v>0</v>
      </c>
      <c r="I10" s="48" t="e">
        <f>SUM(B10:H10)</f>
        <v>#DIV/0!</v>
      </c>
    </row>
    <row r="11" spans="1:10" s="1" customFormat="1" x14ac:dyDescent="0.25">
      <c r="A11" s="87" t="s">
        <v>1089</v>
      </c>
      <c r="B11" s="48" t="e">
        <f t="shared" ref="B11:H11" si="1">B7+B10</f>
        <v>#DIV/0!</v>
      </c>
      <c r="C11" s="48">
        <f t="shared" si="1"/>
        <v>0</v>
      </c>
      <c r="D11" s="48" t="e">
        <f t="shared" si="1"/>
        <v>#DIV/0!</v>
      </c>
      <c r="E11" s="48" t="e">
        <f t="shared" ref="E11" si="2">E7+E10</f>
        <v>#DIV/0!</v>
      </c>
      <c r="F11" s="48" t="e">
        <f t="shared" si="1"/>
        <v>#DIV/0!</v>
      </c>
      <c r="G11" s="48" t="e">
        <f t="shared" si="1"/>
        <v>#DIV/0!</v>
      </c>
      <c r="H11" s="48">
        <f t="shared" si="1"/>
        <v>0</v>
      </c>
      <c r="I11" s="48" t="e">
        <f>SUM(B11:H11)</f>
        <v>#DIV/0!</v>
      </c>
      <c r="J11" s="597" t="e">
        <f>I11/I14</f>
        <v>#DIV/0!</v>
      </c>
    </row>
    <row r="12" spans="1:10" x14ac:dyDescent="0.25">
      <c r="A12" s="1" t="s">
        <v>1090</v>
      </c>
      <c r="B12" s="51" t="e">
        <f>B11/$B$18</f>
        <v>#DIV/0!</v>
      </c>
      <c r="C12" s="51">
        <f>C11/$B$18</f>
        <v>0</v>
      </c>
      <c r="D12" s="51" t="e">
        <f t="shared" ref="D12:H12" si="3">D11/$B$18</f>
        <v>#DIV/0!</v>
      </c>
      <c r="E12" s="51" t="e">
        <f t="shared" ref="E12" si="4">E11/$B$18</f>
        <v>#DIV/0!</v>
      </c>
      <c r="F12" s="51" t="e">
        <f t="shared" si="3"/>
        <v>#DIV/0!</v>
      </c>
      <c r="G12" s="559" t="e">
        <f t="shared" si="3"/>
        <v>#DIV/0!</v>
      </c>
      <c r="H12" s="51">
        <f t="shared" si="3"/>
        <v>0</v>
      </c>
      <c r="I12" s="51" t="e">
        <f>I11/$B$18</f>
        <v>#DIV/0!</v>
      </c>
    </row>
    <row r="13" spans="1:10" x14ac:dyDescent="0.25">
      <c r="B13" s="30"/>
      <c r="C13" s="578" t="b">
        <f>C11=IFERROR(Forest!F180,0)</f>
        <v>1</v>
      </c>
      <c r="F13" s="176" t="e">
        <f>B12+F12</f>
        <v>#DIV/0!</v>
      </c>
      <c r="G13" s="176" t="e">
        <f>B12+C12+G12+F12+D12</f>
        <v>#DIV/0!</v>
      </c>
      <c r="I13" s="162" t="e">
        <f>SUM(B12:H12)-I12&lt;0.1</f>
        <v>#DIV/0!</v>
      </c>
    </row>
    <row r="14" spans="1:10" x14ac:dyDescent="0.25">
      <c r="A14" t="s">
        <v>1116</v>
      </c>
      <c r="C14" s="26">
        <f>C15*B18</f>
        <v>88711000</v>
      </c>
      <c r="F14" s="406"/>
      <c r="G14" s="406" t="s">
        <v>1125</v>
      </c>
      <c r="I14" s="750">
        <v>3700000000</v>
      </c>
    </row>
    <row r="15" spans="1:10" x14ac:dyDescent="0.25">
      <c r="A15" t="s">
        <v>1117</v>
      </c>
      <c r="B15" s="125"/>
      <c r="C15" s="749">
        <v>1.9E-3</v>
      </c>
      <c r="F15" s="406"/>
      <c r="G15" s="406"/>
      <c r="I15" s="61">
        <f>I14/B18</f>
        <v>7.9246091240094241E-2</v>
      </c>
    </row>
    <row r="16" spans="1:10" x14ac:dyDescent="0.25">
      <c r="B16" s="125"/>
      <c r="C16" s="70"/>
      <c r="F16" s="406"/>
      <c r="G16" s="406"/>
      <c r="I16" s="246"/>
    </row>
    <row r="17" spans="1:3" x14ac:dyDescent="0.25">
      <c r="A17" t="s">
        <v>372</v>
      </c>
      <c r="B17" s="24">
        <f>'Prices,exch.rates,harvest index'!M4</f>
        <v>134280440000</v>
      </c>
    </row>
    <row r="18" spans="1:3" x14ac:dyDescent="0.25">
      <c r="A18" t="s">
        <v>373</v>
      </c>
      <c r="B18" s="24">
        <f>'Prices,exch.rates,harvest index'!M3</f>
        <v>46690000000</v>
      </c>
    </row>
    <row r="19" spans="1:3" x14ac:dyDescent="0.25">
      <c r="A19" s="90"/>
      <c r="B19" s="79"/>
    </row>
    <row r="22" spans="1:3" x14ac:dyDescent="0.25">
      <c r="C22" s="41"/>
    </row>
  </sheetData>
  <mergeCells count="2">
    <mergeCell ref="A5:A6"/>
    <mergeCell ref="B5:H5"/>
  </mergeCells>
  <hyperlinks>
    <hyperlink ref="C15" r:id="rId1" display="https://www.afdb.org/sites/default/files/documents/publications/economic_performance_of_the_timber_industry_in_north_africa.pdf" xr:uid="{57C5CBD8-7BDB-4C99-ADB8-AAE9721DBD77}"/>
    <hyperlink ref="I14" r:id="rId2" location=":~:text=In%202020%2C%20the%20contribution%20of,roughly%203.7%20billion%20U.S.%20dollars)." display="https://www.statista.com/statistics/1258304/agriculture-and-fisheries-annual-contribution-to-gdp-in-tunisia/ - :~:text=In%202020%2C%20the%20contribution%20of,roughly%203.7%20billion%20U.S.%20dollars)." xr:uid="{EC90FE32-2BC5-4419-9589-94874420F925}"/>
  </hyperlinks>
  <pageMargins left="0.7" right="0.7" top="0.75" bottom="0.75" header="0.3" footer="0.3"/>
  <pageSetup orientation="portrait" r:id="rId3"/>
  <legacyDrawing r:id="rId4"/>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0F4B1-2B2B-48CC-BFED-F42073C2BF6E}">
  <dimension ref="A1:J49"/>
  <sheetViews>
    <sheetView topLeftCell="A4" zoomScaleNormal="100" workbookViewId="0">
      <selection activeCell="L11" sqref="L11"/>
    </sheetView>
  </sheetViews>
  <sheetFormatPr defaultRowHeight="15" x14ac:dyDescent="0.25"/>
  <cols>
    <col min="1" max="1" width="45.5703125" customWidth="1"/>
    <col min="2" max="2" width="16.85546875" customWidth="1"/>
    <col min="3" max="4" width="14.85546875" customWidth="1"/>
    <col min="5" max="5" width="16.42578125" customWidth="1"/>
    <col min="6" max="6" width="16.85546875" customWidth="1"/>
    <col min="7" max="7" width="17.5703125" customWidth="1"/>
    <col min="8" max="8" width="15.42578125" customWidth="1"/>
    <col min="9" max="9" width="15.42578125" bestFit="1" customWidth="1"/>
    <col min="10" max="10" width="17.5703125" bestFit="1" customWidth="1"/>
  </cols>
  <sheetData>
    <row r="1" spans="1:10" ht="21" x14ac:dyDescent="0.35">
      <c r="A1" s="88" t="s">
        <v>1076</v>
      </c>
    </row>
    <row r="2" spans="1:10" x14ac:dyDescent="0.25">
      <c r="A2" t="s">
        <v>372</v>
      </c>
      <c r="B2" s="24">
        <f>'Total cost of land degradation '!B17</f>
        <v>134280440000</v>
      </c>
    </row>
    <row r="3" spans="1:10" x14ac:dyDescent="0.25">
      <c r="A3" t="s">
        <v>373</v>
      </c>
      <c r="B3" s="24">
        <f>'Total cost of land degradation '!B18</f>
        <v>46690000000</v>
      </c>
      <c r="D3" s="1" t="s">
        <v>400</v>
      </c>
      <c r="E3" s="243">
        <f>'Total cost of land degradation '!F3</f>
        <v>2.8759999999999999</v>
      </c>
      <c r="F3" s="1" t="s">
        <v>257</v>
      </c>
      <c r="H3" s="1"/>
    </row>
    <row r="4" spans="1:10" ht="21" x14ac:dyDescent="0.35">
      <c r="A4" s="88"/>
    </row>
    <row r="5" spans="1:10" x14ac:dyDescent="0.25">
      <c r="A5" s="756" t="s">
        <v>1077</v>
      </c>
      <c r="B5" s="756" t="s">
        <v>1121</v>
      </c>
      <c r="C5" s="756"/>
      <c r="D5" s="756"/>
      <c r="E5" s="756"/>
      <c r="F5" s="756"/>
      <c r="G5" s="756"/>
      <c r="H5" s="756"/>
      <c r="I5" s="759" t="s">
        <v>1091</v>
      </c>
      <c r="J5" s="759" t="s">
        <v>1124</v>
      </c>
    </row>
    <row r="6" spans="1:10" ht="90" x14ac:dyDescent="0.25">
      <c r="A6" s="756"/>
      <c r="B6" s="85" t="s">
        <v>1078</v>
      </c>
      <c r="C6" s="85" t="s">
        <v>1079</v>
      </c>
      <c r="D6" s="85" t="s">
        <v>1119</v>
      </c>
      <c r="E6" s="85" t="s">
        <v>1081</v>
      </c>
      <c r="F6" s="85" t="s">
        <v>1134</v>
      </c>
      <c r="G6" s="85" t="s">
        <v>1083</v>
      </c>
      <c r="H6" s="85" t="s">
        <v>1084</v>
      </c>
      <c r="I6" s="759"/>
      <c r="J6" s="759"/>
    </row>
    <row r="7" spans="1:10" s="1" customFormat="1" x14ac:dyDescent="0.25">
      <c r="A7" s="15" t="s">
        <v>1085</v>
      </c>
      <c r="B7" s="48" t="e">
        <f>'Total cost of land degradation '!B7</f>
        <v>#DIV/0!</v>
      </c>
      <c r="C7" s="48">
        <f>'Total cost of land degradation '!C7</f>
        <v>0</v>
      </c>
      <c r="D7" s="48">
        <f>'Total cost of land degradation '!D7</f>
        <v>0</v>
      </c>
      <c r="E7" s="48" t="e">
        <f>'Total cost of land degradation '!E7</f>
        <v>#DIV/0!</v>
      </c>
      <c r="F7" s="48" t="e">
        <f>'Total cost of land degradation '!F7</f>
        <v>#DIV/0!</v>
      </c>
      <c r="G7" s="48" t="e">
        <f>'Total cost of land degradation '!G7</f>
        <v>#DIV/0!</v>
      </c>
      <c r="H7" s="48">
        <f>'Total cost of land degradation '!H7</f>
        <v>0</v>
      </c>
      <c r="I7" s="48" t="e">
        <f>SUM(B7:H7)</f>
        <v>#DIV/0!</v>
      </c>
      <c r="J7" s="42" t="e">
        <f>I7/$I$11</f>
        <v>#DIV/0!</v>
      </c>
    </row>
    <row r="8" spans="1:10" s="1" customFormat="1" x14ac:dyDescent="0.25">
      <c r="A8" s="89" t="s">
        <v>1086</v>
      </c>
      <c r="B8" s="48" t="e">
        <f>'Total cost of land degradation '!B8</f>
        <v>#DIV/0!</v>
      </c>
      <c r="C8" s="48">
        <f>'Total cost of land degradation '!C8</f>
        <v>0</v>
      </c>
      <c r="D8" s="48" t="e">
        <f>'Total cost of land degradation '!D8</f>
        <v>#DIV/0!</v>
      </c>
      <c r="E8" s="48" t="e">
        <f>'Total cost of land degradation '!E8</f>
        <v>#DIV/0!</v>
      </c>
      <c r="F8" s="48" t="e">
        <f>'Total cost of land degradation '!F8</f>
        <v>#DIV/0!</v>
      </c>
      <c r="G8" s="48" t="e">
        <f>'Total cost of land degradation '!G8</f>
        <v>#DIV/0!</v>
      </c>
      <c r="H8" s="48">
        <f>'Total cost of land degradation '!H8</f>
        <v>0</v>
      </c>
      <c r="I8" s="48" t="e">
        <f>SUM(B8:H8)</f>
        <v>#DIV/0!</v>
      </c>
      <c r="J8" s="42" t="e">
        <f>I8/$I$11</f>
        <v>#DIV/0!</v>
      </c>
    </row>
    <row r="9" spans="1:10" s="1" customFormat="1" x14ac:dyDescent="0.25">
      <c r="A9" s="89" t="s">
        <v>1087</v>
      </c>
      <c r="B9" s="48" t="e">
        <f>'Total cost of land degradation '!B9</f>
        <v>#DIV/0!</v>
      </c>
      <c r="C9" s="48">
        <f>'Total cost of land degradation '!C9</f>
        <v>0</v>
      </c>
      <c r="D9" s="48">
        <f>'Total cost of land degradation '!D9</f>
        <v>0</v>
      </c>
      <c r="E9" s="48">
        <f>'Total cost of land degradation '!E9</f>
        <v>0</v>
      </c>
      <c r="F9" s="48" t="e">
        <f>'Total cost of land degradation '!F9</f>
        <v>#DIV/0!</v>
      </c>
      <c r="G9" s="48">
        <f>'Total cost of land degradation '!G9</f>
        <v>0</v>
      </c>
      <c r="H9" s="48">
        <f>'Total cost of land degradation '!H9</f>
        <v>0</v>
      </c>
      <c r="I9" s="48" t="e">
        <f>SUM(B9:H9)</f>
        <v>#DIV/0!</v>
      </c>
      <c r="J9" s="42" t="e">
        <f t="shared" ref="J9:J11" si="0">I9/$I$11</f>
        <v>#DIV/0!</v>
      </c>
    </row>
    <row r="10" spans="1:10" s="1" customFormat="1" x14ac:dyDescent="0.25">
      <c r="A10" s="15" t="s">
        <v>1092</v>
      </c>
      <c r="B10" s="48" t="e">
        <f>'Total cost of land degradation '!B10</f>
        <v>#DIV/0!</v>
      </c>
      <c r="C10" s="48">
        <f>'Total cost of land degradation '!C10</f>
        <v>0</v>
      </c>
      <c r="D10" s="48" t="e">
        <f>'Total cost of land degradation '!D10</f>
        <v>#DIV/0!</v>
      </c>
      <c r="E10" s="48">
        <f>'Total cost of land degradation '!E10</f>
        <v>0</v>
      </c>
      <c r="F10" s="48">
        <f>'Total cost of land degradation '!F10</f>
        <v>0</v>
      </c>
      <c r="G10" s="48">
        <f>'Total cost of land degradation '!G10</f>
        <v>0</v>
      </c>
      <c r="H10" s="48">
        <f>'Total cost of land degradation '!H10</f>
        <v>0</v>
      </c>
      <c r="I10" s="48" t="e">
        <f>SUM(B10:H10)</f>
        <v>#DIV/0!</v>
      </c>
      <c r="J10" s="42" t="e">
        <f t="shared" si="0"/>
        <v>#DIV/0!</v>
      </c>
    </row>
    <row r="11" spans="1:10" s="1" customFormat="1" x14ac:dyDescent="0.25">
      <c r="A11" s="87" t="s">
        <v>1089</v>
      </c>
      <c r="B11" s="48" t="e">
        <f>'Total cost of land degradation '!B11</f>
        <v>#DIV/0!</v>
      </c>
      <c r="C11" s="48">
        <f>'Total cost of land degradation '!C11</f>
        <v>0</v>
      </c>
      <c r="D11" s="48" t="e">
        <f>'Total cost of land degradation '!D11</f>
        <v>#DIV/0!</v>
      </c>
      <c r="E11" s="48" t="e">
        <f>'Total cost of land degradation '!E11</f>
        <v>#DIV/0!</v>
      </c>
      <c r="F11" s="48" t="e">
        <f>'Total cost of land degradation '!F11</f>
        <v>#DIV/0!</v>
      </c>
      <c r="G11" s="48" t="e">
        <f>'Total cost of land degradation '!G11</f>
        <v>#DIV/0!</v>
      </c>
      <c r="H11" s="48">
        <f>'Total cost of land degradation '!H11</f>
        <v>0</v>
      </c>
      <c r="I11" s="48" t="e">
        <f>SUM(B11:H11)</f>
        <v>#DIV/0!</v>
      </c>
      <c r="J11" s="42" t="e">
        <f t="shared" si="0"/>
        <v>#DIV/0!</v>
      </c>
    </row>
    <row r="12" spans="1:10" x14ac:dyDescent="0.25">
      <c r="A12" s="15" t="s">
        <v>1090</v>
      </c>
      <c r="B12" s="42" t="e">
        <f t="shared" ref="B12:I12" si="1">B11/$B$3</f>
        <v>#DIV/0!</v>
      </c>
      <c r="C12" s="42">
        <f t="shared" si="1"/>
        <v>0</v>
      </c>
      <c r="D12" s="42" t="e">
        <f t="shared" si="1"/>
        <v>#DIV/0!</v>
      </c>
      <c r="E12" s="42" t="e">
        <f t="shared" ref="E12" si="2">E11/$B$3</f>
        <v>#DIV/0!</v>
      </c>
      <c r="F12" s="42" t="e">
        <f t="shared" si="1"/>
        <v>#DIV/0!</v>
      </c>
      <c r="G12" s="42" t="e">
        <f t="shared" si="1"/>
        <v>#DIV/0!</v>
      </c>
      <c r="H12" s="42">
        <f t="shared" si="1"/>
        <v>0</v>
      </c>
      <c r="I12" s="42" t="e">
        <f t="shared" si="1"/>
        <v>#DIV/0!</v>
      </c>
      <c r="J12" s="14"/>
    </row>
    <row r="13" spans="1:10" x14ac:dyDescent="0.25">
      <c r="A13" s="15" t="s">
        <v>1120</v>
      </c>
      <c r="B13" s="42" t="e">
        <f>B12/$I$12</f>
        <v>#DIV/0!</v>
      </c>
      <c r="C13" s="42" t="e">
        <f t="shared" ref="C13:H13" si="3">C12/$I$12</f>
        <v>#DIV/0!</v>
      </c>
      <c r="D13" s="42" t="e">
        <f t="shared" si="3"/>
        <v>#DIV/0!</v>
      </c>
      <c r="E13" s="42" t="e">
        <f t="shared" si="3"/>
        <v>#DIV/0!</v>
      </c>
      <c r="F13" s="42" t="e">
        <f t="shared" si="3"/>
        <v>#DIV/0!</v>
      </c>
      <c r="G13" s="42" t="e">
        <f t="shared" si="3"/>
        <v>#DIV/0!</v>
      </c>
      <c r="H13" s="42" t="e">
        <f t="shared" si="3"/>
        <v>#DIV/0!</v>
      </c>
      <c r="I13" s="46"/>
      <c r="J13" s="14"/>
    </row>
    <row r="14" spans="1:10" x14ac:dyDescent="0.25">
      <c r="A14" s="1" t="s">
        <v>187</v>
      </c>
      <c r="B14" s="741" t="e">
        <f>RANK(B11,$B$11:$H$11)</f>
        <v>#DIV/0!</v>
      </c>
      <c r="C14" s="741" t="e">
        <f t="shared" ref="C14:H14" si="4">RANK(C11,$B$11:$H$11)</f>
        <v>#DIV/0!</v>
      </c>
      <c r="D14" s="741" t="e">
        <f t="shared" si="4"/>
        <v>#DIV/0!</v>
      </c>
      <c r="E14" s="741" t="e">
        <f t="shared" si="4"/>
        <v>#DIV/0!</v>
      </c>
      <c r="F14" s="741" t="e">
        <f t="shared" si="4"/>
        <v>#DIV/0!</v>
      </c>
      <c r="G14" s="741" t="e">
        <f t="shared" si="4"/>
        <v>#DIV/0!</v>
      </c>
      <c r="H14" s="741" t="e">
        <f t="shared" si="4"/>
        <v>#DIV/0!</v>
      </c>
      <c r="I14" s="38"/>
      <c r="J14" s="9"/>
    </row>
    <row r="15" spans="1:10" x14ac:dyDescent="0.25">
      <c r="C15" s="1" t="e">
        <f>C11=Forest!F180</f>
        <v>#DIV/0!</v>
      </c>
      <c r="G15" s="119"/>
    </row>
    <row r="16" spans="1:10" x14ac:dyDescent="0.25">
      <c r="A16" s="836" t="s">
        <v>1077</v>
      </c>
      <c r="B16" s="822" t="s">
        <v>1093</v>
      </c>
      <c r="C16" s="884"/>
      <c r="D16" s="884"/>
      <c r="E16" s="884"/>
      <c r="F16" s="884"/>
      <c r="G16" s="884"/>
      <c r="H16" s="823"/>
    </row>
    <row r="17" spans="1:8" ht="45" x14ac:dyDescent="0.25">
      <c r="A17" s="837"/>
      <c r="B17" s="85" t="s">
        <v>1078</v>
      </c>
      <c r="C17" s="85" t="s">
        <v>1079</v>
      </c>
      <c r="D17" s="85" t="s">
        <v>1080</v>
      </c>
      <c r="E17" s="85" t="s">
        <v>1082</v>
      </c>
      <c r="F17" s="85" t="s">
        <v>1094</v>
      </c>
      <c r="G17" s="85" t="s">
        <v>1095</v>
      </c>
      <c r="H17" s="85" t="s">
        <v>1084</v>
      </c>
    </row>
    <row r="18" spans="1:8" x14ac:dyDescent="0.25">
      <c r="A18" s="15" t="s">
        <v>1085</v>
      </c>
      <c r="B18" s="15"/>
      <c r="C18" s="15"/>
      <c r="D18" s="15"/>
      <c r="E18" s="15"/>
      <c r="F18" s="15"/>
      <c r="G18" s="15"/>
      <c r="H18" s="15"/>
    </row>
    <row r="19" spans="1:8" x14ac:dyDescent="0.25">
      <c r="A19" s="89" t="s">
        <v>1086</v>
      </c>
      <c r="B19" s="15"/>
      <c r="C19" s="15"/>
      <c r="D19" s="15"/>
      <c r="E19" s="15"/>
      <c r="F19" s="15"/>
      <c r="G19" s="15"/>
      <c r="H19" s="15"/>
    </row>
    <row r="20" spans="1:8" x14ac:dyDescent="0.25">
      <c r="A20" s="127" t="s">
        <v>1096</v>
      </c>
      <c r="B20" s="128" t="s">
        <v>1097</v>
      </c>
      <c r="C20" s="128" t="s">
        <v>1097</v>
      </c>
      <c r="D20" s="128" t="s">
        <v>1097</v>
      </c>
      <c r="E20" s="128" t="s">
        <v>1097</v>
      </c>
      <c r="F20" s="128" t="s">
        <v>1097</v>
      </c>
      <c r="G20" s="128" t="s">
        <v>1097</v>
      </c>
      <c r="H20" s="128" t="s">
        <v>1097</v>
      </c>
    </row>
    <row r="21" spans="1:8" x14ac:dyDescent="0.25">
      <c r="A21" s="127" t="s">
        <v>1098</v>
      </c>
      <c r="B21" s="129" t="s">
        <v>968</v>
      </c>
      <c r="C21" s="128" t="s">
        <v>1097</v>
      </c>
      <c r="D21" s="129" t="s">
        <v>968</v>
      </c>
      <c r="E21" s="129" t="s">
        <v>968</v>
      </c>
      <c r="F21" s="128" t="s">
        <v>1097</v>
      </c>
      <c r="G21" s="129" t="s">
        <v>968</v>
      </c>
      <c r="H21" s="128" t="s">
        <v>1097</v>
      </c>
    </row>
    <row r="22" spans="1:8" x14ac:dyDescent="0.25">
      <c r="A22" s="89" t="s">
        <v>1087</v>
      </c>
      <c r="B22" s="15"/>
      <c r="C22" s="15"/>
      <c r="D22" s="15"/>
      <c r="E22" s="15"/>
      <c r="F22" s="15"/>
      <c r="G22" s="15"/>
      <c r="H22" s="15"/>
    </row>
    <row r="23" spans="1:8" ht="30" x14ac:dyDescent="0.25">
      <c r="A23" s="130" t="s">
        <v>1099</v>
      </c>
      <c r="B23" s="129" t="s">
        <v>968</v>
      </c>
      <c r="C23" s="129" t="s">
        <v>968</v>
      </c>
      <c r="D23" s="129" t="s">
        <v>968</v>
      </c>
      <c r="E23" s="129" t="s">
        <v>968</v>
      </c>
      <c r="F23" s="129" t="s">
        <v>968</v>
      </c>
      <c r="G23" s="129" t="s">
        <v>968</v>
      </c>
      <c r="H23" s="129" t="s">
        <v>968</v>
      </c>
    </row>
    <row r="24" spans="1:8" ht="45" x14ac:dyDescent="0.25">
      <c r="A24" s="130" t="s">
        <v>1100</v>
      </c>
      <c r="B24" s="131" t="s">
        <v>1101</v>
      </c>
      <c r="C24" s="131" t="s">
        <v>1101</v>
      </c>
      <c r="D24" s="131" t="s">
        <v>1101</v>
      </c>
      <c r="E24" s="131" t="s">
        <v>1101</v>
      </c>
      <c r="F24" s="131" t="s">
        <v>1101</v>
      </c>
      <c r="G24" s="131" t="s">
        <v>1101</v>
      </c>
      <c r="H24" s="131" t="s">
        <v>1101</v>
      </c>
    </row>
    <row r="25" spans="1:8" ht="30" x14ac:dyDescent="0.25">
      <c r="A25" s="130" t="s">
        <v>1102</v>
      </c>
      <c r="B25" s="129" t="s">
        <v>968</v>
      </c>
      <c r="C25" s="129" t="s">
        <v>968</v>
      </c>
      <c r="D25" s="129" t="s">
        <v>968</v>
      </c>
      <c r="E25" s="129" t="s">
        <v>968</v>
      </c>
      <c r="F25" s="129" t="s">
        <v>968</v>
      </c>
      <c r="G25" s="129" t="s">
        <v>968</v>
      </c>
      <c r="H25" s="129" t="s">
        <v>968</v>
      </c>
    </row>
    <row r="26" spans="1:8" ht="30" x14ac:dyDescent="0.25">
      <c r="A26" s="130" t="s">
        <v>1103</v>
      </c>
      <c r="B26" s="129" t="s">
        <v>968</v>
      </c>
      <c r="C26" s="129" t="s">
        <v>968</v>
      </c>
      <c r="D26" s="129" t="s">
        <v>968</v>
      </c>
      <c r="E26" s="129" t="s">
        <v>968</v>
      </c>
      <c r="F26" s="129" t="s">
        <v>968</v>
      </c>
      <c r="G26" s="129" t="s">
        <v>968</v>
      </c>
      <c r="H26" s="129" t="s">
        <v>968</v>
      </c>
    </row>
    <row r="27" spans="1:8" x14ac:dyDescent="0.25">
      <c r="A27" s="15" t="s">
        <v>1092</v>
      </c>
      <c r="B27" s="15"/>
      <c r="C27" s="15"/>
      <c r="D27" s="15"/>
      <c r="E27" s="15"/>
      <c r="F27" s="15"/>
      <c r="G27" s="15"/>
      <c r="H27" s="15"/>
    </row>
    <row r="28" spans="1:8" x14ac:dyDescent="0.25">
      <c r="A28" s="132" t="s">
        <v>1104</v>
      </c>
      <c r="B28" s="129" t="s">
        <v>968</v>
      </c>
      <c r="C28" s="129" t="s">
        <v>968</v>
      </c>
      <c r="D28" s="129" t="s">
        <v>968</v>
      </c>
      <c r="E28" s="129" t="s">
        <v>968</v>
      </c>
      <c r="F28" s="129" t="s">
        <v>968</v>
      </c>
      <c r="G28" s="129" t="s">
        <v>968</v>
      </c>
      <c r="H28" s="129" t="s">
        <v>968</v>
      </c>
    </row>
    <row r="29" spans="1:8" x14ac:dyDescent="0.25">
      <c r="A29" s="132" t="s">
        <v>1105</v>
      </c>
      <c r="B29" s="129" t="s">
        <v>968</v>
      </c>
      <c r="C29" s="129" t="s">
        <v>968</v>
      </c>
      <c r="D29" s="129" t="s">
        <v>968</v>
      </c>
      <c r="E29" s="129" t="s">
        <v>968</v>
      </c>
      <c r="F29" s="129" t="s">
        <v>968</v>
      </c>
      <c r="G29" s="129" t="s">
        <v>968</v>
      </c>
      <c r="H29" s="129" t="s">
        <v>968</v>
      </c>
    </row>
    <row r="30" spans="1:8" x14ac:dyDescent="0.25">
      <c r="A30" s="132" t="s">
        <v>1106</v>
      </c>
      <c r="B30" s="128" t="s">
        <v>1097</v>
      </c>
      <c r="C30" s="128" t="s">
        <v>1097</v>
      </c>
      <c r="D30" s="128" t="s">
        <v>1097</v>
      </c>
      <c r="E30" s="128" t="s">
        <v>1097</v>
      </c>
      <c r="F30" s="129" t="s">
        <v>968</v>
      </c>
      <c r="G30" s="128" t="s">
        <v>1097</v>
      </c>
      <c r="H30" s="129" t="s">
        <v>968</v>
      </c>
    </row>
    <row r="32" spans="1:8" x14ac:dyDescent="0.25">
      <c r="A32" s="836" t="s">
        <v>1077</v>
      </c>
      <c r="B32" s="822" t="s">
        <v>1093</v>
      </c>
      <c r="C32" s="884"/>
      <c r="D32" s="884"/>
      <c r="E32" s="884"/>
      <c r="F32" s="884"/>
      <c r="G32" s="884"/>
      <c r="H32" s="823"/>
    </row>
    <row r="33" spans="1:8" ht="45" x14ac:dyDescent="0.25">
      <c r="A33" s="837"/>
      <c r="B33" s="85" t="s">
        <v>1078</v>
      </c>
      <c r="C33" s="85" t="s">
        <v>1079</v>
      </c>
      <c r="D33" s="85" t="s">
        <v>1080</v>
      </c>
      <c r="E33" s="85" t="s">
        <v>1082</v>
      </c>
      <c r="F33" s="85" t="s">
        <v>1094</v>
      </c>
      <c r="G33" s="85" t="s">
        <v>1095</v>
      </c>
      <c r="H33" s="85" t="s">
        <v>1084</v>
      </c>
    </row>
    <row r="34" spans="1:8" x14ac:dyDescent="0.25">
      <c r="A34" s="15" t="s">
        <v>1085</v>
      </c>
      <c r="B34" s="15"/>
      <c r="C34" s="15"/>
      <c r="D34" s="15"/>
      <c r="E34" s="15"/>
      <c r="F34" s="15"/>
      <c r="G34" s="15"/>
      <c r="H34" s="15"/>
    </row>
    <row r="35" spans="1:8" x14ac:dyDescent="0.25">
      <c r="A35" s="89" t="s">
        <v>1086</v>
      </c>
      <c r="B35" s="15"/>
      <c r="C35" s="15"/>
      <c r="D35" s="15"/>
      <c r="E35" s="15"/>
      <c r="F35" s="15"/>
      <c r="G35" s="15"/>
      <c r="H35" s="15"/>
    </row>
    <row r="36" spans="1:8" x14ac:dyDescent="0.25">
      <c r="A36" s="127" t="s">
        <v>1096</v>
      </c>
      <c r="B36" s="128" t="s">
        <v>1097</v>
      </c>
      <c r="C36" s="128" t="s">
        <v>1097</v>
      </c>
      <c r="D36" s="128" t="s">
        <v>1097</v>
      </c>
      <c r="E36" s="128" t="s">
        <v>1097</v>
      </c>
      <c r="F36" s="128" t="s">
        <v>1097</v>
      </c>
      <c r="G36" s="128" t="s">
        <v>1097</v>
      </c>
      <c r="H36" s="128" t="s">
        <v>1097</v>
      </c>
    </row>
    <row r="37" spans="1:8" x14ac:dyDescent="0.25">
      <c r="A37" s="127" t="s">
        <v>1098</v>
      </c>
      <c r="B37" s="129" t="s">
        <v>968</v>
      </c>
      <c r="C37" s="128" t="s">
        <v>1097</v>
      </c>
      <c r="D37" s="129" t="s">
        <v>968</v>
      </c>
      <c r="E37" s="129" t="s">
        <v>968</v>
      </c>
      <c r="F37" s="128" t="s">
        <v>1097</v>
      </c>
      <c r="G37" s="129" t="s">
        <v>968</v>
      </c>
      <c r="H37" s="128" t="s">
        <v>1097</v>
      </c>
    </row>
    <row r="38" spans="1:8" x14ac:dyDescent="0.25">
      <c r="A38" s="89" t="s">
        <v>1087</v>
      </c>
      <c r="B38" s="15"/>
      <c r="C38" s="15"/>
      <c r="D38" s="15"/>
      <c r="E38" s="15"/>
      <c r="F38" s="15"/>
      <c r="G38" s="15"/>
      <c r="H38" s="15"/>
    </row>
    <row r="39" spans="1:8" ht="45" x14ac:dyDescent="0.25">
      <c r="A39" s="130" t="s">
        <v>1100</v>
      </c>
      <c r="B39" s="131" t="s">
        <v>1101</v>
      </c>
      <c r="C39" s="131" t="s">
        <v>1101</v>
      </c>
      <c r="D39" s="131" t="s">
        <v>1101</v>
      </c>
      <c r="E39" s="131" t="s">
        <v>1101</v>
      </c>
      <c r="F39" s="131" t="s">
        <v>1101</v>
      </c>
      <c r="G39" s="131" t="s">
        <v>1101</v>
      </c>
      <c r="H39" s="131" t="s">
        <v>1101</v>
      </c>
    </row>
    <row r="40" spans="1:8" x14ac:dyDescent="0.25">
      <c r="A40" s="15" t="s">
        <v>1092</v>
      </c>
      <c r="B40" s="15"/>
      <c r="C40" s="15"/>
      <c r="D40" s="15"/>
      <c r="E40" s="15"/>
      <c r="F40" s="15"/>
      <c r="G40" s="15"/>
      <c r="H40" s="15"/>
    </row>
    <row r="41" spans="1:8" x14ac:dyDescent="0.25">
      <c r="A41" s="132" t="s">
        <v>1106</v>
      </c>
      <c r="B41" s="128" t="s">
        <v>1097</v>
      </c>
      <c r="C41" s="128" t="s">
        <v>1097</v>
      </c>
      <c r="D41" s="128" t="s">
        <v>1097</v>
      </c>
      <c r="E41" s="128" t="s">
        <v>1097</v>
      </c>
      <c r="F41" s="129" t="s">
        <v>968</v>
      </c>
      <c r="G41" s="128" t="s">
        <v>1097</v>
      </c>
      <c r="H41" s="129" t="s">
        <v>968</v>
      </c>
    </row>
    <row r="42" spans="1:8" x14ac:dyDescent="0.25">
      <c r="A42" s="90"/>
      <c r="B42" s="133"/>
      <c r="C42" s="133"/>
      <c r="D42" s="133"/>
      <c r="E42" s="133"/>
      <c r="F42" s="133"/>
      <c r="G42" s="133"/>
      <c r="H42" s="133"/>
    </row>
    <row r="43" spans="1:8" x14ac:dyDescent="0.25">
      <c r="A43" s="90"/>
      <c r="B43" s="133"/>
      <c r="C43" s="133"/>
      <c r="D43" s="133"/>
      <c r="E43" s="133"/>
      <c r="F43" s="133"/>
      <c r="G43" s="133"/>
      <c r="H43" s="133"/>
    </row>
    <row r="44" spans="1:8" x14ac:dyDescent="0.25">
      <c r="A44" s="89" t="s">
        <v>1107</v>
      </c>
      <c r="B44" s="87" t="s">
        <v>1108</v>
      </c>
    </row>
    <row r="45" spans="1:8" ht="30" x14ac:dyDescent="0.25">
      <c r="A45" s="130" t="s">
        <v>1099</v>
      </c>
      <c r="B45" s="922" t="s">
        <v>1109</v>
      </c>
      <c r="C45" s="134"/>
      <c r="D45" s="134"/>
      <c r="E45" s="134"/>
      <c r="F45" s="134"/>
      <c r="G45" s="134"/>
      <c r="H45" s="134"/>
    </row>
    <row r="46" spans="1:8" ht="30" x14ac:dyDescent="0.25">
      <c r="A46" s="130" t="s">
        <v>1102</v>
      </c>
      <c r="B46" s="922"/>
      <c r="C46" s="134"/>
      <c r="D46" s="134"/>
      <c r="E46" s="134"/>
      <c r="F46" s="134"/>
      <c r="G46" s="134"/>
      <c r="H46" s="134"/>
    </row>
    <row r="47" spans="1:8" ht="30" x14ac:dyDescent="0.25">
      <c r="A47" s="130" t="s">
        <v>1103</v>
      </c>
      <c r="B47" s="922"/>
      <c r="C47" s="134"/>
      <c r="D47" s="134"/>
      <c r="E47" s="134"/>
      <c r="F47" s="134"/>
      <c r="G47" s="134"/>
      <c r="H47" s="134"/>
    </row>
    <row r="48" spans="1:8" x14ac:dyDescent="0.25">
      <c r="A48" s="132" t="s">
        <v>1104</v>
      </c>
      <c r="B48" s="922" t="s">
        <v>1110</v>
      </c>
      <c r="C48" s="134"/>
      <c r="D48" s="134"/>
      <c r="E48" s="134"/>
      <c r="F48" s="134"/>
      <c r="G48" s="134"/>
      <c r="H48" s="134"/>
    </row>
    <row r="49" spans="1:8" ht="29.1" customHeight="1" x14ac:dyDescent="0.25">
      <c r="A49" s="132" t="s">
        <v>1105</v>
      </c>
      <c r="B49" s="922"/>
      <c r="C49" s="134"/>
      <c r="D49" s="134"/>
      <c r="E49" s="134"/>
      <c r="F49" s="134"/>
      <c r="G49" s="134"/>
      <c r="H49" s="134"/>
    </row>
  </sheetData>
  <mergeCells count="10">
    <mergeCell ref="J5:J6"/>
    <mergeCell ref="I5:I6"/>
    <mergeCell ref="B5:H5"/>
    <mergeCell ref="B48:B49"/>
    <mergeCell ref="B45:B47"/>
    <mergeCell ref="A16:A17"/>
    <mergeCell ref="B16:H16"/>
    <mergeCell ref="A32:A33"/>
    <mergeCell ref="B32:H32"/>
    <mergeCell ref="A5:A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38</vt:i4>
      </vt:variant>
    </vt:vector>
  </HeadingPairs>
  <TitlesOfParts>
    <vt:vector size="38" baseType="lpstr">
      <vt:lpstr>Instructions</vt:lpstr>
      <vt:lpstr>Crop-area&amp;production</vt:lpstr>
      <vt:lpstr>Prices,exch.rates,harvest index</vt:lpstr>
      <vt:lpstr>Area&amp;production data</vt:lpstr>
      <vt:lpstr>Yield-data</vt:lpstr>
      <vt:lpstr>Value of production</vt:lpstr>
      <vt:lpstr>Yield gain if we intervene (%)</vt:lpstr>
      <vt:lpstr>Area(ha)-by-degradation-level</vt:lpstr>
      <vt:lpstr>Yield-penalty-by-LD-class</vt:lpstr>
      <vt:lpstr>Soil-errosion1</vt:lpstr>
      <vt:lpstr>Soil-errosion2</vt:lpstr>
      <vt:lpstr>Soil-loss-in-abundoned lands</vt:lpstr>
      <vt:lpstr>Percent-Soil-Carbon-Content</vt:lpstr>
      <vt:lpstr>Cereals-all-year</vt:lpstr>
      <vt:lpstr>Legumes-all-year</vt:lpstr>
      <vt:lpstr>Vegetables-all-year</vt:lpstr>
      <vt:lpstr>Fruits-all-year</vt:lpstr>
      <vt:lpstr>Annual-forages-all-year</vt:lpstr>
      <vt:lpstr>Alfalfa-all-year</vt:lpstr>
      <vt:lpstr>Value-of-fuel-used-under-CT</vt:lpstr>
      <vt:lpstr>value-of-carbon-in-Greenhouses</vt:lpstr>
      <vt:lpstr>Energy conversion factors</vt:lpstr>
      <vt:lpstr>Summary-all-crops</vt:lpstr>
      <vt:lpstr>Pastoral-areas</vt:lpstr>
      <vt:lpstr>Prairies</vt:lpstr>
      <vt:lpstr>Agro-sylvopastoral-areas</vt:lpstr>
      <vt:lpstr>Summary-all rangelands</vt:lpstr>
      <vt:lpstr>Deforestation</vt:lpstr>
      <vt:lpstr>Forest</vt:lpstr>
      <vt:lpstr>Water</vt:lpstr>
      <vt:lpstr>Soil-erosion</vt:lpstr>
      <vt:lpstr>Carbon-emission-by source</vt:lpstr>
      <vt:lpstr>Soil-loss-abundoned lands1</vt:lpstr>
      <vt:lpstr>Production-loss-abandoned lands</vt:lpstr>
      <vt:lpstr>Cost of Health-problems</vt:lpstr>
      <vt:lpstr>Emergency-&amp;-extreme-weather-All</vt:lpstr>
      <vt:lpstr>Total cost of land degradation </vt:lpstr>
      <vt:lpstr>Summaries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Yigezu, Yigezu Atnafe (ICARDA)</dc:creator>
  <cp:keywords/>
  <dc:description/>
  <cp:lastModifiedBy>Balcha, Yemisrach (ILRI-ICARDA)</cp:lastModifiedBy>
  <cp:revision/>
  <dcterms:created xsi:type="dcterms:W3CDTF">2019-09-26T05:17:51Z</dcterms:created>
  <dcterms:modified xsi:type="dcterms:W3CDTF">2025-02-13T13:44:52Z</dcterms:modified>
  <cp:category/>
  <cp:contentStatus/>
</cp:coreProperties>
</file>